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380" windowHeight="10980" activeTab="6"/>
  </bookViews>
  <sheets>
    <sheet name="Estimate" sheetId="3" r:id="rId1"/>
    <sheet name="Resources" sheetId="2" r:id="rId2"/>
    <sheet name="Model Inputs" sheetId="9" r:id="rId3"/>
    <sheet name="Non-Work Days" sheetId="14" r:id="rId4"/>
    <sheet name="Program Links" sheetId="10" r:id="rId5"/>
    <sheet name="Budget &amp; Revenue" sheetId="11" r:id="rId6"/>
    <sheet name="Portfolio WBS" sheetId="12" r:id="rId7"/>
    <sheet name="Actual Costs" sheetId="13" r:id="rId8"/>
  </sheets>
  <definedNames>
    <definedName name="_xlnm._FilterDatabase" localSheetId="0" hidden="1">Estimate!$A$2:$S$1215</definedName>
    <definedName name="_xlnm._FilterDatabase" localSheetId="4" hidden="1">'Program Links'!$A$1:$N$244</definedName>
    <definedName name="NWDays">'Non-Work Days'!$B$4:$K$68</definedName>
    <definedName name="workhrs">'Non-Work Days'!$C$71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3" l="1"/>
  <c r="N4" i="13"/>
  <c r="O4" i="13"/>
  <c r="P4" i="13"/>
  <c r="Q4" i="13"/>
  <c r="R4" i="13"/>
  <c r="S4" i="13"/>
  <c r="T4" i="13"/>
  <c r="U4" i="13"/>
  <c r="M5" i="13"/>
  <c r="N5" i="13"/>
  <c r="O5" i="13"/>
  <c r="P5" i="13"/>
  <c r="Q5" i="13"/>
  <c r="R5" i="13"/>
  <c r="S5" i="13"/>
  <c r="T5" i="13"/>
  <c r="U5" i="13"/>
  <c r="M6" i="13"/>
  <c r="N6" i="13"/>
  <c r="O6" i="13"/>
  <c r="P6" i="13"/>
  <c r="Q6" i="13"/>
  <c r="R6" i="13"/>
  <c r="S6" i="13"/>
  <c r="T6" i="13"/>
  <c r="U6" i="13"/>
  <c r="M7" i="13"/>
  <c r="N7" i="13"/>
  <c r="O7" i="13"/>
  <c r="P7" i="13"/>
  <c r="Q7" i="13"/>
  <c r="R7" i="13"/>
  <c r="S7" i="13"/>
  <c r="T7" i="13"/>
  <c r="U7" i="13"/>
  <c r="M8" i="13"/>
  <c r="N8" i="13"/>
  <c r="O8" i="13"/>
  <c r="P8" i="13"/>
  <c r="Q8" i="13"/>
  <c r="R8" i="13"/>
  <c r="S8" i="13"/>
  <c r="T8" i="13"/>
  <c r="U8" i="13"/>
  <c r="M9" i="13"/>
  <c r="N9" i="13"/>
  <c r="O9" i="13"/>
  <c r="P9" i="13"/>
  <c r="Q9" i="13"/>
  <c r="R9" i="13"/>
  <c r="S9" i="13"/>
  <c r="T9" i="13"/>
  <c r="U9" i="13"/>
  <c r="M10" i="13"/>
  <c r="N10" i="13"/>
  <c r="O10" i="13"/>
  <c r="P10" i="13"/>
  <c r="Q10" i="13"/>
  <c r="R10" i="13"/>
  <c r="S10" i="13"/>
  <c r="T10" i="13"/>
  <c r="U10" i="13"/>
  <c r="M11" i="13"/>
  <c r="N11" i="13"/>
  <c r="O11" i="13"/>
  <c r="P11" i="13"/>
  <c r="Q11" i="13"/>
  <c r="R11" i="13"/>
  <c r="S11" i="13"/>
  <c r="T11" i="13"/>
  <c r="U11" i="13"/>
  <c r="M12" i="13"/>
  <c r="N12" i="13"/>
  <c r="O12" i="13"/>
  <c r="P12" i="13"/>
  <c r="Q12" i="13"/>
  <c r="R12" i="13"/>
  <c r="S12" i="13"/>
  <c r="T12" i="13"/>
  <c r="U12" i="13"/>
  <c r="M13" i="13"/>
  <c r="N13" i="13"/>
  <c r="O13" i="13"/>
  <c r="P13" i="13"/>
  <c r="Q13" i="13"/>
  <c r="R13" i="13"/>
  <c r="S13" i="13"/>
  <c r="T13" i="13"/>
  <c r="U13" i="13"/>
  <c r="M14" i="13"/>
  <c r="N14" i="13"/>
  <c r="O14" i="13"/>
  <c r="P14" i="13"/>
  <c r="Q14" i="13"/>
  <c r="R14" i="13"/>
  <c r="S14" i="13"/>
  <c r="T14" i="13"/>
  <c r="U14" i="13"/>
  <c r="M15" i="13"/>
  <c r="N15" i="13"/>
  <c r="O15" i="13"/>
  <c r="P15" i="13"/>
  <c r="Q15" i="13"/>
  <c r="R15" i="13"/>
  <c r="S15" i="13"/>
  <c r="T15" i="13"/>
  <c r="U15" i="13"/>
  <c r="M16" i="13"/>
  <c r="N16" i="13"/>
  <c r="O16" i="13"/>
  <c r="P16" i="13"/>
  <c r="Q16" i="13"/>
  <c r="R16" i="13"/>
  <c r="S16" i="13"/>
  <c r="T16" i="13"/>
  <c r="U16" i="13"/>
  <c r="M17" i="13"/>
  <c r="N17" i="13"/>
  <c r="O17" i="13"/>
  <c r="P17" i="13"/>
  <c r="Q17" i="13"/>
  <c r="R17" i="13"/>
  <c r="S17" i="13"/>
  <c r="T17" i="13"/>
  <c r="U17" i="13"/>
  <c r="M18" i="13"/>
  <c r="N18" i="13"/>
  <c r="O18" i="13"/>
  <c r="P18" i="13"/>
  <c r="Q18" i="13"/>
  <c r="R18" i="13"/>
  <c r="S18" i="13"/>
  <c r="T18" i="13"/>
  <c r="U18" i="13"/>
  <c r="M19" i="13"/>
  <c r="N19" i="13"/>
  <c r="O19" i="13"/>
  <c r="P19" i="13"/>
  <c r="Q19" i="13"/>
  <c r="R19" i="13"/>
  <c r="S19" i="13"/>
  <c r="T19" i="13"/>
  <c r="U19" i="13"/>
  <c r="M20" i="13"/>
  <c r="N20" i="13"/>
  <c r="O20" i="13"/>
  <c r="P20" i="13"/>
  <c r="Q20" i="13"/>
  <c r="R20" i="13"/>
  <c r="S20" i="13"/>
  <c r="T20" i="13"/>
  <c r="U20" i="13"/>
  <c r="M21" i="13"/>
  <c r="N21" i="13"/>
  <c r="O21" i="13"/>
  <c r="P21" i="13"/>
  <c r="Q21" i="13"/>
  <c r="R21" i="13"/>
  <c r="S21" i="13"/>
  <c r="T21" i="13"/>
  <c r="U21" i="13"/>
  <c r="M22" i="13"/>
  <c r="N22" i="13"/>
  <c r="O22" i="13"/>
  <c r="P22" i="13"/>
  <c r="Q22" i="13"/>
  <c r="R22" i="13"/>
  <c r="S22" i="13"/>
  <c r="T22" i="13"/>
  <c r="U22" i="13"/>
  <c r="M23" i="13"/>
  <c r="N23" i="13"/>
  <c r="O23" i="13"/>
  <c r="P23" i="13"/>
  <c r="Q23" i="13"/>
  <c r="R23" i="13"/>
  <c r="S23" i="13"/>
  <c r="T23" i="13"/>
  <c r="U23" i="13"/>
  <c r="M24" i="13"/>
  <c r="N24" i="13"/>
  <c r="O24" i="13"/>
  <c r="P24" i="13"/>
  <c r="Q24" i="13"/>
  <c r="R24" i="13"/>
  <c r="S24" i="13"/>
  <c r="T24" i="13"/>
  <c r="U24" i="13"/>
  <c r="M25" i="13"/>
  <c r="N25" i="13"/>
  <c r="O25" i="13"/>
  <c r="P25" i="13"/>
  <c r="Q25" i="13"/>
  <c r="R25" i="13"/>
  <c r="S25" i="13"/>
  <c r="T25" i="13"/>
  <c r="U25" i="13"/>
  <c r="M26" i="13"/>
  <c r="N26" i="13"/>
  <c r="O26" i="13"/>
  <c r="P26" i="13"/>
  <c r="Q26" i="13"/>
  <c r="R26" i="13"/>
  <c r="S26" i="13"/>
  <c r="T26" i="13"/>
  <c r="U26" i="13"/>
  <c r="M27" i="13"/>
  <c r="N27" i="13"/>
  <c r="O27" i="13"/>
  <c r="P27" i="13"/>
  <c r="Q27" i="13"/>
  <c r="R27" i="13"/>
  <c r="S27" i="13"/>
  <c r="T27" i="13"/>
  <c r="U27" i="13"/>
  <c r="M28" i="13"/>
  <c r="N28" i="13"/>
  <c r="O28" i="13"/>
  <c r="P28" i="13"/>
  <c r="Q28" i="13"/>
  <c r="R28" i="13"/>
  <c r="S28" i="13"/>
  <c r="T28" i="13"/>
  <c r="U28" i="13"/>
  <c r="M29" i="13"/>
  <c r="N29" i="13"/>
  <c r="O29" i="13"/>
  <c r="P29" i="13"/>
  <c r="Q29" i="13"/>
  <c r="R29" i="13"/>
  <c r="S29" i="13"/>
  <c r="T29" i="13"/>
  <c r="U29" i="13"/>
  <c r="M30" i="13"/>
  <c r="N30" i="13"/>
  <c r="O30" i="13"/>
  <c r="P30" i="13"/>
  <c r="Q30" i="13"/>
  <c r="R30" i="13"/>
  <c r="S30" i="13"/>
  <c r="T30" i="13"/>
  <c r="U30" i="13"/>
  <c r="M31" i="13"/>
  <c r="N31" i="13"/>
  <c r="O31" i="13"/>
  <c r="P31" i="13"/>
  <c r="Q31" i="13"/>
  <c r="R31" i="13"/>
  <c r="S31" i="13"/>
  <c r="T31" i="13"/>
  <c r="U31" i="13"/>
  <c r="M32" i="13"/>
  <c r="N32" i="13"/>
  <c r="O32" i="13"/>
  <c r="P32" i="13"/>
  <c r="Q32" i="13"/>
  <c r="R32" i="13"/>
  <c r="S32" i="13"/>
  <c r="T32" i="13"/>
  <c r="U32" i="13"/>
  <c r="M33" i="13"/>
  <c r="N33" i="13"/>
  <c r="O33" i="13"/>
  <c r="P33" i="13"/>
  <c r="Q33" i="13"/>
  <c r="R33" i="13"/>
  <c r="S33" i="13"/>
  <c r="T33" i="13"/>
  <c r="U33" i="13"/>
  <c r="M34" i="13"/>
  <c r="N34" i="13"/>
  <c r="O34" i="13"/>
  <c r="P34" i="13"/>
  <c r="Q34" i="13"/>
  <c r="R34" i="13"/>
  <c r="S34" i="13"/>
  <c r="T34" i="13"/>
  <c r="U34" i="13"/>
  <c r="M35" i="13"/>
  <c r="N35" i="13"/>
  <c r="O35" i="13"/>
  <c r="P35" i="13"/>
  <c r="Q35" i="13"/>
  <c r="R35" i="13"/>
  <c r="S35" i="13"/>
  <c r="T35" i="13"/>
  <c r="U35" i="13"/>
  <c r="M36" i="13"/>
  <c r="N36" i="13"/>
  <c r="O36" i="13"/>
  <c r="P36" i="13"/>
  <c r="Q36" i="13"/>
  <c r="R36" i="13"/>
  <c r="S36" i="13"/>
  <c r="T36" i="13"/>
  <c r="U36" i="13"/>
  <c r="M37" i="13"/>
  <c r="N37" i="13"/>
  <c r="O37" i="13"/>
  <c r="P37" i="13"/>
  <c r="Q37" i="13"/>
  <c r="R37" i="13"/>
  <c r="S37" i="13"/>
  <c r="T37" i="13"/>
  <c r="U37" i="13"/>
  <c r="M38" i="13"/>
  <c r="N38" i="13"/>
  <c r="O38" i="13"/>
  <c r="P38" i="13"/>
  <c r="Q38" i="13"/>
  <c r="R38" i="13"/>
  <c r="S38" i="13"/>
  <c r="T38" i="13"/>
  <c r="U38" i="13"/>
  <c r="M39" i="13"/>
  <c r="N39" i="13"/>
  <c r="O39" i="13"/>
  <c r="P39" i="13"/>
  <c r="Q39" i="13"/>
  <c r="R39" i="13"/>
  <c r="S39" i="13"/>
  <c r="T39" i="13"/>
  <c r="U39" i="13"/>
  <c r="M40" i="13"/>
  <c r="N40" i="13"/>
  <c r="O40" i="13"/>
  <c r="P40" i="13"/>
  <c r="Q40" i="13"/>
  <c r="R40" i="13"/>
  <c r="S40" i="13"/>
  <c r="T40" i="13"/>
  <c r="U40" i="13"/>
  <c r="M41" i="13"/>
  <c r="N41" i="13"/>
  <c r="O41" i="13"/>
  <c r="P41" i="13"/>
  <c r="Q41" i="13"/>
  <c r="R41" i="13"/>
  <c r="S41" i="13"/>
  <c r="T41" i="13"/>
  <c r="U41" i="13"/>
  <c r="M42" i="13"/>
  <c r="N42" i="13"/>
  <c r="O42" i="13"/>
  <c r="P42" i="13"/>
  <c r="Q42" i="13"/>
  <c r="R42" i="13"/>
  <c r="S42" i="13"/>
  <c r="T42" i="13"/>
  <c r="U42" i="13"/>
  <c r="M43" i="13"/>
  <c r="N43" i="13"/>
  <c r="O43" i="13"/>
  <c r="P43" i="13"/>
  <c r="Q43" i="13"/>
  <c r="R43" i="13"/>
  <c r="S43" i="13"/>
  <c r="T43" i="13"/>
  <c r="U43" i="13"/>
  <c r="M44" i="13"/>
  <c r="N44" i="13"/>
  <c r="O44" i="13"/>
  <c r="P44" i="13"/>
  <c r="Q44" i="13"/>
  <c r="R44" i="13"/>
  <c r="S44" i="13"/>
  <c r="T44" i="13"/>
  <c r="U44" i="13"/>
  <c r="M45" i="13"/>
  <c r="N45" i="13"/>
  <c r="O45" i="13"/>
  <c r="P45" i="13"/>
  <c r="Q45" i="13"/>
  <c r="R45" i="13"/>
  <c r="S45" i="13"/>
  <c r="T45" i="13"/>
  <c r="U45" i="13"/>
  <c r="M46" i="13"/>
  <c r="N46" i="13"/>
  <c r="O46" i="13"/>
  <c r="P46" i="13"/>
  <c r="Q46" i="13"/>
  <c r="R46" i="13"/>
  <c r="S46" i="13"/>
  <c r="T46" i="13"/>
  <c r="U46" i="13"/>
  <c r="M47" i="13"/>
  <c r="N47" i="13"/>
  <c r="O47" i="13"/>
  <c r="P47" i="13"/>
  <c r="Q47" i="13"/>
  <c r="R47" i="13"/>
  <c r="S47" i="13"/>
  <c r="T47" i="13"/>
  <c r="U47" i="13"/>
  <c r="M48" i="13"/>
  <c r="N48" i="13"/>
  <c r="O48" i="13"/>
  <c r="P48" i="13"/>
  <c r="Q48" i="13"/>
  <c r="R48" i="13"/>
  <c r="S48" i="13"/>
  <c r="T48" i="13"/>
  <c r="U48" i="13"/>
  <c r="M49" i="13"/>
  <c r="N49" i="13"/>
  <c r="O49" i="13"/>
  <c r="P49" i="13"/>
  <c r="Q49" i="13"/>
  <c r="R49" i="13"/>
  <c r="S49" i="13"/>
  <c r="T49" i="13"/>
  <c r="U49" i="13"/>
  <c r="M50" i="13"/>
  <c r="N50" i="13"/>
  <c r="O50" i="13"/>
  <c r="P50" i="13"/>
  <c r="Q50" i="13"/>
  <c r="R50" i="13"/>
  <c r="S50" i="13"/>
  <c r="T50" i="13"/>
  <c r="U50" i="13"/>
  <c r="M51" i="13"/>
  <c r="N51" i="13"/>
  <c r="O51" i="13"/>
  <c r="P51" i="13"/>
  <c r="Q51" i="13"/>
  <c r="R51" i="13"/>
  <c r="S51" i="13"/>
  <c r="T51" i="13"/>
  <c r="U51" i="13"/>
  <c r="M52" i="13"/>
  <c r="N52" i="13"/>
  <c r="O52" i="13"/>
  <c r="P52" i="13"/>
  <c r="Q52" i="13"/>
  <c r="R52" i="13"/>
  <c r="S52" i="13"/>
  <c r="T52" i="13"/>
  <c r="U52" i="13"/>
  <c r="M53" i="13"/>
  <c r="N53" i="13"/>
  <c r="O53" i="13"/>
  <c r="P53" i="13"/>
  <c r="Q53" i="13"/>
  <c r="R53" i="13"/>
  <c r="S53" i="13"/>
  <c r="T53" i="13"/>
  <c r="U53" i="13"/>
  <c r="M54" i="13"/>
  <c r="N54" i="13"/>
  <c r="O54" i="13"/>
  <c r="P54" i="13"/>
  <c r="Q54" i="13"/>
  <c r="R54" i="13"/>
  <c r="S54" i="13"/>
  <c r="T54" i="13"/>
  <c r="U54" i="13"/>
  <c r="M55" i="13"/>
  <c r="N55" i="13"/>
  <c r="O55" i="13"/>
  <c r="P55" i="13"/>
  <c r="Q55" i="13"/>
  <c r="R55" i="13"/>
  <c r="S55" i="13"/>
  <c r="T55" i="13"/>
  <c r="U55" i="13"/>
  <c r="M56" i="13"/>
  <c r="N56" i="13"/>
  <c r="O56" i="13"/>
  <c r="P56" i="13"/>
  <c r="Q56" i="13"/>
  <c r="R56" i="13"/>
  <c r="S56" i="13"/>
  <c r="T56" i="13"/>
  <c r="U56" i="13"/>
  <c r="M57" i="13"/>
  <c r="N57" i="13"/>
  <c r="O57" i="13"/>
  <c r="P57" i="13"/>
  <c r="Q57" i="13"/>
  <c r="R57" i="13"/>
  <c r="S57" i="13"/>
  <c r="T57" i="13"/>
  <c r="U57" i="13"/>
  <c r="M58" i="13"/>
  <c r="N58" i="13"/>
  <c r="O58" i="13"/>
  <c r="P58" i="13"/>
  <c r="Q58" i="13"/>
  <c r="R58" i="13"/>
  <c r="S58" i="13"/>
  <c r="T58" i="13"/>
  <c r="U58" i="13"/>
  <c r="O3" i="13"/>
  <c r="P3" i="13"/>
  <c r="Q3" i="13"/>
  <c r="R3" i="13"/>
  <c r="S3" i="13"/>
  <c r="T3" i="13"/>
  <c r="U3" i="13"/>
  <c r="N3" i="13"/>
  <c r="M3" i="13"/>
  <c r="C4" i="14"/>
  <c r="G4" i="14"/>
  <c r="I4" i="14"/>
  <c r="K4" i="14"/>
  <c r="B5" i="14"/>
  <c r="B3" i="14" s="1"/>
  <c r="C5" i="14"/>
  <c r="C3" i="14" s="1"/>
  <c r="D5" i="14"/>
  <c r="E5" i="14" s="1"/>
  <c r="F5" i="14"/>
  <c r="G5" i="14"/>
  <c r="H5" i="14"/>
  <c r="I5" i="14" s="1"/>
  <c r="J5" i="14"/>
  <c r="K5" i="14"/>
  <c r="B6" i="14"/>
  <c r="C6" i="14" s="1"/>
  <c r="D6" i="14"/>
  <c r="D3" i="14" s="1"/>
  <c r="E6" i="14"/>
  <c r="E3" i="14" s="1"/>
  <c r="F6" i="14"/>
  <c r="F3" i="14" s="1"/>
  <c r="H6" i="14"/>
  <c r="H3" i="14" s="1"/>
  <c r="I6" i="14"/>
  <c r="I3" i="14" s="1"/>
  <c r="J6" i="14"/>
  <c r="J3" i="14" s="1"/>
  <c r="B7" i="14"/>
  <c r="C7" i="14"/>
  <c r="D7" i="14"/>
  <c r="E7" i="14" s="1"/>
  <c r="F7" i="14"/>
  <c r="G7" i="14"/>
  <c r="H7" i="14"/>
  <c r="I7" i="14" s="1"/>
  <c r="J7" i="14"/>
  <c r="K7" i="14"/>
  <c r="B8" i="14"/>
  <c r="C8" i="14" s="1"/>
  <c r="D8" i="14"/>
  <c r="E8" i="14"/>
  <c r="F8" i="14"/>
  <c r="G8" i="14" s="1"/>
  <c r="H8" i="14"/>
  <c r="I8" i="14"/>
  <c r="J8" i="14"/>
  <c r="K8" i="14" s="1"/>
  <c r="B9" i="14"/>
  <c r="C9" i="14"/>
  <c r="D9" i="14"/>
  <c r="E9" i="14" s="1"/>
  <c r="F9" i="14"/>
  <c r="G9" i="14"/>
  <c r="H9" i="14"/>
  <c r="I9" i="14"/>
  <c r="J9" i="14"/>
  <c r="K9" i="14"/>
  <c r="B10" i="14"/>
  <c r="C10" i="14"/>
  <c r="D10" i="14"/>
  <c r="E10" i="14"/>
  <c r="F10" i="14"/>
  <c r="G10" i="14"/>
  <c r="H10" i="14"/>
  <c r="I10" i="14"/>
  <c r="J10" i="14"/>
  <c r="K10" i="14"/>
  <c r="B11" i="14"/>
  <c r="C11" i="14"/>
  <c r="D11" i="14"/>
  <c r="E11" i="14"/>
  <c r="F11" i="14"/>
  <c r="G11" i="14"/>
  <c r="H11" i="14"/>
  <c r="I11" i="14"/>
  <c r="J11" i="14"/>
  <c r="K11" i="14"/>
  <c r="B12" i="14"/>
  <c r="C12" i="14"/>
  <c r="D12" i="14"/>
  <c r="E12" i="14"/>
  <c r="F12" i="14"/>
  <c r="G12" i="14"/>
  <c r="H12" i="14"/>
  <c r="I12" i="14"/>
  <c r="J12" i="14"/>
  <c r="K12" i="14"/>
  <c r="B13" i="14"/>
  <c r="C13" i="14"/>
  <c r="D13" i="14"/>
  <c r="E13" i="14"/>
  <c r="F13" i="14"/>
  <c r="G13" i="14"/>
  <c r="H13" i="14"/>
  <c r="I13" i="14"/>
  <c r="J13" i="14"/>
  <c r="K13" i="14"/>
  <c r="B14" i="14"/>
  <c r="C14" i="14"/>
  <c r="D14" i="14"/>
  <c r="E14" i="14"/>
  <c r="F14" i="14"/>
  <c r="G14" i="14"/>
  <c r="H14" i="14"/>
  <c r="I14" i="14"/>
  <c r="J14" i="14"/>
  <c r="K14" i="14"/>
  <c r="B15" i="14"/>
  <c r="C15" i="14"/>
  <c r="D15" i="14"/>
  <c r="E15" i="14"/>
  <c r="F15" i="14"/>
  <c r="G15" i="14"/>
  <c r="H15" i="14"/>
  <c r="I15" i="14"/>
  <c r="J15" i="14"/>
  <c r="K15" i="14"/>
  <c r="B16" i="14"/>
  <c r="C16" i="14"/>
  <c r="D16" i="14"/>
  <c r="E16" i="14"/>
  <c r="F16" i="14"/>
  <c r="G16" i="14"/>
  <c r="H16" i="14"/>
  <c r="I16" i="14"/>
  <c r="J16" i="14"/>
  <c r="K16" i="14"/>
  <c r="B17" i="14"/>
  <c r="C17" i="14"/>
  <c r="D17" i="14"/>
  <c r="E17" i="14"/>
  <c r="F17" i="14"/>
  <c r="G17" i="14"/>
  <c r="H17" i="14"/>
  <c r="I17" i="14"/>
  <c r="J17" i="14"/>
  <c r="K17" i="14"/>
  <c r="B18" i="14"/>
  <c r="C18" i="14"/>
  <c r="D18" i="14"/>
  <c r="E18" i="14"/>
  <c r="F18" i="14"/>
  <c r="G18" i="14"/>
  <c r="H18" i="14"/>
  <c r="I18" i="14"/>
  <c r="J18" i="14"/>
  <c r="K18" i="14"/>
  <c r="B19" i="14"/>
  <c r="C19" i="14"/>
  <c r="D19" i="14"/>
  <c r="E19" i="14"/>
  <c r="F19" i="14"/>
  <c r="G19" i="14"/>
  <c r="H19" i="14"/>
  <c r="I19" i="14"/>
  <c r="J19" i="14"/>
  <c r="K19" i="14"/>
  <c r="B20" i="14"/>
  <c r="C20" i="14"/>
  <c r="D20" i="14"/>
  <c r="E20" i="14"/>
  <c r="F20" i="14"/>
  <c r="G20" i="14"/>
  <c r="H20" i="14"/>
  <c r="I20" i="14"/>
  <c r="J20" i="14"/>
  <c r="K20" i="14"/>
  <c r="B21" i="14"/>
  <c r="C21" i="14"/>
  <c r="D21" i="14"/>
  <c r="E21" i="14"/>
  <c r="F21" i="14"/>
  <c r="G21" i="14"/>
  <c r="H21" i="14"/>
  <c r="I21" i="14"/>
  <c r="J21" i="14"/>
  <c r="K21" i="14"/>
  <c r="B22" i="14"/>
  <c r="C22" i="14"/>
  <c r="D22" i="14"/>
  <c r="E22" i="14"/>
  <c r="F22" i="14"/>
  <c r="G22" i="14"/>
  <c r="H22" i="14"/>
  <c r="I22" i="14"/>
  <c r="J22" i="14"/>
  <c r="K22" i="14"/>
  <c r="B23" i="14"/>
  <c r="C23" i="14"/>
  <c r="D23" i="14"/>
  <c r="E23" i="14"/>
  <c r="F23" i="14"/>
  <c r="G23" i="14"/>
  <c r="H23" i="14"/>
  <c r="I23" i="14"/>
  <c r="J23" i="14"/>
  <c r="K23" i="14"/>
  <c r="B24" i="14"/>
  <c r="C24" i="14"/>
  <c r="D24" i="14"/>
  <c r="E24" i="14"/>
  <c r="F24" i="14"/>
  <c r="G24" i="14"/>
  <c r="H24" i="14"/>
  <c r="I24" i="14"/>
  <c r="J24" i="14"/>
  <c r="K24" i="14"/>
  <c r="B25" i="14"/>
  <c r="C25" i="14"/>
  <c r="D25" i="14"/>
  <c r="E25" i="14"/>
  <c r="F25" i="14"/>
  <c r="G25" i="14"/>
  <c r="H25" i="14"/>
  <c r="I25" i="14"/>
  <c r="J25" i="14"/>
  <c r="K25" i="14"/>
  <c r="B26" i="14"/>
  <c r="C26" i="14"/>
  <c r="D26" i="14"/>
  <c r="E26" i="14"/>
  <c r="F26" i="14"/>
  <c r="G26" i="14"/>
  <c r="H26" i="14"/>
  <c r="I26" i="14"/>
  <c r="J26" i="14"/>
  <c r="K26" i="14"/>
  <c r="B27" i="14"/>
  <c r="C27" i="14"/>
  <c r="D27" i="14"/>
  <c r="E27" i="14"/>
  <c r="F27" i="14"/>
  <c r="G27" i="14"/>
  <c r="H27" i="14"/>
  <c r="I27" i="14"/>
  <c r="J27" i="14"/>
  <c r="K27" i="14"/>
  <c r="B28" i="14"/>
  <c r="C28" i="14"/>
  <c r="D28" i="14"/>
  <c r="E28" i="14"/>
  <c r="F28" i="14"/>
  <c r="G28" i="14"/>
  <c r="H28" i="14"/>
  <c r="I28" i="14"/>
  <c r="J28" i="14"/>
  <c r="K28" i="14"/>
  <c r="B29" i="14"/>
  <c r="C29" i="14"/>
  <c r="D29" i="14"/>
  <c r="E29" i="14"/>
  <c r="F29" i="14"/>
  <c r="G29" i="14"/>
  <c r="H29" i="14"/>
  <c r="I29" i="14"/>
  <c r="J29" i="14"/>
  <c r="K29" i="14"/>
  <c r="B30" i="14"/>
  <c r="C30" i="14"/>
  <c r="D30" i="14"/>
  <c r="E30" i="14"/>
  <c r="F30" i="14"/>
  <c r="G30" i="14"/>
  <c r="H30" i="14"/>
  <c r="I30" i="14"/>
  <c r="J30" i="14"/>
  <c r="K30" i="14"/>
  <c r="B31" i="14"/>
  <c r="C31" i="14"/>
  <c r="D31" i="14"/>
  <c r="E31" i="14"/>
  <c r="F31" i="14"/>
  <c r="G31" i="14"/>
  <c r="H31" i="14"/>
  <c r="I31" i="14"/>
  <c r="J31" i="14"/>
  <c r="K31" i="14"/>
  <c r="B32" i="14"/>
  <c r="C32" i="14"/>
  <c r="D32" i="14"/>
  <c r="E32" i="14"/>
  <c r="F32" i="14"/>
  <c r="G32" i="14"/>
  <c r="H32" i="14"/>
  <c r="I32" i="14"/>
  <c r="J32" i="14"/>
  <c r="K32" i="14"/>
  <c r="B33" i="14"/>
  <c r="C33" i="14"/>
  <c r="D33" i="14"/>
  <c r="E33" i="14"/>
  <c r="F33" i="14"/>
  <c r="G33" i="14"/>
  <c r="H33" i="14"/>
  <c r="I33" i="14"/>
  <c r="J33" i="14"/>
  <c r="K33" i="14"/>
  <c r="B34" i="14"/>
  <c r="C34" i="14"/>
  <c r="D34" i="14"/>
  <c r="E34" i="14"/>
  <c r="F34" i="14"/>
  <c r="G34" i="14"/>
  <c r="H34" i="14"/>
  <c r="I34" i="14"/>
  <c r="J34" i="14"/>
  <c r="K34" i="14"/>
  <c r="B35" i="14"/>
  <c r="C35" i="14"/>
  <c r="D35" i="14"/>
  <c r="E35" i="14"/>
  <c r="F35" i="14"/>
  <c r="G35" i="14"/>
  <c r="H35" i="14"/>
  <c r="I35" i="14"/>
  <c r="J35" i="14"/>
  <c r="K35" i="14"/>
  <c r="B36" i="14"/>
  <c r="C36" i="14"/>
  <c r="D36" i="14"/>
  <c r="E36" i="14"/>
  <c r="F36" i="14"/>
  <c r="G36" i="14"/>
  <c r="H36" i="14"/>
  <c r="I36" i="14"/>
  <c r="J36" i="14"/>
  <c r="K36" i="14"/>
  <c r="B37" i="14"/>
  <c r="C37" i="14"/>
  <c r="D37" i="14"/>
  <c r="E37" i="14"/>
  <c r="F37" i="14"/>
  <c r="G37" i="14"/>
  <c r="H37" i="14"/>
  <c r="I37" i="14"/>
  <c r="J37" i="14"/>
  <c r="K37" i="14"/>
  <c r="B38" i="14"/>
  <c r="C38" i="14"/>
  <c r="D38" i="14"/>
  <c r="E38" i="14"/>
  <c r="F38" i="14"/>
  <c r="G38" i="14"/>
  <c r="H38" i="14"/>
  <c r="I38" i="14"/>
  <c r="J38" i="14"/>
  <c r="K38" i="14"/>
  <c r="B39" i="14"/>
  <c r="C39" i="14"/>
  <c r="D39" i="14"/>
  <c r="E39" i="14"/>
  <c r="F39" i="14"/>
  <c r="G39" i="14"/>
  <c r="H39" i="14"/>
  <c r="I39" i="14"/>
  <c r="J39" i="14"/>
  <c r="K39" i="14"/>
  <c r="B40" i="14"/>
  <c r="C40" i="14"/>
  <c r="D40" i="14"/>
  <c r="E40" i="14"/>
  <c r="F40" i="14"/>
  <c r="G40" i="14"/>
  <c r="H40" i="14"/>
  <c r="I40" i="14"/>
  <c r="J40" i="14"/>
  <c r="K40" i="14"/>
  <c r="B41" i="14"/>
  <c r="C41" i="14"/>
  <c r="D41" i="14"/>
  <c r="E41" i="14"/>
  <c r="F41" i="14"/>
  <c r="G41" i="14"/>
  <c r="H41" i="14"/>
  <c r="I41" i="14"/>
  <c r="J41" i="14"/>
  <c r="K41" i="14"/>
  <c r="B42" i="14"/>
  <c r="C42" i="14"/>
  <c r="D42" i="14"/>
  <c r="E42" i="14"/>
  <c r="F42" i="14"/>
  <c r="G42" i="14"/>
  <c r="H42" i="14"/>
  <c r="I42" i="14"/>
  <c r="J42" i="14"/>
  <c r="K42" i="14"/>
  <c r="B43" i="14"/>
  <c r="C43" i="14"/>
  <c r="D43" i="14"/>
  <c r="E43" i="14"/>
  <c r="F43" i="14"/>
  <c r="G43" i="14"/>
  <c r="H43" i="14"/>
  <c r="I43" i="14"/>
  <c r="J43" i="14"/>
  <c r="K43" i="14"/>
  <c r="B44" i="14"/>
  <c r="C44" i="14"/>
  <c r="D44" i="14"/>
  <c r="E44" i="14"/>
  <c r="F44" i="14"/>
  <c r="G44" i="14"/>
  <c r="H44" i="14"/>
  <c r="I44" i="14"/>
  <c r="J44" i="14"/>
  <c r="K44" i="14"/>
  <c r="B45" i="14"/>
  <c r="C45" i="14"/>
  <c r="D45" i="14"/>
  <c r="E45" i="14"/>
  <c r="F45" i="14"/>
  <c r="G45" i="14"/>
  <c r="H45" i="14"/>
  <c r="I45" i="14"/>
  <c r="J45" i="14"/>
  <c r="K45" i="14"/>
  <c r="B46" i="14"/>
  <c r="C46" i="14"/>
  <c r="D46" i="14"/>
  <c r="E46" i="14"/>
  <c r="F46" i="14"/>
  <c r="G46" i="14"/>
  <c r="H46" i="14"/>
  <c r="I46" i="14"/>
  <c r="J46" i="14"/>
  <c r="K46" i="14"/>
  <c r="B47" i="14"/>
  <c r="C47" i="14"/>
  <c r="D47" i="14"/>
  <c r="E47" i="14"/>
  <c r="F47" i="14"/>
  <c r="G47" i="14"/>
  <c r="H47" i="14"/>
  <c r="I47" i="14"/>
  <c r="J47" i="14"/>
  <c r="K47" i="14"/>
  <c r="B48" i="14"/>
  <c r="C48" i="14"/>
  <c r="D48" i="14"/>
  <c r="E48" i="14"/>
  <c r="F48" i="14"/>
  <c r="G48" i="14"/>
  <c r="H48" i="14"/>
  <c r="I48" i="14"/>
  <c r="J48" i="14"/>
  <c r="K48" i="14"/>
  <c r="B49" i="14"/>
  <c r="C49" i="14"/>
  <c r="D49" i="14"/>
  <c r="E49" i="14"/>
  <c r="F49" i="14"/>
  <c r="G49" i="14"/>
  <c r="H49" i="14"/>
  <c r="I49" i="14"/>
  <c r="J49" i="14"/>
  <c r="K49" i="14"/>
  <c r="B50" i="14"/>
  <c r="C50" i="14"/>
  <c r="D50" i="14"/>
  <c r="E50" i="14"/>
  <c r="F50" i="14"/>
  <c r="G50" i="14"/>
  <c r="H50" i="14"/>
  <c r="I50" i="14"/>
  <c r="J50" i="14"/>
  <c r="K50" i="14"/>
  <c r="B51" i="14"/>
  <c r="C51" i="14"/>
  <c r="D51" i="14"/>
  <c r="E51" i="14"/>
  <c r="F51" i="14"/>
  <c r="G51" i="14"/>
  <c r="H51" i="14"/>
  <c r="I51" i="14"/>
  <c r="J51" i="14"/>
  <c r="K51" i="14"/>
  <c r="B52" i="14"/>
  <c r="C52" i="14"/>
  <c r="D52" i="14"/>
  <c r="E52" i="14"/>
  <c r="F52" i="14"/>
  <c r="G52" i="14"/>
  <c r="H52" i="14"/>
  <c r="I52" i="14"/>
  <c r="J52" i="14"/>
  <c r="K52" i="14"/>
  <c r="B53" i="14"/>
  <c r="C53" i="14"/>
  <c r="D53" i="14"/>
  <c r="E53" i="14"/>
  <c r="F53" i="14"/>
  <c r="G53" i="14"/>
  <c r="H53" i="14"/>
  <c r="I53" i="14"/>
  <c r="J53" i="14"/>
  <c r="K53" i="14"/>
  <c r="B54" i="14"/>
  <c r="C54" i="14"/>
  <c r="D54" i="14"/>
  <c r="E54" i="14"/>
  <c r="F54" i="14"/>
  <c r="G54" i="14"/>
  <c r="H54" i="14"/>
  <c r="I54" i="14"/>
  <c r="J54" i="14"/>
  <c r="K54" i="14"/>
  <c r="B55" i="14"/>
  <c r="C55" i="14"/>
  <c r="D55" i="14"/>
  <c r="E55" i="14"/>
  <c r="F55" i="14"/>
  <c r="G55" i="14"/>
  <c r="H55" i="14"/>
  <c r="I55" i="14"/>
  <c r="J55" i="14"/>
  <c r="K55" i="14"/>
  <c r="B56" i="14"/>
  <c r="D56" i="14"/>
  <c r="E56" i="14" s="1"/>
  <c r="M60" i="13" l="1"/>
  <c r="T60" i="13"/>
  <c r="S60" i="13"/>
  <c r="O60" i="13"/>
  <c r="R60" i="13"/>
  <c r="U60" i="13"/>
  <c r="Q60" i="13"/>
  <c r="P60" i="13"/>
  <c r="N60" i="13"/>
  <c r="K6" i="14"/>
  <c r="K3" i="14" s="1"/>
  <c r="G6" i="14"/>
  <c r="G3" i="14" s="1"/>
  <c r="G3" i="10"/>
  <c r="H3" i="10"/>
  <c r="I3" i="10"/>
  <c r="J3" i="10"/>
  <c r="K3" i="10"/>
  <c r="L3" i="10"/>
  <c r="M3" i="10"/>
  <c r="N3" i="10"/>
  <c r="G4" i="10"/>
  <c r="H4" i="10"/>
  <c r="I4" i="10"/>
  <c r="J4" i="10"/>
  <c r="K4" i="10"/>
  <c r="L4" i="10"/>
  <c r="M4" i="10"/>
  <c r="N4" i="10"/>
  <c r="G153" i="10"/>
  <c r="H153" i="10"/>
  <c r="I153" i="10"/>
  <c r="J153" i="10"/>
  <c r="K153" i="10"/>
  <c r="L153" i="10"/>
  <c r="M153" i="10"/>
  <c r="N153" i="10"/>
  <c r="G154" i="10"/>
  <c r="H154" i="10"/>
  <c r="I154" i="10"/>
  <c r="J154" i="10"/>
  <c r="K154" i="10"/>
  <c r="L154" i="10"/>
  <c r="M154" i="10"/>
  <c r="N154" i="10"/>
  <c r="G155" i="10"/>
  <c r="H155" i="10"/>
  <c r="I155" i="10"/>
  <c r="J155" i="10"/>
  <c r="K155" i="10"/>
  <c r="L155" i="10"/>
  <c r="M155" i="10"/>
  <c r="N155" i="10"/>
  <c r="G156" i="10"/>
  <c r="H156" i="10"/>
  <c r="I156" i="10"/>
  <c r="J156" i="10"/>
  <c r="K156" i="10"/>
  <c r="L156" i="10"/>
  <c r="M156" i="10"/>
  <c r="N156" i="10"/>
  <c r="G157" i="10"/>
  <c r="H157" i="10"/>
  <c r="I157" i="10"/>
  <c r="J157" i="10"/>
  <c r="K157" i="10"/>
  <c r="L157" i="10"/>
  <c r="M157" i="10"/>
  <c r="N157" i="10"/>
  <c r="G158" i="10"/>
  <c r="H158" i="10"/>
  <c r="I158" i="10"/>
  <c r="J158" i="10"/>
  <c r="K158" i="10"/>
  <c r="L158" i="10"/>
  <c r="M158" i="10"/>
  <c r="N158" i="10"/>
  <c r="G159" i="10"/>
  <c r="H159" i="10"/>
  <c r="I159" i="10"/>
  <c r="J159" i="10"/>
  <c r="K159" i="10"/>
  <c r="L159" i="10"/>
  <c r="M159" i="10"/>
  <c r="N159" i="10"/>
  <c r="G161" i="10"/>
  <c r="H161" i="10"/>
  <c r="I161" i="10"/>
  <c r="J161" i="10"/>
  <c r="K161" i="10"/>
  <c r="L161" i="10"/>
  <c r="M161" i="10"/>
  <c r="N161" i="10"/>
  <c r="G162" i="10"/>
  <c r="G163" i="10"/>
  <c r="H163" i="10"/>
  <c r="I163" i="10"/>
  <c r="J163" i="10"/>
  <c r="K163" i="10"/>
  <c r="L163" i="10"/>
  <c r="M163" i="10"/>
  <c r="N163" i="10"/>
  <c r="G171" i="10"/>
  <c r="H171" i="10"/>
  <c r="I171" i="10"/>
  <c r="J171" i="10"/>
  <c r="K171" i="10"/>
  <c r="L171" i="10"/>
  <c r="M171" i="10"/>
  <c r="N171" i="10"/>
  <c r="G173" i="10"/>
  <c r="H173" i="10"/>
  <c r="I173" i="10"/>
  <c r="J173" i="10"/>
  <c r="K173" i="10"/>
  <c r="L173" i="10"/>
  <c r="M173" i="10"/>
  <c r="N173" i="10"/>
  <c r="G175" i="10"/>
  <c r="H175" i="10"/>
  <c r="I175" i="10"/>
  <c r="J175" i="10"/>
  <c r="K175" i="10"/>
  <c r="L175" i="10"/>
  <c r="M175" i="10"/>
  <c r="N175" i="10"/>
  <c r="G177" i="10"/>
  <c r="H177" i="10"/>
  <c r="I177" i="10"/>
  <c r="J177" i="10"/>
  <c r="K177" i="10"/>
  <c r="L177" i="10"/>
  <c r="M177" i="10"/>
  <c r="N177" i="10"/>
  <c r="G179" i="10"/>
  <c r="H179" i="10"/>
  <c r="I179" i="10"/>
  <c r="J179" i="10"/>
  <c r="K179" i="10"/>
  <c r="L179" i="10"/>
  <c r="M179" i="10"/>
  <c r="N179" i="10"/>
  <c r="G185" i="10"/>
  <c r="H185" i="10"/>
  <c r="I185" i="10"/>
  <c r="J185" i="10"/>
  <c r="K185" i="10"/>
  <c r="L185" i="10"/>
  <c r="M185" i="10"/>
  <c r="N185" i="10"/>
  <c r="G205" i="10"/>
  <c r="H205" i="10"/>
  <c r="I205" i="10"/>
  <c r="J205" i="10"/>
  <c r="K205" i="10"/>
  <c r="L205" i="10"/>
  <c r="M205" i="10"/>
  <c r="N205" i="10"/>
  <c r="G208" i="10"/>
  <c r="H208" i="10"/>
  <c r="I208" i="10"/>
  <c r="J208" i="10"/>
  <c r="K208" i="10"/>
  <c r="L208" i="10"/>
  <c r="M208" i="10"/>
  <c r="N208" i="10"/>
  <c r="G210" i="10"/>
  <c r="H210" i="10"/>
  <c r="I210" i="10"/>
  <c r="J210" i="10"/>
  <c r="K210" i="10"/>
  <c r="L210" i="10"/>
  <c r="M210" i="10"/>
  <c r="N210" i="10"/>
  <c r="G211" i="10"/>
  <c r="H211" i="10"/>
  <c r="I211" i="10"/>
  <c r="J211" i="10"/>
  <c r="K211" i="10"/>
  <c r="L211" i="10"/>
  <c r="M211" i="10"/>
  <c r="N211" i="10"/>
  <c r="G215" i="10"/>
  <c r="H215" i="10"/>
  <c r="I215" i="10"/>
  <c r="J215" i="10"/>
  <c r="K215" i="10"/>
  <c r="L215" i="10"/>
  <c r="M215" i="10"/>
  <c r="N215" i="10"/>
  <c r="G219" i="10"/>
  <c r="H219" i="10"/>
  <c r="I219" i="10"/>
  <c r="J219" i="10"/>
  <c r="K219" i="10"/>
  <c r="L219" i="10"/>
  <c r="M219" i="10"/>
  <c r="N219" i="10"/>
  <c r="G229" i="10"/>
  <c r="H229" i="10"/>
  <c r="I229" i="10"/>
  <c r="J229" i="10"/>
  <c r="K229" i="10"/>
  <c r="L229" i="10"/>
  <c r="M229" i="10"/>
  <c r="N229" i="10"/>
  <c r="G236" i="10"/>
  <c r="H236" i="10"/>
  <c r="I236" i="10"/>
  <c r="J236" i="10"/>
  <c r="K236" i="10"/>
  <c r="L236" i="10"/>
  <c r="M236" i="10"/>
  <c r="N236" i="10"/>
  <c r="N2" i="10"/>
  <c r="M2" i="10"/>
  <c r="L2" i="10"/>
  <c r="K2" i="10"/>
  <c r="I2" i="10"/>
  <c r="J2" i="10"/>
  <c r="H2" i="10"/>
  <c r="G2" i="10"/>
  <c r="J291" i="11" l="1"/>
  <c r="J294" i="11" s="1"/>
  <c r="E214" i="11" l="1"/>
  <c r="E216" i="11"/>
  <c r="E218" i="11"/>
  <c r="E220" i="11"/>
  <c r="E222" i="11"/>
  <c r="E264" i="11"/>
  <c r="E281" i="11"/>
  <c r="E284" i="11"/>
  <c r="I208" i="11" l="1"/>
  <c r="I209" i="11"/>
  <c r="I210" i="11"/>
  <c r="K210" i="11" s="1"/>
  <c r="I211" i="11"/>
  <c r="K211" i="11" s="1"/>
  <c r="I212" i="11"/>
  <c r="I213" i="11"/>
  <c r="I215" i="11"/>
  <c r="I217" i="11"/>
  <c r="I219" i="11"/>
  <c r="I221" i="11"/>
  <c r="I223" i="11"/>
  <c r="I225" i="11"/>
  <c r="I226" i="11"/>
  <c r="I227" i="11"/>
  <c r="I228" i="11"/>
  <c r="I229" i="11"/>
  <c r="I231" i="11"/>
  <c r="I232" i="11"/>
  <c r="I233" i="11"/>
  <c r="I234" i="11"/>
  <c r="I235" i="11"/>
  <c r="I236" i="11"/>
  <c r="I237" i="11"/>
  <c r="I238" i="11"/>
  <c r="I239" i="11"/>
  <c r="I240" i="11"/>
  <c r="I241" i="11"/>
  <c r="I242" i="11"/>
  <c r="I243" i="11"/>
  <c r="I244" i="11"/>
  <c r="I245" i="11"/>
  <c r="I246" i="11"/>
  <c r="I247" i="11"/>
  <c r="I248" i="11"/>
  <c r="I249" i="11"/>
  <c r="I251" i="11"/>
  <c r="I252" i="11"/>
  <c r="I254" i="11"/>
  <c r="I255" i="11"/>
  <c r="I257" i="11"/>
  <c r="I258" i="11"/>
  <c r="I259" i="11"/>
  <c r="I261" i="11"/>
  <c r="I262" i="11"/>
  <c r="I263" i="11"/>
  <c r="I265" i="11"/>
  <c r="I266" i="11"/>
  <c r="I267" i="11"/>
  <c r="I268" i="11"/>
  <c r="I269" i="11"/>
  <c r="I270" i="11"/>
  <c r="I271" i="11"/>
  <c r="I272" i="11"/>
  <c r="I273" i="11"/>
  <c r="I275" i="11"/>
  <c r="I276" i="11"/>
  <c r="I277" i="11"/>
  <c r="I278" i="11"/>
  <c r="I279" i="11"/>
  <c r="I280" i="11"/>
  <c r="I282" i="11"/>
  <c r="I283" i="11"/>
  <c r="I284" i="11"/>
  <c r="I285" i="11"/>
  <c r="I286" i="11"/>
  <c r="I287" i="11"/>
  <c r="I288" i="11"/>
  <c r="I289" i="11"/>
  <c r="I207" i="11"/>
  <c r="K207" i="11" s="1"/>
  <c r="K208" i="11"/>
  <c r="K209" i="11"/>
  <c r="K212" i="11"/>
  <c r="E19" i="11"/>
  <c r="E20" i="11"/>
  <c r="E24" i="11"/>
  <c r="E27" i="11"/>
  <c r="E36" i="11"/>
  <c r="E46" i="11"/>
  <c r="E47" i="11"/>
  <c r="E50" i="11"/>
  <c r="E51" i="11"/>
  <c r="E52" i="11"/>
  <c r="E71" i="11"/>
  <c r="E73" i="11"/>
  <c r="E80" i="11"/>
  <c r="E87" i="11"/>
  <c r="E95" i="11"/>
  <c r="E99" i="11"/>
  <c r="E100" i="11"/>
  <c r="E103" i="11"/>
  <c r="E108" i="11"/>
  <c r="E110" i="11"/>
  <c r="E115" i="11"/>
  <c r="E119" i="11"/>
  <c r="E121" i="11"/>
  <c r="E126" i="11"/>
  <c r="E127" i="11"/>
  <c r="E140" i="11"/>
  <c r="E141" i="11"/>
  <c r="E145" i="11"/>
  <c r="E146" i="11"/>
  <c r="E148" i="11"/>
  <c r="E156" i="11"/>
  <c r="E157" i="11"/>
  <c r="E159" i="11"/>
  <c r="E160" i="11"/>
  <c r="E162" i="11"/>
  <c r="E169" i="11"/>
  <c r="E170" i="11"/>
  <c r="E192" i="11"/>
  <c r="E193" i="11"/>
  <c r="E194" i="11"/>
  <c r="E195" i="11"/>
  <c r="E196" i="11"/>
  <c r="E197" i="11"/>
  <c r="E199" i="11"/>
  <c r="E200" i="11"/>
  <c r="E201" i="11"/>
  <c r="E203" i="11"/>
  <c r="E14" i="11"/>
  <c r="E15" i="11"/>
  <c r="E16" i="11"/>
  <c r="AA289" i="11" l="1"/>
  <c r="AA288" i="11"/>
  <c r="AA287" i="11"/>
  <c r="AA286" i="11"/>
  <c r="AA285" i="11"/>
  <c r="AA273" i="11"/>
  <c r="AA263" i="11"/>
  <c r="AA259" i="11"/>
  <c r="AA243" i="11"/>
  <c r="AA229" i="11"/>
  <c r="AA228" i="11"/>
  <c r="AA227" i="11"/>
  <c r="AA226" i="11"/>
  <c r="AA205" i="11"/>
  <c r="AA204" i="11"/>
  <c r="AJ204" i="11" s="1"/>
  <c r="AA203" i="11"/>
  <c r="AJ203" i="11" s="1"/>
  <c r="AA201" i="11"/>
  <c r="AJ201" i="11" s="1"/>
  <c r="AA200" i="11"/>
  <c r="AJ200" i="11" s="1"/>
  <c r="AA199" i="11"/>
  <c r="AJ199" i="11" s="1"/>
  <c r="AA198" i="11"/>
  <c r="AA197" i="11"/>
  <c r="AJ197" i="11" s="1"/>
  <c r="AA196" i="11"/>
  <c r="AJ196" i="11" s="1"/>
  <c r="AA195" i="11"/>
  <c r="AJ195" i="11" s="1"/>
  <c r="AA194" i="11"/>
  <c r="AJ194" i="11" s="1"/>
  <c r="AA193" i="11"/>
  <c r="AJ193" i="11" s="1"/>
  <c r="AA192" i="11"/>
  <c r="AJ192" i="11" s="1"/>
  <c r="AA191" i="11"/>
  <c r="AA190" i="11"/>
  <c r="AA189" i="11"/>
  <c r="AA188" i="11"/>
  <c r="AA187" i="11"/>
  <c r="AA186" i="11"/>
  <c r="AA185" i="11"/>
  <c r="AA184" i="11"/>
  <c r="AA183" i="11"/>
  <c r="AA182" i="11"/>
  <c r="AA181" i="11"/>
  <c r="AA180" i="11"/>
  <c r="AA179" i="11"/>
  <c r="AA178" i="11"/>
  <c r="AA177" i="11"/>
  <c r="AA176" i="11"/>
  <c r="AA175" i="11"/>
  <c r="AA174" i="11"/>
  <c r="AA173" i="11"/>
  <c r="AA172" i="11"/>
  <c r="AA171" i="11"/>
  <c r="AA170" i="11"/>
  <c r="AJ170" i="11" s="1"/>
  <c r="AA169" i="11"/>
  <c r="AJ169" i="11" s="1"/>
  <c r="AA168" i="11"/>
  <c r="AA167" i="11"/>
  <c r="AA166" i="11"/>
  <c r="AA165" i="11"/>
  <c r="AA164" i="11"/>
  <c r="AA163" i="11"/>
  <c r="AA162" i="11"/>
  <c r="AJ162" i="11" s="1"/>
  <c r="AA161" i="11"/>
  <c r="AA160" i="11"/>
  <c r="AJ160" i="11" s="1"/>
  <c r="AA159" i="11"/>
  <c r="AJ159" i="11" s="1"/>
  <c r="AA158" i="11"/>
  <c r="AA157" i="11"/>
  <c r="AJ157" i="11" s="1"/>
  <c r="AA156" i="11"/>
  <c r="AJ156" i="11" s="1"/>
  <c r="AA155" i="11"/>
  <c r="AA154" i="11"/>
  <c r="AA153" i="11"/>
  <c r="AA152" i="11"/>
  <c r="AA151" i="11"/>
  <c r="AA150" i="11"/>
  <c r="AA149" i="11"/>
  <c r="AA148" i="11"/>
  <c r="AJ148" i="11" s="1"/>
  <c r="AA147" i="11"/>
  <c r="AA146" i="11"/>
  <c r="AJ146" i="11" s="1"/>
  <c r="AA145" i="11"/>
  <c r="AJ145" i="11" s="1"/>
  <c r="AA144" i="11"/>
  <c r="AA143" i="11"/>
  <c r="AA142" i="11"/>
  <c r="AA141" i="11"/>
  <c r="AJ141" i="11" s="1"/>
  <c r="AA140" i="11"/>
  <c r="AJ140" i="11" s="1"/>
  <c r="AA139" i="11"/>
  <c r="AA138" i="11"/>
  <c r="AA137" i="11"/>
  <c r="AA136" i="11"/>
  <c r="AA135" i="11"/>
  <c r="AA134" i="11"/>
  <c r="AA133" i="11"/>
  <c r="AA132" i="11"/>
  <c r="AA131" i="11"/>
  <c r="AA130" i="11"/>
  <c r="AA129" i="11"/>
  <c r="AA128" i="11"/>
  <c r="AA127" i="11"/>
  <c r="AJ127" i="11" s="1"/>
  <c r="AA126" i="11"/>
  <c r="AJ126" i="11" s="1"/>
  <c r="AA125" i="11"/>
  <c r="AA124" i="11"/>
  <c r="AA123" i="11"/>
  <c r="AA122" i="11"/>
  <c r="AA121" i="11"/>
  <c r="AJ121" i="11" s="1"/>
  <c r="AA120" i="11"/>
  <c r="AA119" i="11"/>
  <c r="AA118" i="11"/>
  <c r="AA117" i="11"/>
  <c r="AA116" i="11"/>
  <c r="AA115" i="11"/>
  <c r="AJ115" i="11" s="1"/>
  <c r="AA114" i="11"/>
  <c r="AA113" i="11"/>
  <c r="AA112" i="11"/>
  <c r="AA111" i="11"/>
  <c r="AA110" i="11"/>
  <c r="AJ110" i="11" s="1"/>
  <c r="AA109" i="11"/>
  <c r="AA108" i="11"/>
  <c r="AJ108" i="11" s="1"/>
  <c r="AA107" i="11"/>
  <c r="AA106" i="11"/>
  <c r="AA105" i="11"/>
  <c r="AA104" i="11"/>
  <c r="AA103" i="11"/>
  <c r="AJ103" i="11" s="1"/>
  <c r="AA102" i="11"/>
  <c r="AA101" i="11"/>
  <c r="AA100" i="11"/>
  <c r="AJ100" i="11" s="1"/>
  <c r="AA99" i="11"/>
  <c r="AJ99" i="11" s="1"/>
  <c r="AA98" i="11"/>
  <c r="AA97" i="11"/>
  <c r="AA96" i="11"/>
  <c r="AA95" i="11"/>
  <c r="AJ95" i="11" s="1"/>
  <c r="AA94" i="11"/>
  <c r="AA93" i="11"/>
  <c r="AA92" i="11"/>
  <c r="AA91" i="11"/>
  <c r="AA90" i="11"/>
  <c r="AA89" i="11"/>
  <c r="AA88" i="11"/>
  <c r="AA87" i="11"/>
  <c r="AJ87" i="11" s="1"/>
  <c r="AA86" i="11"/>
  <c r="AA85" i="11"/>
  <c r="AA84" i="11"/>
  <c r="AA83" i="11"/>
  <c r="AA82" i="11"/>
  <c r="AA81" i="11"/>
  <c r="AA80" i="11"/>
  <c r="AJ80" i="11" s="1"/>
  <c r="AA79" i="11"/>
  <c r="AA78" i="11"/>
  <c r="AA77" i="11"/>
  <c r="AA76" i="11"/>
  <c r="AA75" i="11"/>
  <c r="AA74" i="11"/>
  <c r="AA73" i="11"/>
  <c r="AJ73" i="11" s="1"/>
  <c r="AA72" i="11"/>
  <c r="AA71" i="11"/>
  <c r="AJ71" i="11" s="1"/>
  <c r="AA70" i="11"/>
  <c r="AA69" i="11"/>
  <c r="AA68" i="11"/>
  <c r="AA67" i="11"/>
  <c r="AA66" i="11"/>
  <c r="AA65" i="11"/>
  <c r="AA64" i="11"/>
  <c r="AA63" i="11"/>
  <c r="AA62" i="11"/>
  <c r="AA61" i="11"/>
  <c r="AA60" i="11"/>
  <c r="AA59" i="11"/>
  <c r="AA58" i="11"/>
  <c r="AA57" i="11"/>
  <c r="AA56" i="11"/>
  <c r="AA55" i="11"/>
  <c r="AA54" i="11"/>
  <c r="AA53" i="11"/>
  <c r="AA52" i="11"/>
  <c r="AJ52" i="11" s="1"/>
  <c r="AA51" i="11"/>
  <c r="AJ51" i="11" s="1"/>
  <c r="AA50" i="11"/>
  <c r="AJ50" i="11" s="1"/>
  <c r="AA49" i="11"/>
  <c r="AA48" i="11"/>
  <c r="AA47" i="11"/>
  <c r="AJ47" i="11" s="1"/>
  <c r="AA46" i="11"/>
  <c r="AJ46" i="11" s="1"/>
  <c r="AA45" i="11"/>
  <c r="AA44" i="11"/>
  <c r="AA43" i="11"/>
  <c r="AA42" i="11"/>
  <c r="AA41" i="11"/>
  <c r="AA40" i="11"/>
  <c r="AA39" i="11"/>
  <c r="AA38" i="11"/>
  <c r="AA37" i="11"/>
  <c r="AA36" i="11"/>
  <c r="AJ36" i="11" s="1"/>
  <c r="AA35" i="11"/>
  <c r="AA34" i="11"/>
  <c r="AA33" i="11"/>
  <c r="AA32" i="11"/>
  <c r="AA31" i="11"/>
  <c r="AA30" i="11"/>
  <c r="AA29" i="11"/>
  <c r="AA28" i="11"/>
  <c r="AA27" i="11"/>
  <c r="AJ27" i="11" s="1"/>
  <c r="AA26" i="11"/>
  <c r="AA25" i="11"/>
  <c r="AA24" i="11"/>
  <c r="AJ24" i="11" s="1"/>
  <c r="AA23" i="11"/>
  <c r="AA22" i="11"/>
  <c r="AA21" i="11"/>
  <c r="AA20" i="11"/>
  <c r="AJ20" i="11" s="1"/>
  <c r="AA19" i="11"/>
  <c r="AJ19" i="11" s="1"/>
  <c r="AA18" i="11"/>
  <c r="AA17" i="11"/>
  <c r="AA16" i="11"/>
  <c r="AJ16" i="11" s="1"/>
  <c r="AA15" i="11"/>
  <c r="AJ15" i="11" s="1"/>
  <c r="AA14" i="11"/>
  <c r="AJ14" i="11" s="1"/>
  <c r="AA13" i="11"/>
  <c r="AA12" i="11"/>
  <c r="AA11" i="11"/>
  <c r="AA10" i="11"/>
  <c r="AA9" i="11"/>
  <c r="N9" i="10" s="1"/>
  <c r="AA8" i="11"/>
  <c r="AA7" i="11"/>
  <c r="AA6" i="11"/>
  <c r="AA5" i="11"/>
  <c r="N5" i="10" s="1"/>
  <c r="Y289" i="11"/>
  <c r="Y288" i="11"/>
  <c r="Y287" i="11"/>
  <c r="Y286" i="11"/>
  <c r="Y285" i="11"/>
  <c r="Y273" i="11"/>
  <c r="Y263" i="11"/>
  <c r="Y259" i="11"/>
  <c r="Y243" i="11"/>
  <c r="Y229" i="11"/>
  <c r="Y228" i="11"/>
  <c r="Y227" i="11"/>
  <c r="Y226" i="11"/>
  <c r="Y205" i="11"/>
  <c r="Y204" i="11"/>
  <c r="AI204" i="11" s="1"/>
  <c r="Y203" i="11"/>
  <c r="AI203" i="11" s="1"/>
  <c r="Y201" i="11"/>
  <c r="AI201" i="11" s="1"/>
  <c r="Y200" i="11"/>
  <c r="AI200" i="11" s="1"/>
  <c r="Y199" i="11"/>
  <c r="AI199" i="11" s="1"/>
  <c r="Y198" i="11"/>
  <c r="AI198" i="11" s="1"/>
  <c r="Y197" i="11"/>
  <c r="AI197" i="11" s="1"/>
  <c r="Y196" i="11"/>
  <c r="AI196" i="11" s="1"/>
  <c r="Y195" i="11"/>
  <c r="AI195" i="11" s="1"/>
  <c r="Y194" i="11"/>
  <c r="AI194" i="11" s="1"/>
  <c r="Y193" i="11"/>
  <c r="AI193" i="11" s="1"/>
  <c r="Y192" i="11"/>
  <c r="AI192" i="11" s="1"/>
  <c r="Y191" i="11"/>
  <c r="Y190" i="11"/>
  <c r="Y189" i="11"/>
  <c r="Y188" i="11"/>
  <c r="Y187" i="11"/>
  <c r="Y186" i="11"/>
  <c r="Y185" i="11"/>
  <c r="Y184" i="11"/>
  <c r="Y183" i="11"/>
  <c r="Y182" i="11"/>
  <c r="Y181" i="11"/>
  <c r="Y180" i="11"/>
  <c r="Y179" i="11"/>
  <c r="Y178" i="11"/>
  <c r="Y177" i="11"/>
  <c r="Y176" i="11"/>
  <c r="Y175" i="11"/>
  <c r="Y174" i="11"/>
  <c r="Y173" i="11"/>
  <c r="Y172" i="11"/>
  <c r="Y171" i="11"/>
  <c r="Y170" i="11"/>
  <c r="AI170" i="11" s="1"/>
  <c r="Y169" i="11"/>
  <c r="AI169" i="11" s="1"/>
  <c r="Y168" i="11"/>
  <c r="Y167" i="11"/>
  <c r="Y166" i="11"/>
  <c r="Y165" i="11"/>
  <c r="Y164" i="11"/>
  <c r="Y163" i="11"/>
  <c r="Y162" i="11"/>
  <c r="AI162" i="11" s="1"/>
  <c r="Y161" i="11"/>
  <c r="Y160" i="11"/>
  <c r="AI160" i="11" s="1"/>
  <c r="Y159" i="11"/>
  <c r="AI159" i="11" s="1"/>
  <c r="Y158" i="11"/>
  <c r="Y157" i="11"/>
  <c r="AI157" i="11" s="1"/>
  <c r="Y156" i="11"/>
  <c r="AI156" i="11" s="1"/>
  <c r="Y155" i="11"/>
  <c r="Y154" i="11"/>
  <c r="Y153" i="11"/>
  <c r="Y152" i="11"/>
  <c r="Y151" i="11"/>
  <c r="Y150" i="11"/>
  <c r="Y149" i="11"/>
  <c r="Y148" i="11"/>
  <c r="AI148" i="11" s="1"/>
  <c r="Y147" i="11"/>
  <c r="Y146" i="11"/>
  <c r="AI146" i="11" s="1"/>
  <c r="Y145" i="11"/>
  <c r="AI145" i="11" s="1"/>
  <c r="Y144" i="11"/>
  <c r="Y143" i="11"/>
  <c r="Y142" i="11"/>
  <c r="Y141" i="11"/>
  <c r="AI141" i="11" s="1"/>
  <c r="Y140" i="11"/>
  <c r="AI140" i="11" s="1"/>
  <c r="Y139" i="11"/>
  <c r="Y138" i="11"/>
  <c r="Y137" i="11"/>
  <c r="Y136" i="11"/>
  <c r="Y135" i="11"/>
  <c r="Y134" i="11"/>
  <c r="Y133" i="11"/>
  <c r="Y132" i="11"/>
  <c r="Y131" i="11"/>
  <c r="Y130" i="11"/>
  <c r="Y129" i="11"/>
  <c r="Y128" i="11"/>
  <c r="Y127" i="11"/>
  <c r="AI127" i="11" s="1"/>
  <c r="Y126" i="11"/>
  <c r="AI126" i="11" s="1"/>
  <c r="Y125" i="11"/>
  <c r="Y124" i="11"/>
  <c r="Y123" i="11"/>
  <c r="Y122" i="11"/>
  <c r="Y121" i="11"/>
  <c r="AI121" i="11" s="1"/>
  <c r="Y120" i="11"/>
  <c r="Y119" i="11"/>
  <c r="Y118" i="11"/>
  <c r="Y117" i="11"/>
  <c r="Y116" i="11"/>
  <c r="Y115" i="11"/>
  <c r="AI115" i="11" s="1"/>
  <c r="Y114" i="11"/>
  <c r="Y113" i="11"/>
  <c r="Y112" i="11"/>
  <c r="Y111" i="11"/>
  <c r="Y110" i="11"/>
  <c r="AI110" i="11" s="1"/>
  <c r="Y109" i="11"/>
  <c r="Y108" i="11"/>
  <c r="AI108" i="11" s="1"/>
  <c r="Y107" i="11"/>
  <c r="Y106" i="11"/>
  <c r="Y105" i="11"/>
  <c r="Y104" i="11"/>
  <c r="Y103" i="11"/>
  <c r="AI103" i="11" s="1"/>
  <c r="Y102" i="11"/>
  <c r="Y101" i="11"/>
  <c r="Y100" i="11"/>
  <c r="AI100" i="11" s="1"/>
  <c r="Y99" i="11"/>
  <c r="AI99" i="11" s="1"/>
  <c r="Y98" i="11"/>
  <c r="Y97" i="11"/>
  <c r="Y96" i="11"/>
  <c r="Y95" i="11"/>
  <c r="AI95" i="11" s="1"/>
  <c r="Y94" i="11"/>
  <c r="Y93" i="11"/>
  <c r="Y92" i="11"/>
  <c r="Y91" i="11"/>
  <c r="Y90" i="11"/>
  <c r="Y89" i="11"/>
  <c r="Y88" i="11"/>
  <c r="Y87" i="11"/>
  <c r="AI87" i="11" s="1"/>
  <c r="Y86" i="11"/>
  <c r="Y85" i="11"/>
  <c r="Y84" i="11"/>
  <c r="Y83" i="11"/>
  <c r="Y82" i="11"/>
  <c r="Y81" i="11"/>
  <c r="Y80" i="11"/>
  <c r="AI80" i="11" s="1"/>
  <c r="Y79" i="11"/>
  <c r="Y78" i="11"/>
  <c r="Y77" i="11"/>
  <c r="Y76" i="11"/>
  <c r="Y75" i="11"/>
  <c r="Y74" i="11"/>
  <c r="Y73" i="11"/>
  <c r="AI73" i="11" s="1"/>
  <c r="Y72" i="11"/>
  <c r="Y71" i="11"/>
  <c r="AI71" i="11" s="1"/>
  <c r="Y70" i="11"/>
  <c r="Y69" i="11"/>
  <c r="Y68" i="11"/>
  <c r="Y67" i="11"/>
  <c r="Y66" i="11"/>
  <c r="Y65" i="11"/>
  <c r="Y64" i="11"/>
  <c r="Y63" i="11"/>
  <c r="Y62" i="11"/>
  <c r="Y61" i="11"/>
  <c r="Y60" i="11"/>
  <c r="Y59" i="11"/>
  <c r="Y58" i="11"/>
  <c r="Y57" i="11"/>
  <c r="Y56" i="11"/>
  <c r="Y55" i="11"/>
  <c r="Y54" i="11"/>
  <c r="Y53" i="11"/>
  <c r="Y52" i="11"/>
  <c r="AI52" i="11" s="1"/>
  <c r="Y51" i="11"/>
  <c r="AI51" i="11" s="1"/>
  <c r="Y50" i="11"/>
  <c r="AI50" i="11" s="1"/>
  <c r="Y49" i="11"/>
  <c r="Y48" i="11"/>
  <c r="Y47" i="11"/>
  <c r="AI47" i="11" s="1"/>
  <c r="Y46" i="11"/>
  <c r="AI46" i="11" s="1"/>
  <c r="Y45" i="11"/>
  <c r="Y44" i="11"/>
  <c r="Y43" i="11"/>
  <c r="Y42" i="11"/>
  <c r="Y41" i="11"/>
  <c r="Y40" i="11"/>
  <c r="Y39" i="11"/>
  <c r="Y38" i="11"/>
  <c r="Y37" i="11"/>
  <c r="Y36" i="11"/>
  <c r="AI36" i="11" s="1"/>
  <c r="Y35" i="11"/>
  <c r="Y34" i="11"/>
  <c r="Y33" i="11"/>
  <c r="Y32" i="11"/>
  <c r="Y31" i="11"/>
  <c r="Y30" i="11"/>
  <c r="Y29" i="11"/>
  <c r="Y28" i="11"/>
  <c r="Y27" i="11"/>
  <c r="AI27" i="11" s="1"/>
  <c r="Y26" i="11"/>
  <c r="Y25" i="11"/>
  <c r="Y24" i="11"/>
  <c r="AI24" i="11" s="1"/>
  <c r="Y23" i="11"/>
  <c r="Y22" i="11"/>
  <c r="Y21" i="11"/>
  <c r="Y20" i="11"/>
  <c r="AI20" i="11" s="1"/>
  <c r="Y19" i="11"/>
  <c r="AI19" i="11" s="1"/>
  <c r="Y18" i="11"/>
  <c r="Y17" i="11"/>
  <c r="Y16" i="11"/>
  <c r="AI16" i="11" s="1"/>
  <c r="Y15" i="11"/>
  <c r="AI15" i="11" s="1"/>
  <c r="Y14" i="11"/>
  <c r="AI14" i="11" s="1"/>
  <c r="Y13" i="11"/>
  <c r="Y12" i="11"/>
  <c r="Y11" i="11"/>
  <c r="Y10" i="11"/>
  <c r="Y9" i="11"/>
  <c r="M9" i="10" s="1"/>
  <c r="Y8" i="11"/>
  <c r="Y7" i="11"/>
  <c r="Y6" i="11"/>
  <c r="Y5" i="11"/>
  <c r="W289" i="11"/>
  <c r="W288" i="11"/>
  <c r="W287" i="11"/>
  <c r="W286" i="11"/>
  <c r="W285" i="11"/>
  <c r="W273" i="11"/>
  <c r="W263" i="11"/>
  <c r="W259" i="11"/>
  <c r="W243" i="11"/>
  <c r="W229" i="11"/>
  <c r="W228" i="11"/>
  <c r="W227" i="11"/>
  <c r="W226" i="11"/>
  <c r="W205" i="11"/>
  <c r="W204" i="11"/>
  <c r="AH204" i="11" s="1"/>
  <c r="W203" i="11"/>
  <c r="AH203" i="11" s="1"/>
  <c r="W201" i="11"/>
  <c r="AH201" i="11" s="1"/>
  <c r="W200" i="11"/>
  <c r="AH200" i="11" s="1"/>
  <c r="W199" i="11"/>
  <c r="AH199" i="11" s="1"/>
  <c r="W198" i="11"/>
  <c r="AH198" i="11" s="1"/>
  <c r="W197" i="11"/>
  <c r="AH197" i="11" s="1"/>
  <c r="W196" i="11"/>
  <c r="AH196" i="11" s="1"/>
  <c r="W195" i="11"/>
  <c r="AH195" i="11" s="1"/>
  <c r="W194" i="11"/>
  <c r="AH194" i="11" s="1"/>
  <c r="W193" i="11"/>
  <c r="AH193" i="11" s="1"/>
  <c r="W192" i="11"/>
  <c r="AH192" i="11" s="1"/>
  <c r="W191" i="11"/>
  <c r="W190" i="11"/>
  <c r="W189" i="11"/>
  <c r="W188" i="11"/>
  <c r="W187" i="11"/>
  <c r="W186" i="11"/>
  <c r="W185" i="11"/>
  <c r="W184" i="11"/>
  <c r="W183" i="11"/>
  <c r="W182" i="11"/>
  <c r="W181" i="11"/>
  <c r="W180" i="11"/>
  <c r="W179" i="11"/>
  <c r="W178" i="11"/>
  <c r="W177" i="11"/>
  <c r="W176" i="11"/>
  <c r="W175" i="11"/>
  <c r="W174" i="11"/>
  <c r="W173" i="11"/>
  <c r="W172" i="11"/>
  <c r="W171" i="11"/>
  <c r="W170" i="11"/>
  <c r="AH170" i="11" s="1"/>
  <c r="W169" i="11"/>
  <c r="AH169" i="11" s="1"/>
  <c r="W168" i="11"/>
  <c r="W167" i="11"/>
  <c r="W166" i="11"/>
  <c r="W165" i="11"/>
  <c r="W164" i="11"/>
  <c r="W163" i="11"/>
  <c r="W162" i="11"/>
  <c r="AH162" i="11" s="1"/>
  <c r="W161" i="11"/>
  <c r="W160" i="11"/>
  <c r="AH160" i="11" s="1"/>
  <c r="W159" i="11"/>
  <c r="AH159" i="11" s="1"/>
  <c r="W158" i="11"/>
  <c r="W157" i="11"/>
  <c r="AH157" i="11" s="1"/>
  <c r="W156" i="11"/>
  <c r="AH156" i="11" s="1"/>
  <c r="W155" i="11"/>
  <c r="W154" i="11"/>
  <c r="W153" i="11"/>
  <c r="W152" i="11"/>
  <c r="W151" i="11"/>
  <c r="W150" i="11"/>
  <c r="W149" i="11"/>
  <c r="W148" i="11"/>
  <c r="AH148" i="11" s="1"/>
  <c r="W147" i="11"/>
  <c r="W146" i="11"/>
  <c r="AH146" i="11" s="1"/>
  <c r="W145" i="11"/>
  <c r="AH145" i="11" s="1"/>
  <c r="W144" i="11"/>
  <c r="W143" i="11"/>
  <c r="W142" i="11"/>
  <c r="W141" i="11"/>
  <c r="AH141" i="11" s="1"/>
  <c r="W140" i="11"/>
  <c r="AH140" i="11" s="1"/>
  <c r="W139" i="11"/>
  <c r="W138" i="11"/>
  <c r="W137" i="11"/>
  <c r="W136" i="11"/>
  <c r="W135" i="11"/>
  <c r="W134" i="11"/>
  <c r="W133" i="11"/>
  <c r="W132" i="11"/>
  <c r="W131" i="11"/>
  <c r="W130" i="11"/>
  <c r="W129" i="11"/>
  <c r="W128" i="11"/>
  <c r="W127" i="11"/>
  <c r="AH127" i="11" s="1"/>
  <c r="W126" i="11"/>
  <c r="AH126" i="11" s="1"/>
  <c r="W125" i="11"/>
  <c r="W124" i="11"/>
  <c r="W123" i="11"/>
  <c r="W122" i="11"/>
  <c r="W121" i="11"/>
  <c r="AH121" i="11" s="1"/>
  <c r="W120" i="11"/>
  <c r="W119" i="11"/>
  <c r="W118" i="11"/>
  <c r="W117" i="11"/>
  <c r="W116" i="11"/>
  <c r="W115" i="11"/>
  <c r="AH115" i="11" s="1"/>
  <c r="W114" i="11"/>
  <c r="W113" i="11"/>
  <c r="W112" i="11"/>
  <c r="W111" i="11"/>
  <c r="W110" i="11"/>
  <c r="AH110" i="11" s="1"/>
  <c r="W109" i="11"/>
  <c r="W108" i="11"/>
  <c r="AH108" i="11" s="1"/>
  <c r="W107" i="11"/>
  <c r="W106" i="11"/>
  <c r="W105" i="11"/>
  <c r="W104" i="11"/>
  <c r="W103" i="11"/>
  <c r="AH103" i="11" s="1"/>
  <c r="W102" i="11"/>
  <c r="W101" i="11"/>
  <c r="W100" i="11"/>
  <c r="AH100" i="11" s="1"/>
  <c r="W99" i="11"/>
  <c r="AH99" i="11" s="1"/>
  <c r="W98" i="11"/>
  <c r="W97" i="11"/>
  <c r="W96" i="11"/>
  <c r="W95" i="11"/>
  <c r="AH95" i="11" s="1"/>
  <c r="W94" i="11"/>
  <c r="W93" i="11"/>
  <c r="W92" i="11"/>
  <c r="W91" i="11"/>
  <c r="W90" i="11"/>
  <c r="W89" i="11"/>
  <c r="W88" i="11"/>
  <c r="W87" i="11"/>
  <c r="AH87" i="11" s="1"/>
  <c r="W86" i="11"/>
  <c r="W85" i="11"/>
  <c r="W84" i="11"/>
  <c r="W83" i="11"/>
  <c r="W82" i="11"/>
  <c r="W81" i="11"/>
  <c r="W80" i="11"/>
  <c r="AH80" i="11" s="1"/>
  <c r="W79" i="11"/>
  <c r="W78" i="11"/>
  <c r="W77" i="11"/>
  <c r="W76" i="11"/>
  <c r="W75" i="11"/>
  <c r="W74" i="11"/>
  <c r="W73" i="11"/>
  <c r="AH73" i="11" s="1"/>
  <c r="W72" i="11"/>
  <c r="W71" i="11"/>
  <c r="AH71" i="11" s="1"/>
  <c r="W70" i="11"/>
  <c r="W69" i="11"/>
  <c r="W68" i="11"/>
  <c r="W67" i="11"/>
  <c r="W66" i="11"/>
  <c r="W65" i="11"/>
  <c r="W64" i="11"/>
  <c r="W63" i="11"/>
  <c r="W62" i="11"/>
  <c r="W61" i="11"/>
  <c r="W60" i="11"/>
  <c r="W59" i="11"/>
  <c r="W58" i="11"/>
  <c r="W57" i="11"/>
  <c r="W56" i="11"/>
  <c r="W55" i="11"/>
  <c r="W54" i="11"/>
  <c r="W53" i="11"/>
  <c r="W52" i="11"/>
  <c r="AH52" i="11" s="1"/>
  <c r="W51" i="11"/>
  <c r="AH51" i="11" s="1"/>
  <c r="W50" i="11"/>
  <c r="AH50" i="11" s="1"/>
  <c r="W49" i="11"/>
  <c r="W48" i="11"/>
  <c r="W47" i="11"/>
  <c r="AH47" i="11" s="1"/>
  <c r="W46" i="11"/>
  <c r="AH46" i="11" s="1"/>
  <c r="W45" i="11"/>
  <c r="W44" i="11"/>
  <c r="W43" i="11"/>
  <c r="W42" i="11"/>
  <c r="W41" i="11"/>
  <c r="W40" i="11"/>
  <c r="W39" i="11"/>
  <c r="W38" i="11"/>
  <c r="W37" i="11"/>
  <c r="W36" i="11"/>
  <c r="AH36" i="11" s="1"/>
  <c r="W35" i="11"/>
  <c r="W34" i="11"/>
  <c r="W33" i="11"/>
  <c r="W32" i="11"/>
  <c r="W31" i="11"/>
  <c r="W30" i="11"/>
  <c r="W29" i="11"/>
  <c r="W28" i="11"/>
  <c r="W27" i="11"/>
  <c r="AH27" i="11" s="1"/>
  <c r="W26" i="11"/>
  <c r="W25" i="11"/>
  <c r="W24" i="11"/>
  <c r="AH24" i="11" s="1"/>
  <c r="W23" i="11"/>
  <c r="W22" i="11"/>
  <c r="W21" i="11"/>
  <c r="W20" i="11"/>
  <c r="AH20" i="11" s="1"/>
  <c r="W19" i="11"/>
  <c r="AH19" i="11" s="1"/>
  <c r="W18" i="11"/>
  <c r="W17" i="11"/>
  <c r="W16" i="11"/>
  <c r="AH16" i="11" s="1"/>
  <c r="W15" i="11"/>
  <c r="AH15" i="11" s="1"/>
  <c r="W14" i="11"/>
  <c r="AH14" i="11" s="1"/>
  <c r="W13" i="11"/>
  <c r="W12" i="11"/>
  <c r="W11" i="11"/>
  <c r="W10" i="11"/>
  <c r="W9" i="11"/>
  <c r="L9" i="10" s="1"/>
  <c r="W8" i="11"/>
  <c r="W7" i="11"/>
  <c r="W6" i="11"/>
  <c r="W5" i="11"/>
  <c r="L5" i="10" s="1"/>
  <c r="U289" i="11"/>
  <c r="U288" i="11"/>
  <c r="U287" i="11"/>
  <c r="U286" i="11"/>
  <c r="U285" i="11"/>
  <c r="U273" i="11"/>
  <c r="U263" i="11"/>
  <c r="U259" i="11"/>
  <c r="U243" i="11"/>
  <c r="U229" i="11"/>
  <c r="U228" i="11"/>
  <c r="U227" i="11"/>
  <c r="U226" i="11"/>
  <c r="U205" i="11"/>
  <c r="U204" i="11"/>
  <c r="AG204" i="11" s="1"/>
  <c r="U203" i="11"/>
  <c r="AG203" i="11" s="1"/>
  <c r="U201" i="11"/>
  <c r="AG201" i="11" s="1"/>
  <c r="U200" i="11"/>
  <c r="AG200" i="11" s="1"/>
  <c r="U199" i="11"/>
  <c r="AG199" i="11" s="1"/>
  <c r="U198" i="11"/>
  <c r="AG198" i="11" s="1"/>
  <c r="U197" i="11"/>
  <c r="AG197" i="11" s="1"/>
  <c r="U196" i="11"/>
  <c r="AG196" i="11" s="1"/>
  <c r="U195" i="11"/>
  <c r="AG195" i="11" s="1"/>
  <c r="U194" i="11"/>
  <c r="AG194" i="11" s="1"/>
  <c r="U193" i="11"/>
  <c r="AG193" i="11" s="1"/>
  <c r="U192" i="11"/>
  <c r="AG192" i="11" s="1"/>
  <c r="U191" i="11"/>
  <c r="U190" i="11"/>
  <c r="U189" i="11"/>
  <c r="U188" i="11"/>
  <c r="U187" i="11"/>
  <c r="U186" i="11"/>
  <c r="U185" i="11"/>
  <c r="U184" i="11"/>
  <c r="U183" i="11"/>
  <c r="U182" i="11"/>
  <c r="U181" i="11"/>
  <c r="U180" i="11"/>
  <c r="U179" i="11"/>
  <c r="U178" i="11"/>
  <c r="U177" i="11"/>
  <c r="U176" i="11"/>
  <c r="U175" i="11"/>
  <c r="U174" i="11"/>
  <c r="U173" i="11"/>
  <c r="U172" i="11"/>
  <c r="U171" i="11"/>
  <c r="U170" i="11"/>
  <c r="AG170" i="11" s="1"/>
  <c r="U169" i="11"/>
  <c r="AG169" i="11" s="1"/>
  <c r="U168" i="11"/>
  <c r="U167" i="11"/>
  <c r="U166" i="11"/>
  <c r="U165" i="11"/>
  <c r="U164" i="11"/>
  <c r="U163" i="11"/>
  <c r="U162" i="11"/>
  <c r="AG162" i="11" s="1"/>
  <c r="U161" i="11"/>
  <c r="U160" i="11"/>
  <c r="AG160" i="11" s="1"/>
  <c r="U159" i="11"/>
  <c r="AG159" i="11" s="1"/>
  <c r="U158" i="11"/>
  <c r="U157" i="11"/>
  <c r="AG157" i="11" s="1"/>
  <c r="U156" i="11"/>
  <c r="AG156" i="11" s="1"/>
  <c r="U155" i="11"/>
  <c r="U154" i="11"/>
  <c r="U153" i="11"/>
  <c r="U152" i="11"/>
  <c r="U151" i="11"/>
  <c r="U150" i="11"/>
  <c r="U149" i="11"/>
  <c r="U148" i="11"/>
  <c r="AG148" i="11" s="1"/>
  <c r="U147" i="11"/>
  <c r="U146" i="11"/>
  <c r="AG146" i="11" s="1"/>
  <c r="U145" i="11"/>
  <c r="AG145" i="11" s="1"/>
  <c r="U144" i="11"/>
  <c r="U143" i="11"/>
  <c r="U142" i="11"/>
  <c r="U141" i="11"/>
  <c r="AG141" i="11" s="1"/>
  <c r="U140" i="11"/>
  <c r="AG140" i="11" s="1"/>
  <c r="U139" i="11"/>
  <c r="U138" i="11"/>
  <c r="U137" i="11"/>
  <c r="U136" i="11"/>
  <c r="U135" i="11"/>
  <c r="U134" i="11"/>
  <c r="U133" i="11"/>
  <c r="U132" i="11"/>
  <c r="U131" i="11"/>
  <c r="U130" i="11"/>
  <c r="U129" i="11"/>
  <c r="U128" i="11"/>
  <c r="U127" i="11"/>
  <c r="AG127" i="11" s="1"/>
  <c r="U126" i="11"/>
  <c r="AG126" i="11" s="1"/>
  <c r="U125" i="11"/>
  <c r="U124" i="11"/>
  <c r="U123" i="11"/>
  <c r="U122" i="11"/>
  <c r="U121" i="11"/>
  <c r="AG121" i="11" s="1"/>
  <c r="U120" i="11"/>
  <c r="U119" i="11"/>
  <c r="U118" i="11"/>
  <c r="U117" i="11"/>
  <c r="U116" i="11"/>
  <c r="U115" i="11"/>
  <c r="AG115" i="11" s="1"/>
  <c r="U114" i="11"/>
  <c r="U113" i="11"/>
  <c r="U112" i="11"/>
  <c r="U111" i="11"/>
  <c r="U110" i="11"/>
  <c r="AG110" i="11" s="1"/>
  <c r="U109" i="11"/>
  <c r="U108" i="11"/>
  <c r="AG108" i="11" s="1"/>
  <c r="U107" i="11"/>
  <c r="U106" i="11"/>
  <c r="U105" i="11"/>
  <c r="U104" i="11"/>
  <c r="U103" i="11"/>
  <c r="AG103" i="11" s="1"/>
  <c r="U102" i="11"/>
  <c r="U101" i="11"/>
  <c r="U100" i="11"/>
  <c r="AG100" i="11" s="1"/>
  <c r="U99" i="11"/>
  <c r="AG99" i="11" s="1"/>
  <c r="U98" i="11"/>
  <c r="U97" i="11"/>
  <c r="U96" i="11"/>
  <c r="U95" i="11"/>
  <c r="AG95" i="11" s="1"/>
  <c r="U94" i="11"/>
  <c r="U93" i="11"/>
  <c r="U92" i="11"/>
  <c r="U91" i="11"/>
  <c r="U90" i="11"/>
  <c r="U89" i="11"/>
  <c r="U88" i="11"/>
  <c r="U87" i="11"/>
  <c r="AG87" i="11" s="1"/>
  <c r="U86" i="11"/>
  <c r="U85" i="11"/>
  <c r="U84" i="11"/>
  <c r="U83" i="11"/>
  <c r="U82" i="11"/>
  <c r="U81" i="11"/>
  <c r="U80" i="11"/>
  <c r="AG80" i="11" s="1"/>
  <c r="U79" i="11"/>
  <c r="U78" i="11"/>
  <c r="U77" i="11"/>
  <c r="U76" i="11"/>
  <c r="U75" i="11"/>
  <c r="U74" i="11"/>
  <c r="U73" i="11"/>
  <c r="AG73" i="11" s="1"/>
  <c r="U72" i="11"/>
  <c r="U71" i="11"/>
  <c r="AG71" i="11" s="1"/>
  <c r="U70" i="11"/>
  <c r="U69" i="11"/>
  <c r="U68" i="11"/>
  <c r="U67" i="11"/>
  <c r="U66" i="11"/>
  <c r="U65" i="11"/>
  <c r="U64" i="11"/>
  <c r="U63" i="11"/>
  <c r="U62" i="11"/>
  <c r="U61" i="11"/>
  <c r="U60" i="11"/>
  <c r="U59" i="11"/>
  <c r="U58" i="11"/>
  <c r="U57" i="11"/>
  <c r="U56" i="11"/>
  <c r="U55" i="11"/>
  <c r="U54" i="11"/>
  <c r="U53" i="11"/>
  <c r="U52" i="11"/>
  <c r="AG52" i="11" s="1"/>
  <c r="U51" i="11"/>
  <c r="AG51" i="11" s="1"/>
  <c r="U50" i="11"/>
  <c r="AG50" i="11" s="1"/>
  <c r="U49" i="11"/>
  <c r="U48" i="11"/>
  <c r="U47" i="11"/>
  <c r="AG47" i="11" s="1"/>
  <c r="U46" i="11"/>
  <c r="AG46" i="11" s="1"/>
  <c r="U45" i="11"/>
  <c r="U44" i="11"/>
  <c r="U43" i="11"/>
  <c r="U42" i="11"/>
  <c r="U41" i="11"/>
  <c r="U40" i="11"/>
  <c r="U39" i="11"/>
  <c r="U38" i="11"/>
  <c r="U37" i="11"/>
  <c r="U36" i="11"/>
  <c r="AG36" i="11" s="1"/>
  <c r="U35" i="11"/>
  <c r="U34" i="11"/>
  <c r="U33" i="11"/>
  <c r="U32" i="11"/>
  <c r="U31" i="11"/>
  <c r="U30" i="11"/>
  <c r="U29" i="11"/>
  <c r="U28" i="11"/>
  <c r="U27" i="11"/>
  <c r="AG27" i="11" s="1"/>
  <c r="U26" i="11"/>
  <c r="U25" i="11"/>
  <c r="U24" i="11"/>
  <c r="AG24" i="11" s="1"/>
  <c r="U23" i="11"/>
  <c r="U22" i="11"/>
  <c r="U21" i="11"/>
  <c r="U20" i="11"/>
  <c r="AG20" i="11" s="1"/>
  <c r="U19" i="11"/>
  <c r="AG19" i="11" s="1"/>
  <c r="U18" i="11"/>
  <c r="U17" i="11"/>
  <c r="U16" i="11"/>
  <c r="AG16" i="11" s="1"/>
  <c r="U15" i="11"/>
  <c r="AG15" i="11" s="1"/>
  <c r="U14" i="11"/>
  <c r="AG14" i="11" s="1"/>
  <c r="U13" i="11"/>
  <c r="U12" i="11"/>
  <c r="U11" i="11"/>
  <c r="U10" i="11"/>
  <c r="U9" i="11"/>
  <c r="K9" i="10" s="1"/>
  <c r="U8" i="11"/>
  <c r="U7" i="11"/>
  <c r="U6" i="11"/>
  <c r="U5" i="11"/>
  <c r="K5" i="10" s="1"/>
  <c r="S289" i="11"/>
  <c r="S288" i="11"/>
  <c r="S287" i="11"/>
  <c r="S286" i="11"/>
  <c r="S285" i="11"/>
  <c r="S273" i="11"/>
  <c r="S263" i="11"/>
  <c r="S259" i="11"/>
  <c r="S243" i="11"/>
  <c r="S229" i="11"/>
  <c r="S228" i="11"/>
  <c r="S227" i="11"/>
  <c r="S226" i="11"/>
  <c r="S205" i="11"/>
  <c r="S204" i="11"/>
  <c r="AF204" i="11" s="1"/>
  <c r="S203" i="11"/>
  <c r="AF203" i="11" s="1"/>
  <c r="S201" i="11"/>
  <c r="AF201" i="11" s="1"/>
  <c r="S200" i="11"/>
  <c r="AF200" i="11" s="1"/>
  <c r="S199" i="11"/>
  <c r="AF199" i="11" s="1"/>
  <c r="S198" i="11"/>
  <c r="AF198" i="11" s="1"/>
  <c r="S197" i="11"/>
  <c r="AF197" i="11" s="1"/>
  <c r="S196" i="11"/>
  <c r="AF196" i="11" s="1"/>
  <c r="S195" i="11"/>
  <c r="AF195" i="11" s="1"/>
  <c r="S194" i="11"/>
  <c r="AF194" i="11" s="1"/>
  <c r="S193" i="11"/>
  <c r="AF193" i="11" s="1"/>
  <c r="S192" i="11"/>
  <c r="AF192" i="11" s="1"/>
  <c r="S191" i="11"/>
  <c r="S190" i="11"/>
  <c r="S189" i="11"/>
  <c r="S188" i="11"/>
  <c r="S187" i="11"/>
  <c r="S186" i="11"/>
  <c r="S185" i="11"/>
  <c r="S184" i="11"/>
  <c r="S183" i="11"/>
  <c r="S182" i="11"/>
  <c r="S181" i="11"/>
  <c r="S180" i="11"/>
  <c r="S179" i="11"/>
  <c r="S178" i="11"/>
  <c r="S177" i="11"/>
  <c r="S176" i="11"/>
  <c r="S175" i="11"/>
  <c r="S174" i="11"/>
  <c r="S173" i="11"/>
  <c r="S172" i="11"/>
  <c r="S171" i="11"/>
  <c r="S170" i="11"/>
  <c r="AF170" i="11" s="1"/>
  <c r="S169" i="11"/>
  <c r="AF169" i="11" s="1"/>
  <c r="S168" i="11"/>
  <c r="S167" i="11"/>
  <c r="S166" i="11"/>
  <c r="S165" i="11"/>
  <c r="S164" i="11"/>
  <c r="S163" i="11"/>
  <c r="S162" i="11"/>
  <c r="AF162" i="11" s="1"/>
  <c r="S161" i="11"/>
  <c r="S160" i="11"/>
  <c r="AF160" i="11" s="1"/>
  <c r="S159" i="11"/>
  <c r="AF159" i="11" s="1"/>
  <c r="S158" i="11"/>
  <c r="S157" i="11"/>
  <c r="AF157" i="11" s="1"/>
  <c r="S156" i="11"/>
  <c r="AF156" i="11" s="1"/>
  <c r="S155" i="11"/>
  <c r="S154" i="11"/>
  <c r="S153" i="11"/>
  <c r="S152" i="11"/>
  <c r="S151" i="11"/>
  <c r="S150" i="11"/>
  <c r="S149" i="11"/>
  <c r="S148" i="11"/>
  <c r="AF148" i="11" s="1"/>
  <c r="S147" i="11"/>
  <c r="S146" i="11"/>
  <c r="AF146" i="11" s="1"/>
  <c r="S145" i="11"/>
  <c r="AF145" i="11" s="1"/>
  <c r="S144" i="11"/>
  <c r="S143" i="11"/>
  <c r="S142" i="11"/>
  <c r="S141" i="11"/>
  <c r="AF141" i="11" s="1"/>
  <c r="S140" i="11"/>
  <c r="AF140" i="11" s="1"/>
  <c r="S139" i="11"/>
  <c r="S138" i="11"/>
  <c r="S137" i="11"/>
  <c r="S136" i="11"/>
  <c r="S135" i="11"/>
  <c r="S134" i="11"/>
  <c r="S133" i="11"/>
  <c r="S132" i="11"/>
  <c r="S131" i="11"/>
  <c r="S130" i="11"/>
  <c r="S129" i="11"/>
  <c r="S128" i="11"/>
  <c r="S127" i="11"/>
  <c r="AF127" i="11" s="1"/>
  <c r="S126" i="11"/>
  <c r="AF126" i="11" s="1"/>
  <c r="S125" i="11"/>
  <c r="S124" i="11"/>
  <c r="S123" i="11"/>
  <c r="S122" i="11"/>
  <c r="S121" i="11"/>
  <c r="AF121" i="11" s="1"/>
  <c r="S120" i="11"/>
  <c r="S119" i="11"/>
  <c r="S118" i="11"/>
  <c r="S117" i="11"/>
  <c r="S116" i="11"/>
  <c r="S115" i="11"/>
  <c r="AF115" i="11" s="1"/>
  <c r="S114" i="11"/>
  <c r="S113" i="11"/>
  <c r="S112" i="11"/>
  <c r="S111" i="11"/>
  <c r="S110" i="11"/>
  <c r="AF110" i="11" s="1"/>
  <c r="S109" i="11"/>
  <c r="S108" i="11"/>
  <c r="AF108" i="11" s="1"/>
  <c r="S107" i="11"/>
  <c r="S106" i="11"/>
  <c r="S105" i="11"/>
  <c r="S104" i="11"/>
  <c r="S103" i="11"/>
  <c r="AF103" i="11" s="1"/>
  <c r="S102" i="11"/>
  <c r="S101" i="11"/>
  <c r="S100" i="11"/>
  <c r="AF100" i="11" s="1"/>
  <c r="S99" i="11"/>
  <c r="AF99" i="11" s="1"/>
  <c r="S98" i="11"/>
  <c r="S97" i="11"/>
  <c r="S96" i="11"/>
  <c r="S95" i="11"/>
  <c r="AF95" i="11" s="1"/>
  <c r="S94" i="11"/>
  <c r="S93" i="11"/>
  <c r="S92" i="11"/>
  <c r="S91" i="11"/>
  <c r="S90" i="11"/>
  <c r="S89" i="11"/>
  <c r="S88" i="11"/>
  <c r="S87" i="11"/>
  <c r="AF87" i="11" s="1"/>
  <c r="S86" i="11"/>
  <c r="S85" i="11"/>
  <c r="S84" i="11"/>
  <c r="S83" i="11"/>
  <c r="S82" i="11"/>
  <c r="S81" i="11"/>
  <c r="S80" i="11"/>
  <c r="AF80" i="11" s="1"/>
  <c r="S79" i="11"/>
  <c r="S78" i="11"/>
  <c r="S77" i="11"/>
  <c r="S76" i="11"/>
  <c r="S75" i="11"/>
  <c r="S74" i="11"/>
  <c r="S73" i="11"/>
  <c r="AF73" i="11" s="1"/>
  <c r="S72" i="11"/>
  <c r="S71" i="11"/>
  <c r="AF71" i="11" s="1"/>
  <c r="S70" i="11"/>
  <c r="S69" i="11"/>
  <c r="S68" i="11"/>
  <c r="S67" i="11"/>
  <c r="S66" i="11"/>
  <c r="S65" i="11"/>
  <c r="S64" i="11"/>
  <c r="S63" i="11"/>
  <c r="S62" i="11"/>
  <c r="S61" i="11"/>
  <c r="S60" i="11"/>
  <c r="S59" i="11"/>
  <c r="S58" i="11"/>
  <c r="S57" i="11"/>
  <c r="S56" i="11"/>
  <c r="S55" i="11"/>
  <c r="S54" i="11"/>
  <c r="S53" i="11"/>
  <c r="S52" i="11"/>
  <c r="AF52" i="11" s="1"/>
  <c r="S51" i="11"/>
  <c r="AF51" i="11" s="1"/>
  <c r="S50" i="11"/>
  <c r="AF50" i="11" s="1"/>
  <c r="S49" i="11"/>
  <c r="S48" i="11"/>
  <c r="S47" i="11"/>
  <c r="AF47" i="11" s="1"/>
  <c r="S46" i="11"/>
  <c r="AF46" i="11" s="1"/>
  <c r="S45" i="11"/>
  <c r="S44" i="11"/>
  <c r="S43" i="11"/>
  <c r="S42" i="11"/>
  <c r="S41" i="11"/>
  <c r="S40" i="11"/>
  <c r="S39" i="11"/>
  <c r="S38" i="11"/>
  <c r="S37" i="11"/>
  <c r="S36" i="11"/>
  <c r="AF36" i="11" s="1"/>
  <c r="S35" i="11"/>
  <c r="S34" i="11"/>
  <c r="S33" i="11"/>
  <c r="S32" i="11"/>
  <c r="S31" i="11"/>
  <c r="S30" i="11"/>
  <c r="S29" i="11"/>
  <c r="S28" i="11"/>
  <c r="S27" i="11"/>
  <c r="AF27" i="11" s="1"/>
  <c r="S26" i="11"/>
  <c r="S25" i="11"/>
  <c r="S24" i="11"/>
  <c r="AF24" i="11" s="1"/>
  <c r="S23" i="11"/>
  <c r="S22" i="11"/>
  <c r="S21" i="11"/>
  <c r="S20" i="11"/>
  <c r="AF20" i="11" s="1"/>
  <c r="S19" i="11"/>
  <c r="AF19" i="11" s="1"/>
  <c r="S18" i="11"/>
  <c r="S17" i="11"/>
  <c r="S16" i="11"/>
  <c r="AF16" i="11" s="1"/>
  <c r="S15" i="11"/>
  <c r="AF15" i="11" s="1"/>
  <c r="S14" i="11"/>
  <c r="AF14" i="11" s="1"/>
  <c r="S13" i="11"/>
  <c r="S12" i="11"/>
  <c r="S11" i="11"/>
  <c r="S10" i="11"/>
  <c r="S9" i="11"/>
  <c r="J9" i="10" s="1"/>
  <c r="S8" i="11"/>
  <c r="S7" i="11"/>
  <c r="S6" i="11"/>
  <c r="S5" i="11"/>
  <c r="J5" i="10" s="1"/>
  <c r="Q289" i="11"/>
  <c r="Q288" i="11"/>
  <c r="Q287" i="11"/>
  <c r="Q286" i="11"/>
  <c r="Q285" i="11"/>
  <c r="Q273" i="11"/>
  <c r="Q263" i="11"/>
  <c r="Q259" i="11"/>
  <c r="Q243" i="11"/>
  <c r="Q229" i="11"/>
  <c r="Q228" i="11"/>
  <c r="Q227" i="11"/>
  <c r="Q226" i="11"/>
  <c r="Q205" i="11"/>
  <c r="Q204" i="11"/>
  <c r="AE204" i="11" s="1"/>
  <c r="Q203" i="11"/>
  <c r="AE203" i="11" s="1"/>
  <c r="Q201" i="11"/>
  <c r="AE201" i="11" s="1"/>
  <c r="Q200" i="11"/>
  <c r="AE200" i="11" s="1"/>
  <c r="Q199" i="11"/>
  <c r="AE199" i="11" s="1"/>
  <c r="Q198" i="11"/>
  <c r="AE198" i="11" s="1"/>
  <c r="Q197" i="11"/>
  <c r="AE197" i="11" s="1"/>
  <c r="Q196" i="11"/>
  <c r="AE196" i="11" s="1"/>
  <c r="Q195" i="11"/>
  <c r="AE195" i="11" s="1"/>
  <c r="Q194" i="11"/>
  <c r="AE194" i="11" s="1"/>
  <c r="Q193" i="11"/>
  <c r="AE193" i="11" s="1"/>
  <c r="Q192" i="11"/>
  <c r="AE192" i="11" s="1"/>
  <c r="Q191" i="11"/>
  <c r="Q190" i="11"/>
  <c r="Q189" i="11"/>
  <c r="Q188" i="11"/>
  <c r="Q187" i="11"/>
  <c r="Q186" i="11"/>
  <c r="Q185" i="11"/>
  <c r="Q184" i="11"/>
  <c r="Q183" i="11"/>
  <c r="Q182" i="11"/>
  <c r="Q181" i="11"/>
  <c r="Q180" i="11"/>
  <c r="Q179" i="11"/>
  <c r="Q178" i="11"/>
  <c r="Q177" i="11"/>
  <c r="Q176" i="11"/>
  <c r="Q175" i="11"/>
  <c r="Q174" i="11"/>
  <c r="Q173" i="11"/>
  <c r="Q172" i="11"/>
  <c r="Q171" i="11"/>
  <c r="Q170" i="11"/>
  <c r="AE170" i="11" s="1"/>
  <c r="Q169" i="11"/>
  <c r="AE169" i="11" s="1"/>
  <c r="Q168" i="11"/>
  <c r="Q167" i="11"/>
  <c r="Q166" i="11"/>
  <c r="Q165" i="11"/>
  <c r="Q164" i="11"/>
  <c r="Q163" i="11"/>
  <c r="Q162" i="11"/>
  <c r="AE162" i="11" s="1"/>
  <c r="Q161" i="11"/>
  <c r="Q160" i="11"/>
  <c r="AE160" i="11" s="1"/>
  <c r="Q159" i="11"/>
  <c r="AE159" i="11" s="1"/>
  <c r="Q158" i="11"/>
  <c r="Q157" i="11"/>
  <c r="AE157" i="11" s="1"/>
  <c r="Q156" i="11"/>
  <c r="AE156" i="11" s="1"/>
  <c r="Q155" i="11"/>
  <c r="Q154" i="11"/>
  <c r="Q153" i="11"/>
  <c r="Q152" i="11"/>
  <c r="Q151" i="11"/>
  <c r="Q150" i="11"/>
  <c r="Q149" i="11"/>
  <c r="Q148" i="11"/>
  <c r="AE148" i="11" s="1"/>
  <c r="Q147" i="11"/>
  <c r="Q146" i="11"/>
  <c r="AE146" i="11" s="1"/>
  <c r="Q145" i="11"/>
  <c r="AE145" i="11" s="1"/>
  <c r="Q144" i="11"/>
  <c r="Q143" i="11"/>
  <c r="Q142" i="11"/>
  <c r="Q141" i="11"/>
  <c r="AE141" i="11" s="1"/>
  <c r="Q140" i="11"/>
  <c r="AE140" i="11" s="1"/>
  <c r="Q139" i="11"/>
  <c r="Q138" i="11"/>
  <c r="Q137" i="11"/>
  <c r="Q136" i="11"/>
  <c r="Q135" i="11"/>
  <c r="Q134" i="11"/>
  <c r="Q133" i="11"/>
  <c r="Q132" i="11"/>
  <c r="Q131" i="11"/>
  <c r="Q130" i="11"/>
  <c r="Q129" i="11"/>
  <c r="Q128" i="11"/>
  <c r="Q127" i="11"/>
  <c r="AE127" i="11" s="1"/>
  <c r="Q126" i="11"/>
  <c r="AE126" i="11" s="1"/>
  <c r="Q125" i="11"/>
  <c r="Q124" i="11"/>
  <c r="Q123" i="11"/>
  <c r="Q122" i="11"/>
  <c r="Q121" i="11"/>
  <c r="AE121" i="11" s="1"/>
  <c r="Q120" i="11"/>
  <c r="Q119" i="11"/>
  <c r="Q118" i="11"/>
  <c r="Q117" i="11"/>
  <c r="Q116" i="11"/>
  <c r="Q115" i="11"/>
  <c r="AE115" i="11" s="1"/>
  <c r="Q114" i="11"/>
  <c r="Q113" i="11"/>
  <c r="Q112" i="11"/>
  <c r="Q111" i="11"/>
  <c r="Q110" i="11"/>
  <c r="AE110" i="11" s="1"/>
  <c r="Q109" i="11"/>
  <c r="Q108" i="11"/>
  <c r="AE108" i="11" s="1"/>
  <c r="Q107" i="11"/>
  <c r="Q106" i="11"/>
  <c r="Q105" i="11"/>
  <c r="Q104" i="11"/>
  <c r="Q103" i="11"/>
  <c r="AE103" i="11" s="1"/>
  <c r="Q102" i="11"/>
  <c r="Q101" i="11"/>
  <c r="Q100" i="11"/>
  <c r="AE100" i="11" s="1"/>
  <c r="Q99" i="11"/>
  <c r="AE99" i="11" s="1"/>
  <c r="Q98" i="11"/>
  <c r="Q97" i="11"/>
  <c r="Q96" i="11"/>
  <c r="Q95" i="11"/>
  <c r="AE95" i="11" s="1"/>
  <c r="Q94" i="11"/>
  <c r="Q93" i="11"/>
  <c r="Q92" i="11"/>
  <c r="Q91" i="11"/>
  <c r="Q90" i="11"/>
  <c r="Q89" i="11"/>
  <c r="Q88" i="11"/>
  <c r="Q87" i="11"/>
  <c r="AE87" i="11" s="1"/>
  <c r="Q86" i="11"/>
  <c r="Q85" i="11"/>
  <c r="Q84" i="11"/>
  <c r="Q83" i="11"/>
  <c r="Q82" i="11"/>
  <c r="Q81" i="11"/>
  <c r="Q80" i="11"/>
  <c r="AE80" i="11" s="1"/>
  <c r="Q79" i="11"/>
  <c r="Q78" i="11"/>
  <c r="Q77" i="11"/>
  <c r="Q76" i="11"/>
  <c r="Q75" i="11"/>
  <c r="Q74" i="11"/>
  <c r="Q73" i="11"/>
  <c r="AE73" i="11" s="1"/>
  <c r="Q72" i="11"/>
  <c r="Q71" i="11"/>
  <c r="AE71" i="11" s="1"/>
  <c r="Q70" i="11"/>
  <c r="Q69" i="11"/>
  <c r="Q68" i="11"/>
  <c r="Q67" i="11"/>
  <c r="Q66" i="11"/>
  <c r="Q65" i="11"/>
  <c r="Q64" i="11"/>
  <c r="Q63" i="11"/>
  <c r="Q62" i="11"/>
  <c r="Q61" i="11"/>
  <c r="Q60" i="11"/>
  <c r="Q59" i="11"/>
  <c r="Q58" i="11"/>
  <c r="Q57" i="11"/>
  <c r="Q56" i="11"/>
  <c r="Q55" i="11"/>
  <c r="Q54" i="11"/>
  <c r="Q53" i="11"/>
  <c r="Q52" i="11"/>
  <c r="AE52" i="11" s="1"/>
  <c r="Q51" i="11"/>
  <c r="AE51" i="11" s="1"/>
  <c r="Q50" i="11"/>
  <c r="AE50" i="11" s="1"/>
  <c r="Q49" i="11"/>
  <c r="Q48" i="11"/>
  <c r="Q47" i="11"/>
  <c r="AE47" i="11" s="1"/>
  <c r="Q46" i="11"/>
  <c r="AE46" i="11" s="1"/>
  <c r="Q45" i="11"/>
  <c r="Q44" i="11"/>
  <c r="Q43" i="11"/>
  <c r="Q42" i="11"/>
  <c r="Q41" i="11"/>
  <c r="Q40" i="11"/>
  <c r="Q39" i="11"/>
  <c r="Q38" i="11"/>
  <c r="Q37" i="11"/>
  <c r="Q36" i="11"/>
  <c r="AE36" i="11" s="1"/>
  <c r="Q35" i="11"/>
  <c r="Q34" i="11"/>
  <c r="Q33" i="11"/>
  <c r="Q32" i="11"/>
  <c r="Q31" i="11"/>
  <c r="Q30" i="11"/>
  <c r="Q29" i="11"/>
  <c r="Q28" i="11"/>
  <c r="Q27" i="11"/>
  <c r="AE27" i="11" s="1"/>
  <c r="Q26" i="11"/>
  <c r="Q25" i="11"/>
  <c r="Q24" i="11"/>
  <c r="AE24" i="11" s="1"/>
  <c r="Q23" i="11"/>
  <c r="Q22" i="11"/>
  <c r="Q21" i="11"/>
  <c r="Q20" i="11"/>
  <c r="AE20" i="11" s="1"/>
  <c r="Q19" i="11"/>
  <c r="AE19" i="11" s="1"/>
  <c r="Q18" i="11"/>
  <c r="Q17" i="11"/>
  <c r="Q16" i="11"/>
  <c r="AE16" i="11" s="1"/>
  <c r="Q15" i="11"/>
  <c r="AE15" i="11" s="1"/>
  <c r="Q14" i="11"/>
  <c r="AE14" i="11" s="1"/>
  <c r="Q13" i="11"/>
  <c r="Q12" i="11"/>
  <c r="Q11" i="11"/>
  <c r="Q10" i="11"/>
  <c r="Q9" i="11"/>
  <c r="I9" i="10" s="1"/>
  <c r="Q8" i="11"/>
  <c r="Q7" i="11"/>
  <c r="Q6" i="11"/>
  <c r="Q5" i="11"/>
  <c r="I5" i="10" s="1"/>
  <c r="O289" i="11"/>
  <c r="O288" i="11"/>
  <c r="O287" i="11"/>
  <c r="O286" i="11"/>
  <c r="O285" i="11"/>
  <c r="O273" i="11"/>
  <c r="O263" i="11"/>
  <c r="O259" i="11"/>
  <c r="O243" i="11"/>
  <c r="O229" i="11"/>
  <c r="O228" i="11"/>
  <c r="O227" i="11"/>
  <c r="O226" i="11"/>
  <c r="O205" i="11"/>
  <c r="O204" i="11"/>
  <c r="AD204" i="11" s="1"/>
  <c r="O203" i="11"/>
  <c r="AD203" i="11" s="1"/>
  <c r="O201" i="11"/>
  <c r="AD201" i="11" s="1"/>
  <c r="O200" i="11"/>
  <c r="AD200" i="11" s="1"/>
  <c r="O199" i="11"/>
  <c r="AD199" i="11" s="1"/>
  <c r="O198" i="11"/>
  <c r="AD198" i="11" s="1"/>
  <c r="O197" i="11"/>
  <c r="AD197" i="11" s="1"/>
  <c r="O196" i="11"/>
  <c r="AD196" i="11" s="1"/>
  <c r="O195" i="11"/>
  <c r="AD195" i="11" s="1"/>
  <c r="O194" i="11"/>
  <c r="AD194" i="11" s="1"/>
  <c r="O193" i="11"/>
  <c r="AD193" i="11" s="1"/>
  <c r="O192" i="11"/>
  <c r="AD192" i="11" s="1"/>
  <c r="O191" i="11"/>
  <c r="O190" i="11"/>
  <c r="O189" i="11"/>
  <c r="O188" i="11"/>
  <c r="O187" i="11"/>
  <c r="O186" i="11"/>
  <c r="O185" i="11"/>
  <c r="O184" i="11"/>
  <c r="O183" i="11"/>
  <c r="O182" i="11"/>
  <c r="O181" i="11"/>
  <c r="O180" i="11"/>
  <c r="O179" i="11"/>
  <c r="O178" i="11"/>
  <c r="O177" i="11"/>
  <c r="O176" i="11"/>
  <c r="O175" i="11"/>
  <c r="O174" i="11"/>
  <c r="O173" i="11"/>
  <c r="O172" i="11"/>
  <c r="O171" i="11"/>
  <c r="O170" i="11"/>
  <c r="AD170" i="11" s="1"/>
  <c r="O169" i="11"/>
  <c r="AD169" i="11" s="1"/>
  <c r="O168" i="11"/>
  <c r="O167" i="11"/>
  <c r="O166" i="11"/>
  <c r="O165" i="11"/>
  <c r="O164" i="11"/>
  <c r="O163" i="11"/>
  <c r="O162" i="11"/>
  <c r="AD162" i="11" s="1"/>
  <c r="O161" i="11"/>
  <c r="O160" i="11"/>
  <c r="AD160" i="11" s="1"/>
  <c r="O159" i="11"/>
  <c r="AD159" i="11" s="1"/>
  <c r="O158" i="11"/>
  <c r="O157" i="11"/>
  <c r="AD157" i="11" s="1"/>
  <c r="O156" i="11"/>
  <c r="AD156" i="11" s="1"/>
  <c r="O155" i="11"/>
  <c r="O154" i="11"/>
  <c r="O153" i="11"/>
  <c r="O152" i="11"/>
  <c r="O151" i="11"/>
  <c r="O150" i="11"/>
  <c r="O149" i="11"/>
  <c r="O148" i="11"/>
  <c r="AD148" i="11" s="1"/>
  <c r="O147" i="11"/>
  <c r="O146" i="11"/>
  <c r="AD146" i="11" s="1"/>
  <c r="O145" i="11"/>
  <c r="AD145" i="11" s="1"/>
  <c r="O144" i="11"/>
  <c r="O143" i="11"/>
  <c r="O142" i="11"/>
  <c r="O141" i="11"/>
  <c r="AD141" i="11" s="1"/>
  <c r="O140" i="11"/>
  <c r="AD140" i="11" s="1"/>
  <c r="O139" i="11"/>
  <c r="O138" i="11"/>
  <c r="O137" i="11"/>
  <c r="O136" i="11"/>
  <c r="O135" i="11"/>
  <c r="O134" i="11"/>
  <c r="O133" i="11"/>
  <c r="O132" i="11"/>
  <c r="O131" i="11"/>
  <c r="O130" i="11"/>
  <c r="O129" i="11"/>
  <c r="O128" i="11"/>
  <c r="O127" i="11"/>
  <c r="AD127" i="11" s="1"/>
  <c r="O126" i="11"/>
  <c r="AD126" i="11" s="1"/>
  <c r="O125" i="11"/>
  <c r="O124" i="11"/>
  <c r="O123" i="11"/>
  <c r="O122" i="11"/>
  <c r="O121" i="11"/>
  <c r="AD121" i="11" s="1"/>
  <c r="O120" i="11"/>
  <c r="O119" i="11"/>
  <c r="O118" i="11"/>
  <c r="O117" i="11"/>
  <c r="O116" i="11"/>
  <c r="O115" i="11"/>
  <c r="AD115" i="11" s="1"/>
  <c r="O114" i="11"/>
  <c r="O113" i="11"/>
  <c r="O112" i="11"/>
  <c r="O111" i="11"/>
  <c r="O110" i="11"/>
  <c r="AD110" i="11" s="1"/>
  <c r="O109" i="11"/>
  <c r="O108" i="11"/>
  <c r="AD108" i="11" s="1"/>
  <c r="O107" i="11"/>
  <c r="O106" i="11"/>
  <c r="O105" i="11"/>
  <c r="O104" i="11"/>
  <c r="O103" i="11"/>
  <c r="AD103" i="11" s="1"/>
  <c r="O102" i="11"/>
  <c r="O101" i="11"/>
  <c r="O100" i="11"/>
  <c r="AD100" i="11" s="1"/>
  <c r="O99" i="11"/>
  <c r="AD99" i="11" s="1"/>
  <c r="O98" i="11"/>
  <c r="O97" i="11"/>
  <c r="O96" i="11"/>
  <c r="O95" i="11"/>
  <c r="AD95" i="11" s="1"/>
  <c r="O94" i="11"/>
  <c r="O93" i="11"/>
  <c r="O92" i="11"/>
  <c r="O91" i="11"/>
  <c r="O90" i="11"/>
  <c r="O89" i="11"/>
  <c r="O88" i="11"/>
  <c r="O87" i="11"/>
  <c r="AD87" i="11" s="1"/>
  <c r="O86" i="11"/>
  <c r="O85" i="11"/>
  <c r="O84" i="11"/>
  <c r="O83" i="11"/>
  <c r="O82" i="11"/>
  <c r="O81" i="11"/>
  <c r="O80" i="11"/>
  <c r="AD80" i="11" s="1"/>
  <c r="O79" i="11"/>
  <c r="O78" i="11"/>
  <c r="O77" i="11"/>
  <c r="O76" i="11"/>
  <c r="O75" i="11"/>
  <c r="O74" i="11"/>
  <c r="O73" i="11"/>
  <c r="AD73" i="11" s="1"/>
  <c r="O72" i="11"/>
  <c r="O71" i="11"/>
  <c r="AD71" i="11" s="1"/>
  <c r="O70" i="11"/>
  <c r="O69" i="11"/>
  <c r="O68" i="11"/>
  <c r="O67" i="11"/>
  <c r="O66" i="11"/>
  <c r="O65" i="11"/>
  <c r="O64" i="11"/>
  <c r="O63" i="11"/>
  <c r="O62" i="11"/>
  <c r="O61" i="11"/>
  <c r="O60" i="11"/>
  <c r="O59" i="11"/>
  <c r="O58" i="11"/>
  <c r="O57" i="11"/>
  <c r="O56" i="11"/>
  <c r="O55" i="11"/>
  <c r="O54" i="11"/>
  <c r="O53" i="11"/>
  <c r="O52" i="11"/>
  <c r="AD52" i="11" s="1"/>
  <c r="O51" i="11"/>
  <c r="AD51" i="11" s="1"/>
  <c r="O50" i="11"/>
  <c r="AD50" i="11" s="1"/>
  <c r="O49" i="11"/>
  <c r="O48" i="11"/>
  <c r="O47" i="11"/>
  <c r="AD47" i="11" s="1"/>
  <c r="O46" i="11"/>
  <c r="AD46" i="11" s="1"/>
  <c r="O45" i="11"/>
  <c r="O44" i="11"/>
  <c r="O43" i="11"/>
  <c r="O42" i="11"/>
  <c r="O41" i="11"/>
  <c r="O40" i="11"/>
  <c r="O39" i="11"/>
  <c r="O38" i="11"/>
  <c r="O37" i="11"/>
  <c r="O36" i="11"/>
  <c r="AD36" i="11" s="1"/>
  <c r="O35" i="11"/>
  <c r="O34" i="11"/>
  <c r="O33" i="11"/>
  <c r="O32" i="11"/>
  <c r="O31" i="11"/>
  <c r="O30" i="11"/>
  <c r="O29" i="11"/>
  <c r="O28" i="11"/>
  <c r="O27" i="11"/>
  <c r="AD27" i="11" s="1"/>
  <c r="O26" i="11"/>
  <c r="O25" i="11"/>
  <c r="O24" i="11"/>
  <c r="AD24" i="11" s="1"/>
  <c r="O23" i="11"/>
  <c r="O22" i="11"/>
  <c r="O21" i="11"/>
  <c r="O20" i="11"/>
  <c r="AD20" i="11" s="1"/>
  <c r="O19" i="11"/>
  <c r="AD19" i="11" s="1"/>
  <c r="O18" i="11"/>
  <c r="O17" i="11"/>
  <c r="O16" i="11"/>
  <c r="AD16" i="11" s="1"/>
  <c r="O15" i="11"/>
  <c r="AD15" i="11" s="1"/>
  <c r="O14" i="11"/>
  <c r="AD14" i="11" s="1"/>
  <c r="O13" i="11"/>
  <c r="O12" i="11"/>
  <c r="O11" i="11"/>
  <c r="O10" i="11"/>
  <c r="H10" i="10" s="1"/>
  <c r="O9" i="11"/>
  <c r="H9" i="10" s="1"/>
  <c r="O8" i="11"/>
  <c r="O7" i="11"/>
  <c r="O6" i="11"/>
  <c r="H6" i="10" s="1"/>
  <c r="O5" i="11"/>
  <c r="H5" i="10" s="1"/>
  <c r="M6" i="11"/>
  <c r="M7" i="11"/>
  <c r="M8" i="11"/>
  <c r="M9" i="11"/>
  <c r="M10" i="11"/>
  <c r="M11" i="11"/>
  <c r="M12" i="11"/>
  <c r="M13" i="11"/>
  <c r="M14" i="11"/>
  <c r="AC14" i="11" s="1"/>
  <c r="M15" i="11"/>
  <c r="AC15" i="11" s="1"/>
  <c r="M16" i="11"/>
  <c r="AC16" i="11" s="1"/>
  <c r="M17" i="11"/>
  <c r="M18" i="11"/>
  <c r="M19" i="11"/>
  <c r="AC19" i="11" s="1"/>
  <c r="M20" i="11"/>
  <c r="AC20" i="11" s="1"/>
  <c r="M21" i="11"/>
  <c r="M22" i="11"/>
  <c r="M23" i="11"/>
  <c r="M24" i="11"/>
  <c r="AC24" i="11" s="1"/>
  <c r="M25" i="11"/>
  <c r="M26" i="11"/>
  <c r="M27" i="11"/>
  <c r="AC27" i="11" s="1"/>
  <c r="M28" i="11"/>
  <c r="M29" i="11"/>
  <c r="M30" i="11"/>
  <c r="M31" i="11"/>
  <c r="M32" i="11"/>
  <c r="M33" i="11"/>
  <c r="M34" i="11"/>
  <c r="M35" i="11"/>
  <c r="M36" i="11"/>
  <c r="AC36" i="11" s="1"/>
  <c r="M37" i="11"/>
  <c r="M38" i="11"/>
  <c r="M39" i="11"/>
  <c r="M40" i="11"/>
  <c r="M41" i="11"/>
  <c r="M42" i="11"/>
  <c r="M43" i="11"/>
  <c r="M44" i="11"/>
  <c r="M45" i="11"/>
  <c r="M46" i="11"/>
  <c r="AC46" i="11" s="1"/>
  <c r="M47" i="11"/>
  <c r="AC47" i="11" s="1"/>
  <c r="M48" i="11"/>
  <c r="M49" i="11"/>
  <c r="M50" i="11"/>
  <c r="AC50" i="11" s="1"/>
  <c r="M51" i="11"/>
  <c r="AC51" i="11" s="1"/>
  <c r="M52" i="11"/>
  <c r="AC52" i="11" s="1"/>
  <c r="M53" i="11"/>
  <c r="M54" i="11"/>
  <c r="M55" i="11"/>
  <c r="M56" i="11"/>
  <c r="M57" i="11"/>
  <c r="M58" i="11"/>
  <c r="M59" i="11"/>
  <c r="M60" i="11"/>
  <c r="M61" i="11"/>
  <c r="M62" i="11"/>
  <c r="M63" i="11"/>
  <c r="M64" i="11"/>
  <c r="M65" i="11"/>
  <c r="M66" i="11"/>
  <c r="M67" i="11"/>
  <c r="M68" i="11"/>
  <c r="M69" i="11"/>
  <c r="M70" i="11"/>
  <c r="M71" i="11"/>
  <c r="AC71" i="11" s="1"/>
  <c r="M72" i="11"/>
  <c r="M73" i="11"/>
  <c r="AC73" i="11" s="1"/>
  <c r="M74" i="11"/>
  <c r="M75" i="11"/>
  <c r="M76" i="11"/>
  <c r="M77" i="11"/>
  <c r="M78" i="11"/>
  <c r="M79" i="11"/>
  <c r="M80" i="11"/>
  <c r="AC80" i="11" s="1"/>
  <c r="M81" i="11"/>
  <c r="M82" i="11"/>
  <c r="M83" i="11"/>
  <c r="M84" i="11"/>
  <c r="M85" i="11"/>
  <c r="M86" i="11"/>
  <c r="M87" i="11"/>
  <c r="AC87" i="11" s="1"/>
  <c r="M88" i="11"/>
  <c r="M89" i="11"/>
  <c r="M90" i="11"/>
  <c r="M91" i="11"/>
  <c r="M92" i="11"/>
  <c r="M93" i="11"/>
  <c r="M94" i="11"/>
  <c r="M95" i="11"/>
  <c r="AC95" i="11" s="1"/>
  <c r="M96" i="11"/>
  <c r="M97" i="11"/>
  <c r="M98" i="11"/>
  <c r="M99" i="11"/>
  <c r="AC99" i="11" s="1"/>
  <c r="M100" i="11"/>
  <c r="AC100" i="11" s="1"/>
  <c r="M101" i="11"/>
  <c r="M102" i="11"/>
  <c r="M103" i="11"/>
  <c r="AC103" i="11" s="1"/>
  <c r="M104" i="11"/>
  <c r="M105" i="11"/>
  <c r="M106" i="11"/>
  <c r="M107" i="11"/>
  <c r="M108" i="11"/>
  <c r="AC108" i="11" s="1"/>
  <c r="M109" i="11"/>
  <c r="M110" i="11"/>
  <c r="AC110" i="11" s="1"/>
  <c r="M111" i="11"/>
  <c r="M112" i="11"/>
  <c r="M113" i="11"/>
  <c r="M114" i="11"/>
  <c r="M115" i="11"/>
  <c r="AC115" i="11" s="1"/>
  <c r="M116" i="11"/>
  <c r="M117" i="11"/>
  <c r="M118" i="11"/>
  <c r="M119" i="11"/>
  <c r="M120" i="11"/>
  <c r="M121" i="11"/>
  <c r="AC121" i="11" s="1"/>
  <c r="M122" i="11"/>
  <c r="M123" i="11"/>
  <c r="M124" i="11"/>
  <c r="M125" i="11"/>
  <c r="M126" i="11"/>
  <c r="AC126" i="11" s="1"/>
  <c r="M127" i="11"/>
  <c r="AC127" i="11" s="1"/>
  <c r="M128" i="11"/>
  <c r="M129" i="11"/>
  <c r="M130" i="11"/>
  <c r="M131" i="11"/>
  <c r="M132" i="11"/>
  <c r="M133" i="11"/>
  <c r="M134" i="11"/>
  <c r="M135" i="11"/>
  <c r="M136" i="11"/>
  <c r="M137" i="11"/>
  <c r="M138" i="11"/>
  <c r="M139" i="11"/>
  <c r="M140" i="11"/>
  <c r="AC140" i="11" s="1"/>
  <c r="M141" i="11"/>
  <c r="AC141" i="11" s="1"/>
  <c r="M142" i="11"/>
  <c r="M143" i="11"/>
  <c r="M144" i="11"/>
  <c r="M145" i="11"/>
  <c r="AC145" i="11" s="1"/>
  <c r="M146" i="11"/>
  <c r="AC146" i="11" s="1"/>
  <c r="M147" i="11"/>
  <c r="M148" i="11"/>
  <c r="AC148" i="11" s="1"/>
  <c r="M149" i="11"/>
  <c r="M150" i="11"/>
  <c r="M151" i="11"/>
  <c r="M152" i="11"/>
  <c r="M153" i="11"/>
  <c r="M154" i="11"/>
  <c r="M155" i="11"/>
  <c r="M156" i="11"/>
  <c r="AC156" i="11" s="1"/>
  <c r="M157" i="11"/>
  <c r="AC157" i="11" s="1"/>
  <c r="M158" i="11"/>
  <c r="M159" i="11"/>
  <c r="AC159" i="11" s="1"/>
  <c r="M160" i="11"/>
  <c r="AC160" i="11" s="1"/>
  <c r="M161" i="11"/>
  <c r="M162" i="11"/>
  <c r="AC162" i="11" s="1"/>
  <c r="M163" i="11"/>
  <c r="M164" i="11"/>
  <c r="M165" i="11"/>
  <c r="M166" i="11"/>
  <c r="M167" i="11"/>
  <c r="M168" i="11"/>
  <c r="M169" i="11"/>
  <c r="AC169" i="11" s="1"/>
  <c r="M170" i="11"/>
  <c r="AC170" i="11" s="1"/>
  <c r="M171" i="11"/>
  <c r="M172" i="11"/>
  <c r="M173" i="11"/>
  <c r="M174" i="11"/>
  <c r="M175" i="11"/>
  <c r="M176" i="11"/>
  <c r="M177" i="11"/>
  <c r="M178" i="11"/>
  <c r="M179" i="11"/>
  <c r="M180" i="11"/>
  <c r="M181" i="11"/>
  <c r="M182" i="11"/>
  <c r="M183" i="11"/>
  <c r="M184" i="11"/>
  <c r="M185" i="11"/>
  <c r="M186" i="11"/>
  <c r="M187" i="11"/>
  <c r="M188" i="11"/>
  <c r="M189" i="11"/>
  <c r="M190" i="11"/>
  <c r="M191" i="11"/>
  <c r="M192" i="11"/>
  <c r="AC192" i="11" s="1"/>
  <c r="M193" i="11"/>
  <c r="AC193" i="11" s="1"/>
  <c r="M194" i="11"/>
  <c r="AC194" i="11" s="1"/>
  <c r="M195" i="11"/>
  <c r="AC195" i="11" s="1"/>
  <c r="M196" i="11"/>
  <c r="AC196" i="11" s="1"/>
  <c r="M197" i="11"/>
  <c r="AC197" i="11" s="1"/>
  <c r="M198" i="11"/>
  <c r="AC198" i="11" s="1"/>
  <c r="M199" i="11"/>
  <c r="AC199" i="11" s="1"/>
  <c r="M200" i="11"/>
  <c r="AC200" i="11" s="1"/>
  <c r="M201" i="11"/>
  <c r="AC201" i="11" s="1"/>
  <c r="M203" i="11"/>
  <c r="AC203" i="11" s="1"/>
  <c r="M204" i="11"/>
  <c r="AC204" i="11" s="1"/>
  <c r="M205" i="11"/>
  <c r="M226" i="11"/>
  <c r="M227" i="11"/>
  <c r="M228" i="11"/>
  <c r="M229" i="11"/>
  <c r="M243" i="11"/>
  <c r="M259" i="11"/>
  <c r="M263" i="11"/>
  <c r="M273" i="11"/>
  <c r="M285" i="11"/>
  <c r="M286" i="11"/>
  <c r="M287" i="11"/>
  <c r="M288" i="11"/>
  <c r="M289" i="11"/>
  <c r="M5" i="11"/>
  <c r="F3" i="10"/>
  <c r="F4" i="10"/>
  <c r="F14" i="10"/>
  <c r="F16" i="10"/>
  <c r="F17" i="10"/>
  <c r="F19" i="10"/>
  <c r="F29" i="10"/>
  <c r="F38" i="10"/>
  <c r="F40" i="10"/>
  <c r="F43" i="10"/>
  <c r="F46" i="10"/>
  <c r="F49" i="10"/>
  <c r="F53" i="10"/>
  <c r="F58" i="10"/>
  <c r="F59" i="10"/>
  <c r="F65" i="10"/>
  <c r="F71" i="10"/>
  <c r="F72" i="10"/>
  <c r="F75" i="10"/>
  <c r="F78" i="10"/>
  <c r="F81" i="10"/>
  <c r="F82" i="10"/>
  <c r="F87" i="10"/>
  <c r="F88" i="10"/>
  <c r="F92" i="10"/>
  <c r="F93" i="10"/>
  <c r="F95" i="10"/>
  <c r="F97" i="10"/>
  <c r="F101" i="10"/>
  <c r="F113" i="10"/>
  <c r="F114" i="10"/>
  <c r="F115" i="10"/>
  <c r="F117" i="10"/>
  <c r="F118" i="10"/>
  <c r="F125" i="10"/>
  <c r="F126" i="10"/>
  <c r="F132" i="10"/>
  <c r="F133" i="10"/>
  <c r="F136" i="10"/>
  <c r="F143" i="10"/>
  <c r="F146" i="10"/>
  <c r="F151" i="10"/>
  <c r="F153" i="10"/>
  <c r="F161" i="10"/>
  <c r="F171" i="10"/>
  <c r="F173" i="10"/>
  <c r="F175" i="10"/>
  <c r="F177" i="10"/>
  <c r="F219" i="10"/>
  <c r="F236" i="10"/>
  <c r="F239" i="10"/>
  <c r="F2" i="10"/>
  <c r="AC5" i="11" l="1"/>
  <c r="G5" i="10"/>
  <c r="AC286" i="11"/>
  <c r="G241" i="10"/>
  <c r="AC259" i="11"/>
  <c r="G214" i="10"/>
  <c r="AC227" i="11"/>
  <c r="G182" i="10"/>
  <c r="AC190" i="11"/>
  <c r="G151" i="10"/>
  <c r="AC186" i="11"/>
  <c r="G147" i="10"/>
  <c r="AC182" i="11"/>
  <c r="G143" i="10"/>
  <c r="AC178" i="11"/>
  <c r="G139" i="10"/>
  <c r="AC174" i="11"/>
  <c r="G135" i="10"/>
  <c r="AC166" i="11"/>
  <c r="G129" i="10"/>
  <c r="AC158" i="11"/>
  <c r="G124" i="10"/>
  <c r="AC154" i="11"/>
  <c r="G122" i="10"/>
  <c r="AC150" i="11"/>
  <c r="G118" i="10"/>
  <c r="AC142" i="11"/>
  <c r="G113" i="10"/>
  <c r="AC138" i="11"/>
  <c r="G111" i="10"/>
  <c r="AC134" i="11"/>
  <c r="G107" i="10"/>
  <c r="AC130" i="11"/>
  <c r="G103" i="10"/>
  <c r="AC122" i="11"/>
  <c r="G97" i="10"/>
  <c r="AC118" i="11"/>
  <c r="G94" i="10"/>
  <c r="AC114" i="11"/>
  <c r="G91" i="10"/>
  <c r="AC106" i="11"/>
  <c r="G85" i="10"/>
  <c r="AC102" i="11"/>
  <c r="G82" i="10"/>
  <c r="AC98" i="11"/>
  <c r="G80" i="10"/>
  <c r="AC94" i="11"/>
  <c r="G77" i="10"/>
  <c r="AC90" i="11"/>
  <c r="G73" i="10"/>
  <c r="AC86" i="11"/>
  <c r="G70" i="10"/>
  <c r="AC82" i="11"/>
  <c r="G66" i="10"/>
  <c r="AC78" i="11"/>
  <c r="G63" i="10"/>
  <c r="AC74" i="11"/>
  <c r="G59" i="10"/>
  <c r="AC70" i="11"/>
  <c r="G57" i="10"/>
  <c r="AC66" i="11"/>
  <c r="G53" i="10"/>
  <c r="AC62" i="11"/>
  <c r="G49" i="10"/>
  <c r="AC58" i="11"/>
  <c r="G45" i="10"/>
  <c r="AC54" i="11"/>
  <c r="G41" i="10"/>
  <c r="AC42" i="11"/>
  <c r="G34" i="10"/>
  <c r="AC38" i="11"/>
  <c r="G30" i="10"/>
  <c r="AC34" i="11"/>
  <c r="G27" i="10"/>
  <c r="AC30" i="11"/>
  <c r="G23" i="10"/>
  <c r="AC26" i="11"/>
  <c r="G20" i="10"/>
  <c r="AC22" i="11"/>
  <c r="G17" i="10"/>
  <c r="AC18" i="11"/>
  <c r="G15" i="10"/>
  <c r="AC10" i="11"/>
  <c r="G10" i="10"/>
  <c r="AC6" i="11"/>
  <c r="G6" i="10"/>
  <c r="AD8" i="11"/>
  <c r="H8" i="10"/>
  <c r="AD12" i="11"/>
  <c r="H12" i="10"/>
  <c r="AD28" i="11"/>
  <c r="H21" i="10"/>
  <c r="AD32" i="11"/>
  <c r="H25" i="10"/>
  <c r="AD40" i="11"/>
  <c r="H32" i="10"/>
  <c r="AD44" i="11"/>
  <c r="H36" i="10"/>
  <c r="AD48" i="11"/>
  <c r="H38" i="10"/>
  <c r="AD56" i="11"/>
  <c r="H43" i="10"/>
  <c r="AD60" i="11"/>
  <c r="H47" i="10"/>
  <c r="AD64" i="11"/>
  <c r="H51" i="10"/>
  <c r="AD68" i="11"/>
  <c r="H55" i="10"/>
  <c r="AD72" i="11"/>
  <c r="H58" i="10"/>
  <c r="AD76" i="11"/>
  <c r="H61" i="10"/>
  <c r="AD84" i="11"/>
  <c r="H68" i="10"/>
  <c r="AD88" i="11"/>
  <c r="H71" i="10"/>
  <c r="AD92" i="11"/>
  <c r="H75" i="10"/>
  <c r="AD96" i="11"/>
  <c r="H78" i="10"/>
  <c r="AD104" i="11"/>
  <c r="H83" i="10"/>
  <c r="AD112" i="11"/>
  <c r="H89" i="10"/>
  <c r="AD116" i="11"/>
  <c r="H92" i="10"/>
  <c r="AD120" i="11"/>
  <c r="H96" i="10"/>
  <c r="AD124" i="11"/>
  <c r="H99" i="10"/>
  <c r="AD128" i="11"/>
  <c r="H101" i="10"/>
  <c r="AC289" i="11"/>
  <c r="G244" i="10"/>
  <c r="AC285" i="11"/>
  <c r="G240" i="10"/>
  <c r="AC243" i="11"/>
  <c r="G204" i="10"/>
  <c r="AC226" i="11"/>
  <c r="G181" i="10"/>
  <c r="AC189" i="11"/>
  <c r="G150" i="10"/>
  <c r="AC185" i="11"/>
  <c r="G146" i="10"/>
  <c r="AC181" i="11"/>
  <c r="G142" i="10"/>
  <c r="AC177" i="11"/>
  <c r="G138" i="10"/>
  <c r="AC173" i="11"/>
  <c r="G134" i="10"/>
  <c r="AC165" i="11"/>
  <c r="G128" i="10"/>
  <c r="AC161" i="11"/>
  <c r="G125" i="10"/>
  <c r="AC153" i="11"/>
  <c r="G121" i="10"/>
  <c r="AC149" i="11"/>
  <c r="G117" i="10"/>
  <c r="AC137" i="11"/>
  <c r="G110" i="10"/>
  <c r="AC133" i="11"/>
  <c r="G106" i="10"/>
  <c r="AC129" i="11"/>
  <c r="G102" i="10"/>
  <c r="AC125" i="11"/>
  <c r="G100" i="10"/>
  <c r="AC117" i="11"/>
  <c r="G93" i="10"/>
  <c r="AC113" i="11"/>
  <c r="G90" i="10"/>
  <c r="AC109" i="11"/>
  <c r="G87" i="10"/>
  <c r="AC105" i="11"/>
  <c r="G84" i="10"/>
  <c r="AC101" i="11"/>
  <c r="G81" i="10"/>
  <c r="AC97" i="11"/>
  <c r="G79" i="10"/>
  <c r="AC93" i="11"/>
  <c r="G76" i="10"/>
  <c r="AC89" i="11"/>
  <c r="G72" i="10"/>
  <c r="AC85" i="11"/>
  <c r="G69" i="10"/>
  <c r="AC81" i="11"/>
  <c r="G65" i="10"/>
  <c r="AC77" i="11"/>
  <c r="G62" i="10"/>
  <c r="AC69" i="11"/>
  <c r="G56" i="10"/>
  <c r="AC65" i="11"/>
  <c r="G52" i="10"/>
  <c r="AC61" i="11"/>
  <c r="G48" i="10"/>
  <c r="AC57" i="11"/>
  <c r="G44" i="10"/>
  <c r="AC53" i="11"/>
  <c r="G40" i="10"/>
  <c r="AC49" i="11"/>
  <c r="G39" i="10"/>
  <c r="AC45" i="11"/>
  <c r="G37" i="10"/>
  <c r="AC41" i="11"/>
  <c r="G33" i="10"/>
  <c r="AC37" i="11"/>
  <c r="G29" i="10"/>
  <c r="AC33" i="11"/>
  <c r="G26" i="10"/>
  <c r="AC29" i="11"/>
  <c r="G22" i="10"/>
  <c r="AC25" i="11"/>
  <c r="G19" i="10"/>
  <c r="AC21" i="11"/>
  <c r="G16" i="10"/>
  <c r="AC17" i="11"/>
  <c r="G14" i="10"/>
  <c r="AC13" i="11"/>
  <c r="G13" i="10"/>
  <c r="AC9" i="11"/>
  <c r="G9" i="10"/>
  <c r="AD13" i="11"/>
  <c r="H13" i="10"/>
  <c r="AD17" i="11"/>
  <c r="H14" i="10"/>
  <c r="AD21" i="11"/>
  <c r="H16" i="10"/>
  <c r="AD25" i="11"/>
  <c r="H19" i="10"/>
  <c r="AD29" i="11"/>
  <c r="H22" i="10"/>
  <c r="AD33" i="11"/>
  <c r="H26" i="10"/>
  <c r="AD37" i="11"/>
  <c r="H29" i="10"/>
  <c r="AD41" i="11"/>
  <c r="H33" i="10"/>
  <c r="AD45" i="11"/>
  <c r="H37" i="10"/>
  <c r="AD49" i="11"/>
  <c r="H39" i="10"/>
  <c r="AD53" i="11"/>
  <c r="H40" i="10"/>
  <c r="AD57" i="11"/>
  <c r="H44" i="10"/>
  <c r="AD61" i="11"/>
  <c r="H48" i="10"/>
  <c r="AD65" i="11"/>
  <c r="H52" i="10"/>
  <c r="AD69" i="11"/>
  <c r="H56" i="10"/>
  <c r="AD77" i="11"/>
  <c r="H62" i="10"/>
  <c r="AD81" i="11"/>
  <c r="H65" i="10"/>
  <c r="AD85" i="11"/>
  <c r="H69" i="10"/>
  <c r="AD89" i="11"/>
  <c r="H72" i="10"/>
  <c r="AD93" i="11"/>
  <c r="H76" i="10"/>
  <c r="AD97" i="11"/>
  <c r="H79" i="10"/>
  <c r="AD101" i="11"/>
  <c r="H81" i="10"/>
  <c r="AD105" i="11"/>
  <c r="H84" i="10"/>
  <c r="AD109" i="11"/>
  <c r="H87" i="10"/>
  <c r="AD113" i="11"/>
  <c r="H90" i="10"/>
  <c r="AD117" i="11"/>
  <c r="H93" i="10"/>
  <c r="AD125" i="11"/>
  <c r="H100" i="10"/>
  <c r="AD129" i="11"/>
  <c r="H102" i="10"/>
  <c r="AD133" i="11"/>
  <c r="H106" i="10"/>
  <c r="AD137" i="11"/>
  <c r="H110" i="10"/>
  <c r="AD149" i="11"/>
  <c r="H117" i="10"/>
  <c r="AD153" i="11"/>
  <c r="H121" i="10"/>
  <c r="AC288" i="11"/>
  <c r="G243" i="10"/>
  <c r="AC273" i="11"/>
  <c r="G228" i="10"/>
  <c r="AC229" i="11"/>
  <c r="G184" i="10"/>
  <c r="AC205" i="11"/>
  <c r="G160" i="10"/>
  <c r="AC188" i="11"/>
  <c r="G149" i="10"/>
  <c r="AC184" i="11"/>
  <c r="G145" i="10"/>
  <c r="AC180" i="11"/>
  <c r="G141" i="10"/>
  <c r="AC176" i="11"/>
  <c r="G137" i="10"/>
  <c r="AC172" i="11"/>
  <c r="G133" i="10"/>
  <c r="AC168" i="11"/>
  <c r="G131" i="10"/>
  <c r="AC164" i="11"/>
  <c r="G127" i="10"/>
  <c r="AC152" i="11"/>
  <c r="G120" i="10"/>
  <c r="AC144" i="11"/>
  <c r="G115" i="10"/>
  <c r="AC136" i="11"/>
  <c r="G109" i="10"/>
  <c r="AC132" i="11"/>
  <c r="G105" i="10"/>
  <c r="AC128" i="11"/>
  <c r="G101" i="10"/>
  <c r="AC124" i="11"/>
  <c r="G99" i="10"/>
  <c r="AC120" i="11"/>
  <c r="G96" i="10"/>
  <c r="AC116" i="11"/>
  <c r="G92" i="10"/>
  <c r="AC112" i="11"/>
  <c r="G89" i="10"/>
  <c r="AC104" i="11"/>
  <c r="G83" i="10"/>
  <c r="AC96" i="11"/>
  <c r="G78" i="10"/>
  <c r="AC92" i="11"/>
  <c r="G75" i="10"/>
  <c r="AC88" i="11"/>
  <c r="G71" i="10"/>
  <c r="AC84" i="11"/>
  <c r="G68" i="10"/>
  <c r="AC76" i="11"/>
  <c r="G61" i="10"/>
  <c r="AC72" i="11"/>
  <c r="G58" i="10"/>
  <c r="AC68" i="11"/>
  <c r="G55" i="10"/>
  <c r="AC64" i="11"/>
  <c r="G51" i="10"/>
  <c r="AC60" i="11"/>
  <c r="G47" i="10"/>
  <c r="AC56" i="11"/>
  <c r="G43" i="10"/>
  <c r="AC48" i="11"/>
  <c r="G38" i="10"/>
  <c r="AC44" i="11"/>
  <c r="G36" i="10"/>
  <c r="AC40" i="11"/>
  <c r="G32" i="10"/>
  <c r="AC32" i="11"/>
  <c r="G25" i="10"/>
  <c r="AC28" i="11"/>
  <c r="G21" i="10"/>
  <c r="AC12" i="11"/>
  <c r="G12" i="10"/>
  <c r="AC8" i="11"/>
  <c r="G8" i="10"/>
  <c r="AD18" i="11"/>
  <c r="H15" i="10"/>
  <c r="AD22" i="11"/>
  <c r="H17" i="10"/>
  <c r="AD26" i="11"/>
  <c r="H20" i="10"/>
  <c r="AD30" i="11"/>
  <c r="H23" i="10"/>
  <c r="AD34" i="11"/>
  <c r="H27" i="10"/>
  <c r="AD38" i="11"/>
  <c r="H30" i="10"/>
  <c r="AD42" i="11"/>
  <c r="H34" i="10"/>
  <c r="AD54" i="11"/>
  <c r="H41" i="10"/>
  <c r="AD58" i="11"/>
  <c r="H45" i="10"/>
  <c r="AD62" i="11"/>
  <c r="H49" i="10"/>
  <c r="AD66" i="11"/>
  <c r="H53" i="10"/>
  <c r="AD70" i="11"/>
  <c r="H57" i="10"/>
  <c r="AD74" i="11"/>
  <c r="H59" i="10"/>
  <c r="AD78" i="11"/>
  <c r="H63" i="10"/>
  <c r="AD82" i="11"/>
  <c r="H66" i="10"/>
  <c r="AD86" i="11"/>
  <c r="H70" i="10"/>
  <c r="AD90" i="11"/>
  <c r="H73" i="10"/>
  <c r="AD94" i="11"/>
  <c r="H77" i="10"/>
  <c r="AD98" i="11"/>
  <c r="H80" i="10"/>
  <c r="AD102" i="11"/>
  <c r="H82" i="10"/>
  <c r="AD106" i="11"/>
  <c r="H85" i="10"/>
  <c r="AD114" i="11"/>
  <c r="H91" i="10"/>
  <c r="AD118" i="11"/>
  <c r="H94" i="10"/>
  <c r="AD122" i="11"/>
  <c r="H97" i="10"/>
  <c r="AD130" i="11"/>
  <c r="H103" i="10"/>
  <c r="AD134" i="11"/>
  <c r="H107" i="10"/>
  <c r="AD138" i="11"/>
  <c r="H111" i="10"/>
  <c r="AD142" i="11"/>
  <c r="H113" i="10"/>
  <c r="AD150" i="11"/>
  <c r="H118" i="10"/>
  <c r="AD154" i="11"/>
  <c r="H122" i="10"/>
  <c r="AD158" i="11"/>
  <c r="H124" i="10"/>
  <c r="AD166" i="11"/>
  <c r="H129" i="10"/>
  <c r="AD174" i="11"/>
  <c r="H135" i="10"/>
  <c r="AD178" i="11"/>
  <c r="H139" i="10"/>
  <c r="AD182" i="11"/>
  <c r="H143" i="10"/>
  <c r="AD186" i="11"/>
  <c r="H147" i="10"/>
  <c r="AD190" i="11"/>
  <c r="H151" i="10"/>
  <c r="AC287" i="11"/>
  <c r="G242" i="10"/>
  <c r="AC263" i="11"/>
  <c r="G218" i="10"/>
  <c r="AC228" i="11"/>
  <c r="G183" i="10"/>
  <c r="AC191" i="11"/>
  <c r="G152" i="10"/>
  <c r="AC187" i="11"/>
  <c r="G148" i="10"/>
  <c r="AC183" i="11"/>
  <c r="G144" i="10"/>
  <c r="AC179" i="11"/>
  <c r="G140" i="10"/>
  <c r="AC175" i="11"/>
  <c r="G136" i="10"/>
  <c r="AC171" i="11"/>
  <c r="G132" i="10"/>
  <c r="AC167" i="11"/>
  <c r="G130" i="10"/>
  <c r="AC163" i="11"/>
  <c r="G126" i="10"/>
  <c r="AC155" i="11"/>
  <c r="G123" i="10"/>
  <c r="AC151" i="11"/>
  <c r="G119" i="10"/>
  <c r="AC147" i="11"/>
  <c r="G116" i="10"/>
  <c r="AC143" i="11"/>
  <c r="G114" i="10"/>
  <c r="AC139" i="11"/>
  <c r="G112" i="10"/>
  <c r="AC135" i="11"/>
  <c r="G108" i="10"/>
  <c r="AC131" i="11"/>
  <c r="G104" i="10"/>
  <c r="AC123" i="11"/>
  <c r="G98" i="10"/>
  <c r="AC119" i="11"/>
  <c r="G95" i="10"/>
  <c r="AC111" i="11"/>
  <c r="G88" i="10"/>
  <c r="AC107" i="11"/>
  <c r="G86" i="10"/>
  <c r="AC91" i="11"/>
  <c r="G74" i="10"/>
  <c r="AC83" i="11"/>
  <c r="G67" i="10"/>
  <c r="AC79" i="11"/>
  <c r="G64" i="10"/>
  <c r="AC75" i="11"/>
  <c r="G60" i="10"/>
  <c r="AC67" i="11"/>
  <c r="G54" i="10"/>
  <c r="AC63" i="11"/>
  <c r="G50" i="10"/>
  <c r="AC59" i="11"/>
  <c r="G46" i="10"/>
  <c r="AC55" i="11"/>
  <c r="G42" i="10"/>
  <c r="AC43" i="11"/>
  <c r="G35" i="10"/>
  <c r="AC39" i="11"/>
  <c r="G31" i="10"/>
  <c r="AC35" i="11"/>
  <c r="G28" i="10"/>
  <c r="AC31" i="11"/>
  <c r="G24" i="10"/>
  <c r="AC23" i="11"/>
  <c r="G18" i="10"/>
  <c r="AC11" i="11"/>
  <c r="G11" i="10"/>
  <c r="AC7" i="11"/>
  <c r="G7" i="10"/>
  <c r="AD7" i="11"/>
  <c r="H7" i="10"/>
  <c r="AD11" i="11"/>
  <c r="H11" i="10"/>
  <c r="AD23" i="11"/>
  <c r="H18" i="10"/>
  <c r="AD31" i="11"/>
  <c r="H24" i="10"/>
  <c r="AD35" i="11"/>
  <c r="H28" i="10"/>
  <c r="AD39" i="11"/>
  <c r="H31" i="10"/>
  <c r="AD43" i="11"/>
  <c r="H35" i="10"/>
  <c r="AD55" i="11"/>
  <c r="H42" i="10"/>
  <c r="AD59" i="11"/>
  <c r="H46" i="10"/>
  <c r="AD63" i="11"/>
  <c r="H50" i="10"/>
  <c r="AD67" i="11"/>
  <c r="H54" i="10"/>
  <c r="AD75" i="11"/>
  <c r="H60" i="10"/>
  <c r="AD79" i="11"/>
  <c r="H64" i="10"/>
  <c r="AD83" i="11"/>
  <c r="H67" i="10"/>
  <c r="AD91" i="11"/>
  <c r="H74" i="10"/>
  <c r="AD107" i="11"/>
  <c r="H86" i="10"/>
  <c r="AD111" i="11"/>
  <c r="H88" i="10"/>
  <c r="AD119" i="11"/>
  <c r="H95" i="10"/>
  <c r="AD123" i="11"/>
  <c r="H98" i="10"/>
  <c r="AD131" i="11"/>
  <c r="H104" i="10"/>
  <c r="AD135" i="11"/>
  <c r="H108" i="10"/>
  <c r="AD139" i="11"/>
  <c r="H112" i="10"/>
  <c r="AD143" i="11"/>
  <c r="H114" i="10"/>
  <c r="AD147" i="11"/>
  <c r="H116" i="10"/>
  <c r="AD151" i="11"/>
  <c r="H119" i="10"/>
  <c r="AD155" i="11"/>
  <c r="H123" i="10"/>
  <c r="AD163" i="11"/>
  <c r="H126" i="10"/>
  <c r="AD167" i="11"/>
  <c r="H130" i="10"/>
  <c r="AD132" i="11"/>
  <c r="H105" i="10"/>
  <c r="AD136" i="11"/>
  <c r="H109" i="10"/>
  <c r="AD144" i="11"/>
  <c r="H115" i="10"/>
  <c r="AD152" i="11"/>
  <c r="H120" i="10"/>
  <c r="AD164" i="11"/>
  <c r="H127" i="10"/>
  <c r="AD168" i="11"/>
  <c r="H131" i="10"/>
  <c r="AD172" i="11"/>
  <c r="H133" i="10"/>
  <c r="AD176" i="11"/>
  <c r="H137" i="10"/>
  <c r="AD180" i="11"/>
  <c r="H141" i="10"/>
  <c r="AD184" i="11"/>
  <c r="H145" i="10"/>
  <c r="AD188" i="11"/>
  <c r="H149" i="10"/>
  <c r="AD205" i="11"/>
  <c r="H160" i="10"/>
  <c r="AD229" i="11"/>
  <c r="H184" i="10"/>
  <c r="AD273" i="11"/>
  <c r="H228" i="10"/>
  <c r="AD288" i="11"/>
  <c r="H243" i="10"/>
  <c r="AE7" i="11"/>
  <c r="I7" i="10"/>
  <c r="AE11" i="11"/>
  <c r="I11" i="10"/>
  <c r="AE23" i="11"/>
  <c r="I18" i="10"/>
  <c r="AE31" i="11"/>
  <c r="I24" i="10"/>
  <c r="AE35" i="11"/>
  <c r="I28" i="10"/>
  <c r="AE39" i="11"/>
  <c r="I31" i="10"/>
  <c r="AE43" i="11"/>
  <c r="I35" i="10"/>
  <c r="AE55" i="11"/>
  <c r="I42" i="10"/>
  <c r="AE59" i="11"/>
  <c r="I46" i="10"/>
  <c r="AE63" i="11"/>
  <c r="I50" i="10"/>
  <c r="AE67" i="11"/>
  <c r="I54" i="10"/>
  <c r="AE75" i="11"/>
  <c r="I60" i="10"/>
  <c r="AE79" i="11"/>
  <c r="I64" i="10"/>
  <c r="AE83" i="11"/>
  <c r="I67" i="10"/>
  <c r="AE91" i="11"/>
  <c r="I74" i="10"/>
  <c r="AE107" i="11"/>
  <c r="I86" i="10"/>
  <c r="AE111" i="11"/>
  <c r="I88" i="10"/>
  <c r="AE119" i="11"/>
  <c r="I95" i="10"/>
  <c r="AE123" i="11"/>
  <c r="I98" i="10"/>
  <c r="AE131" i="11"/>
  <c r="I104" i="10"/>
  <c r="AE135" i="11"/>
  <c r="I108" i="10"/>
  <c r="AE139" i="11"/>
  <c r="I112" i="10"/>
  <c r="AE143" i="11"/>
  <c r="I114" i="10"/>
  <c r="AE147" i="11"/>
  <c r="I116" i="10"/>
  <c r="AE151" i="11"/>
  <c r="I119" i="10"/>
  <c r="AE155" i="11"/>
  <c r="I123" i="10"/>
  <c r="AE163" i="11"/>
  <c r="I126" i="10"/>
  <c r="AE167" i="11"/>
  <c r="I130" i="10"/>
  <c r="AE171" i="11"/>
  <c r="I132" i="10"/>
  <c r="AE175" i="11"/>
  <c r="I136" i="10"/>
  <c r="AE179" i="11"/>
  <c r="I140" i="10"/>
  <c r="AE183" i="11"/>
  <c r="I144" i="10"/>
  <c r="AE187" i="11"/>
  <c r="I148" i="10"/>
  <c r="AE191" i="11"/>
  <c r="I152" i="10"/>
  <c r="AE228" i="11"/>
  <c r="I183" i="10"/>
  <c r="AE263" i="11"/>
  <c r="I218" i="10"/>
  <c r="AE287" i="11"/>
  <c r="I242" i="10"/>
  <c r="AF6" i="11"/>
  <c r="J6" i="10"/>
  <c r="AF10" i="11"/>
  <c r="J10" i="10"/>
  <c r="AF18" i="11"/>
  <c r="J15" i="10"/>
  <c r="AF22" i="11"/>
  <c r="J17" i="10"/>
  <c r="AF26" i="11"/>
  <c r="J20" i="10"/>
  <c r="AF30" i="11"/>
  <c r="J23" i="10"/>
  <c r="AF34" i="11"/>
  <c r="J27" i="10"/>
  <c r="AF38" i="11"/>
  <c r="J30" i="10"/>
  <c r="AF42" i="11"/>
  <c r="J34" i="10"/>
  <c r="AF54" i="11"/>
  <c r="J41" i="10"/>
  <c r="AF58" i="11"/>
  <c r="J45" i="10"/>
  <c r="AF62" i="11"/>
  <c r="J49" i="10"/>
  <c r="AF66" i="11"/>
  <c r="J53" i="10"/>
  <c r="AF70" i="11"/>
  <c r="J57" i="10"/>
  <c r="AF74" i="11"/>
  <c r="J59" i="10"/>
  <c r="AF78" i="11"/>
  <c r="J63" i="10"/>
  <c r="AF82" i="11"/>
  <c r="J66" i="10"/>
  <c r="AF86" i="11"/>
  <c r="J70" i="10"/>
  <c r="AF90" i="11"/>
  <c r="J73" i="10"/>
  <c r="AF94" i="11"/>
  <c r="J77" i="10"/>
  <c r="AF98" i="11"/>
  <c r="J80" i="10"/>
  <c r="AF102" i="11"/>
  <c r="J82" i="10"/>
  <c r="AF106" i="11"/>
  <c r="J85" i="10"/>
  <c r="AF114" i="11"/>
  <c r="J91" i="10"/>
  <c r="AF118" i="11"/>
  <c r="J94" i="10"/>
  <c r="AF122" i="11"/>
  <c r="J97" i="10"/>
  <c r="AF130" i="11"/>
  <c r="J103" i="10"/>
  <c r="AF134" i="11"/>
  <c r="J107" i="10"/>
  <c r="AF138" i="11"/>
  <c r="J111" i="10"/>
  <c r="AF142" i="11"/>
  <c r="J113" i="10"/>
  <c r="AF150" i="11"/>
  <c r="J118" i="10"/>
  <c r="AF154" i="11"/>
  <c r="J122" i="10"/>
  <c r="AF158" i="11"/>
  <c r="J124" i="10"/>
  <c r="AF166" i="11"/>
  <c r="J129" i="10"/>
  <c r="AF174" i="11"/>
  <c r="J135" i="10"/>
  <c r="AF178" i="11"/>
  <c r="J139" i="10"/>
  <c r="AF182" i="11"/>
  <c r="J143" i="10"/>
  <c r="AF186" i="11"/>
  <c r="J147" i="10"/>
  <c r="AF190" i="11"/>
  <c r="J151" i="10"/>
  <c r="AF227" i="11"/>
  <c r="J182" i="10"/>
  <c r="AF259" i="11"/>
  <c r="J214" i="10"/>
  <c r="AF286" i="11"/>
  <c r="J241" i="10"/>
  <c r="AG13" i="11"/>
  <c r="K13" i="10"/>
  <c r="AG17" i="11"/>
  <c r="K14" i="10"/>
  <c r="AG21" i="11"/>
  <c r="K16" i="10"/>
  <c r="AG25" i="11"/>
  <c r="K19" i="10"/>
  <c r="AG29" i="11"/>
  <c r="K22" i="10"/>
  <c r="AG33" i="11"/>
  <c r="K26" i="10"/>
  <c r="AG37" i="11"/>
  <c r="K29" i="10"/>
  <c r="AG41" i="11"/>
  <c r="K33" i="10"/>
  <c r="AG45" i="11"/>
  <c r="K37" i="10"/>
  <c r="AG49" i="11"/>
  <c r="K39" i="10"/>
  <c r="AG53" i="11"/>
  <c r="K40" i="10"/>
  <c r="AG57" i="11"/>
  <c r="K44" i="10"/>
  <c r="AG61" i="11"/>
  <c r="K48" i="10"/>
  <c r="AG65" i="11"/>
  <c r="K52" i="10"/>
  <c r="AG69" i="11"/>
  <c r="K56" i="10"/>
  <c r="AG77" i="11"/>
  <c r="K62" i="10"/>
  <c r="AG81" i="11"/>
  <c r="K65" i="10"/>
  <c r="AG85" i="11"/>
  <c r="K69" i="10"/>
  <c r="AG89" i="11"/>
  <c r="K72" i="10"/>
  <c r="AG93" i="11"/>
  <c r="K76" i="10"/>
  <c r="AG97" i="11"/>
  <c r="K79" i="10"/>
  <c r="AG101" i="11"/>
  <c r="K81" i="10"/>
  <c r="AG105" i="11"/>
  <c r="K84" i="10"/>
  <c r="AG109" i="11"/>
  <c r="K87" i="10"/>
  <c r="AG113" i="11"/>
  <c r="K90" i="10"/>
  <c r="AG117" i="11"/>
  <c r="K93" i="10"/>
  <c r="AG125" i="11"/>
  <c r="K100" i="10"/>
  <c r="AG129" i="11"/>
  <c r="K102" i="10"/>
  <c r="AG133" i="11"/>
  <c r="K106" i="10"/>
  <c r="AG137" i="11"/>
  <c r="K110" i="10"/>
  <c r="AG149" i="11"/>
  <c r="K117" i="10"/>
  <c r="AG153" i="11"/>
  <c r="K121" i="10"/>
  <c r="AG161" i="11"/>
  <c r="K125" i="10"/>
  <c r="AG165" i="11"/>
  <c r="K128" i="10"/>
  <c r="AG173" i="11"/>
  <c r="K134" i="10"/>
  <c r="AG177" i="11"/>
  <c r="K138" i="10"/>
  <c r="AG181" i="11"/>
  <c r="K142" i="10"/>
  <c r="AG185" i="11"/>
  <c r="K146" i="10"/>
  <c r="AG189" i="11"/>
  <c r="K150" i="10"/>
  <c r="AG226" i="11"/>
  <c r="K181" i="10"/>
  <c r="AG243" i="11"/>
  <c r="K204" i="10"/>
  <c r="AG285" i="11"/>
  <c r="K240" i="10"/>
  <c r="AG289" i="11"/>
  <c r="K244" i="10"/>
  <c r="AH8" i="11"/>
  <c r="L8" i="10"/>
  <c r="AH12" i="11"/>
  <c r="L12" i="10"/>
  <c r="AH28" i="11"/>
  <c r="L21" i="10"/>
  <c r="AH32" i="11"/>
  <c r="L25" i="10"/>
  <c r="AH40" i="11"/>
  <c r="L32" i="10"/>
  <c r="AH44" i="11"/>
  <c r="L36" i="10"/>
  <c r="AH48" i="11"/>
  <c r="L38" i="10"/>
  <c r="AH56" i="11"/>
  <c r="L43" i="10"/>
  <c r="AH60" i="11"/>
  <c r="L47" i="10"/>
  <c r="AH64" i="11"/>
  <c r="L51" i="10"/>
  <c r="AH68" i="11"/>
  <c r="L55" i="10"/>
  <c r="AH72" i="11"/>
  <c r="L58" i="10"/>
  <c r="AH76" i="11"/>
  <c r="L61" i="10"/>
  <c r="AH84" i="11"/>
  <c r="L68" i="10"/>
  <c r="AH88" i="11"/>
  <c r="L71" i="10"/>
  <c r="AH92" i="11"/>
  <c r="L75" i="10"/>
  <c r="AH96" i="11"/>
  <c r="L78" i="10"/>
  <c r="AH104" i="11"/>
  <c r="L83" i="10"/>
  <c r="AH112" i="11"/>
  <c r="L89" i="10"/>
  <c r="AH116" i="11"/>
  <c r="L92" i="10"/>
  <c r="AH120" i="11"/>
  <c r="L96" i="10"/>
  <c r="AH124" i="11"/>
  <c r="L99" i="10"/>
  <c r="AH128" i="11"/>
  <c r="L101" i="10"/>
  <c r="AH132" i="11"/>
  <c r="L105" i="10"/>
  <c r="AH136" i="11"/>
  <c r="L109" i="10"/>
  <c r="AH144" i="11"/>
  <c r="L115" i="10"/>
  <c r="AH152" i="11"/>
  <c r="L120" i="10"/>
  <c r="AH164" i="11"/>
  <c r="L127" i="10"/>
  <c r="AH168" i="11"/>
  <c r="L131" i="10"/>
  <c r="AH172" i="11"/>
  <c r="L133" i="10"/>
  <c r="AH176" i="11"/>
  <c r="L137" i="10"/>
  <c r="AH180" i="11"/>
  <c r="L141" i="10"/>
  <c r="AH184" i="11"/>
  <c r="L145" i="10"/>
  <c r="AH188" i="11"/>
  <c r="L149" i="10"/>
  <c r="AH205" i="11"/>
  <c r="L160" i="10"/>
  <c r="AH229" i="11"/>
  <c r="L184" i="10"/>
  <c r="AH273" i="11"/>
  <c r="L228" i="10"/>
  <c r="AH288" i="11"/>
  <c r="L243" i="10"/>
  <c r="AI7" i="11"/>
  <c r="M7" i="10"/>
  <c r="AI11" i="11"/>
  <c r="M11" i="10"/>
  <c r="AI23" i="11"/>
  <c r="M18" i="10"/>
  <c r="AI31" i="11"/>
  <c r="M24" i="10"/>
  <c r="AI35" i="11"/>
  <c r="M28" i="10"/>
  <c r="AI39" i="11"/>
  <c r="M31" i="10"/>
  <c r="AI43" i="11"/>
  <c r="M35" i="10"/>
  <c r="AI55" i="11"/>
  <c r="M42" i="10"/>
  <c r="AI59" i="11"/>
  <c r="M46" i="10"/>
  <c r="AI63" i="11"/>
  <c r="M50" i="10"/>
  <c r="AI67" i="11"/>
  <c r="M54" i="10"/>
  <c r="AI75" i="11"/>
  <c r="M60" i="10"/>
  <c r="AI79" i="11"/>
  <c r="M64" i="10"/>
  <c r="AI83" i="11"/>
  <c r="M67" i="10"/>
  <c r="AI91" i="11"/>
  <c r="M74" i="10"/>
  <c r="AI107" i="11"/>
  <c r="M86" i="10"/>
  <c r="AI111" i="11"/>
  <c r="M88" i="10"/>
  <c r="AI119" i="11"/>
  <c r="M95" i="10"/>
  <c r="AI123" i="11"/>
  <c r="M98" i="10"/>
  <c r="AI131" i="11"/>
  <c r="M104" i="10"/>
  <c r="AI135" i="11"/>
  <c r="M108" i="10"/>
  <c r="AI139" i="11"/>
  <c r="M112" i="10"/>
  <c r="AI143" i="11"/>
  <c r="M114" i="10"/>
  <c r="AI147" i="11"/>
  <c r="M116" i="10"/>
  <c r="AI151" i="11"/>
  <c r="M119" i="10"/>
  <c r="AI155" i="11"/>
  <c r="M123" i="10"/>
  <c r="AI163" i="11"/>
  <c r="M126" i="10"/>
  <c r="AI167" i="11"/>
  <c r="M130" i="10"/>
  <c r="AI171" i="11"/>
  <c r="M132" i="10"/>
  <c r="AI175" i="11"/>
  <c r="M136" i="10"/>
  <c r="AI179" i="11"/>
  <c r="M140" i="10"/>
  <c r="AI183" i="11"/>
  <c r="M144" i="10"/>
  <c r="AI187" i="11"/>
  <c r="M148" i="10"/>
  <c r="AI191" i="11"/>
  <c r="M152" i="10"/>
  <c r="AI228" i="11"/>
  <c r="M183" i="10"/>
  <c r="AI263" i="11"/>
  <c r="M218" i="10"/>
  <c r="AI287" i="11"/>
  <c r="M242" i="10"/>
  <c r="AJ6" i="11"/>
  <c r="N6" i="10"/>
  <c r="AJ10" i="11"/>
  <c r="N10" i="10"/>
  <c r="AJ18" i="11"/>
  <c r="N15" i="10"/>
  <c r="AJ22" i="11"/>
  <c r="N17" i="10"/>
  <c r="AJ26" i="11"/>
  <c r="N20" i="10"/>
  <c r="AJ30" i="11"/>
  <c r="N23" i="10"/>
  <c r="AJ34" i="11"/>
  <c r="N27" i="10"/>
  <c r="AJ38" i="11"/>
  <c r="N30" i="10"/>
  <c r="AJ42" i="11"/>
  <c r="N34" i="10"/>
  <c r="AJ54" i="11"/>
  <c r="N41" i="10"/>
  <c r="AJ58" i="11"/>
  <c r="N45" i="10"/>
  <c r="AJ62" i="11"/>
  <c r="N49" i="10"/>
  <c r="AJ66" i="11"/>
  <c r="N53" i="10"/>
  <c r="AJ70" i="11"/>
  <c r="N57" i="10"/>
  <c r="AJ74" i="11"/>
  <c r="N59" i="10"/>
  <c r="AJ78" i="11"/>
  <c r="N63" i="10"/>
  <c r="AJ82" i="11"/>
  <c r="N66" i="10"/>
  <c r="AJ86" i="11"/>
  <c r="N70" i="10"/>
  <c r="AJ90" i="11"/>
  <c r="N73" i="10"/>
  <c r="AJ94" i="11"/>
  <c r="N77" i="10"/>
  <c r="AJ98" i="11"/>
  <c r="N80" i="10"/>
  <c r="AJ102" i="11"/>
  <c r="N82" i="10"/>
  <c r="AJ106" i="11"/>
  <c r="N85" i="10"/>
  <c r="AJ114" i="11"/>
  <c r="N91" i="10"/>
  <c r="AJ118" i="11"/>
  <c r="N94" i="10"/>
  <c r="AJ122" i="11"/>
  <c r="N97" i="10"/>
  <c r="AJ130" i="11"/>
  <c r="N103" i="10"/>
  <c r="AJ134" i="11"/>
  <c r="N107" i="10"/>
  <c r="AJ138" i="11"/>
  <c r="N111" i="10"/>
  <c r="AJ142" i="11"/>
  <c r="N113" i="10"/>
  <c r="AJ150" i="11"/>
  <c r="N118" i="10"/>
  <c r="AJ154" i="11"/>
  <c r="N122" i="10"/>
  <c r="AJ158" i="11"/>
  <c r="N124" i="10"/>
  <c r="AJ166" i="11"/>
  <c r="N129" i="10"/>
  <c r="AJ174" i="11"/>
  <c r="N135" i="10"/>
  <c r="AJ178" i="11"/>
  <c r="N139" i="10"/>
  <c r="AJ182" i="11"/>
  <c r="N143" i="10"/>
  <c r="AJ186" i="11"/>
  <c r="N147" i="10"/>
  <c r="AJ190" i="11"/>
  <c r="N151" i="10"/>
  <c r="AJ227" i="11"/>
  <c r="N182" i="10"/>
  <c r="AJ259" i="11"/>
  <c r="N214" i="10"/>
  <c r="AJ286" i="11"/>
  <c r="N241" i="10"/>
  <c r="AD161" i="11"/>
  <c r="H125" i="10"/>
  <c r="AD165" i="11"/>
  <c r="H128" i="10"/>
  <c r="AD173" i="11"/>
  <c r="H134" i="10"/>
  <c r="AD177" i="11"/>
  <c r="H138" i="10"/>
  <c r="AD181" i="11"/>
  <c r="H142" i="10"/>
  <c r="AD185" i="11"/>
  <c r="H146" i="10"/>
  <c r="AD189" i="11"/>
  <c r="H150" i="10"/>
  <c r="AD226" i="11"/>
  <c r="H181" i="10"/>
  <c r="AD243" i="11"/>
  <c r="H204" i="10"/>
  <c r="AD285" i="11"/>
  <c r="H240" i="10"/>
  <c r="AD289" i="11"/>
  <c r="H244" i="10"/>
  <c r="AE8" i="11"/>
  <c r="I8" i="10"/>
  <c r="AE12" i="11"/>
  <c r="I12" i="10"/>
  <c r="AE28" i="11"/>
  <c r="I21" i="10"/>
  <c r="AE32" i="11"/>
  <c r="I25" i="10"/>
  <c r="AE40" i="11"/>
  <c r="I32" i="10"/>
  <c r="AE44" i="11"/>
  <c r="I36" i="10"/>
  <c r="AE48" i="11"/>
  <c r="I38" i="10"/>
  <c r="AE56" i="11"/>
  <c r="I43" i="10"/>
  <c r="AE60" i="11"/>
  <c r="I47" i="10"/>
  <c r="AE64" i="11"/>
  <c r="I51" i="10"/>
  <c r="AE68" i="11"/>
  <c r="I55" i="10"/>
  <c r="AE72" i="11"/>
  <c r="I58" i="10"/>
  <c r="AE76" i="11"/>
  <c r="I61" i="10"/>
  <c r="AE84" i="11"/>
  <c r="I68" i="10"/>
  <c r="AE88" i="11"/>
  <c r="I71" i="10"/>
  <c r="AE92" i="11"/>
  <c r="I75" i="10"/>
  <c r="AE96" i="11"/>
  <c r="I78" i="10"/>
  <c r="AE104" i="11"/>
  <c r="I83" i="10"/>
  <c r="AE112" i="11"/>
  <c r="I89" i="10"/>
  <c r="AE116" i="11"/>
  <c r="I92" i="10"/>
  <c r="AE120" i="11"/>
  <c r="I96" i="10"/>
  <c r="AE124" i="11"/>
  <c r="I99" i="10"/>
  <c r="AE128" i="11"/>
  <c r="I101" i="10"/>
  <c r="AE132" i="11"/>
  <c r="I105" i="10"/>
  <c r="AE136" i="11"/>
  <c r="I109" i="10"/>
  <c r="AE144" i="11"/>
  <c r="I115" i="10"/>
  <c r="AE152" i="11"/>
  <c r="I120" i="10"/>
  <c r="AE164" i="11"/>
  <c r="I127" i="10"/>
  <c r="AE168" i="11"/>
  <c r="I131" i="10"/>
  <c r="AE172" i="11"/>
  <c r="I133" i="10"/>
  <c r="AE176" i="11"/>
  <c r="I137" i="10"/>
  <c r="AE180" i="11"/>
  <c r="I141" i="10"/>
  <c r="AE184" i="11"/>
  <c r="I145" i="10"/>
  <c r="AE188" i="11"/>
  <c r="I149" i="10"/>
  <c r="AE205" i="11"/>
  <c r="I160" i="10"/>
  <c r="AE229" i="11"/>
  <c r="I184" i="10"/>
  <c r="AE273" i="11"/>
  <c r="I228" i="10"/>
  <c r="AE288" i="11"/>
  <c r="I243" i="10"/>
  <c r="AF7" i="11"/>
  <c r="J7" i="10"/>
  <c r="AF11" i="11"/>
  <c r="J11" i="10"/>
  <c r="AF23" i="11"/>
  <c r="J18" i="10"/>
  <c r="AF31" i="11"/>
  <c r="J24" i="10"/>
  <c r="AF35" i="11"/>
  <c r="J28" i="10"/>
  <c r="AF39" i="11"/>
  <c r="J31" i="10"/>
  <c r="AF43" i="11"/>
  <c r="J35" i="10"/>
  <c r="AF55" i="11"/>
  <c r="J42" i="10"/>
  <c r="AF59" i="11"/>
  <c r="J46" i="10"/>
  <c r="AF63" i="11"/>
  <c r="J50" i="10"/>
  <c r="AF67" i="11"/>
  <c r="J54" i="10"/>
  <c r="AF75" i="11"/>
  <c r="J60" i="10"/>
  <c r="AF79" i="11"/>
  <c r="J64" i="10"/>
  <c r="AF83" i="11"/>
  <c r="J67" i="10"/>
  <c r="AF91" i="11"/>
  <c r="J74" i="10"/>
  <c r="AF107" i="11"/>
  <c r="J86" i="10"/>
  <c r="AF111" i="11"/>
  <c r="J88" i="10"/>
  <c r="AF119" i="11"/>
  <c r="J95" i="10"/>
  <c r="AF123" i="11"/>
  <c r="J98" i="10"/>
  <c r="AF131" i="11"/>
  <c r="J104" i="10"/>
  <c r="AF135" i="11"/>
  <c r="J108" i="10"/>
  <c r="AF139" i="11"/>
  <c r="J112" i="10"/>
  <c r="AF143" i="11"/>
  <c r="J114" i="10"/>
  <c r="AF147" i="11"/>
  <c r="J116" i="10"/>
  <c r="AF151" i="11"/>
  <c r="J119" i="10"/>
  <c r="AF155" i="11"/>
  <c r="J123" i="10"/>
  <c r="AF163" i="11"/>
  <c r="J126" i="10"/>
  <c r="AF167" i="11"/>
  <c r="J130" i="10"/>
  <c r="AF171" i="11"/>
  <c r="J132" i="10"/>
  <c r="AF175" i="11"/>
  <c r="J136" i="10"/>
  <c r="AF179" i="11"/>
  <c r="J140" i="10"/>
  <c r="AF183" i="11"/>
  <c r="J144" i="10"/>
  <c r="AF187" i="11"/>
  <c r="J148" i="10"/>
  <c r="AF191" i="11"/>
  <c r="J152" i="10"/>
  <c r="AF228" i="11"/>
  <c r="J183" i="10"/>
  <c r="AF263" i="11"/>
  <c r="J218" i="10"/>
  <c r="AF287" i="11"/>
  <c r="J242" i="10"/>
  <c r="AG6" i="11"/>
  <c r="K6" i="10"/>
  <c r="AG10" i="11"/>
  <c r="K10" i="10"/>
  <c r="AG18" i="11"/>
  <c r="K15" i="10"/>
  <c r="AG22" i="11"/>
  <c r="K17" i="10"/>
  <c r="AG26" i="11"/>
  <c r="K20" i="10"/>
  <c r="AG30" i="11"/>
  <c r="K23" i="10"/>
  <c r="AG34" i="11"/>
  <c r="K27" i="10"/>
  <c r="AG38" i="11"/>
  <c r="K30" i="10"/>
  <c r="AG42" i="11"/>
  <c r="K34" i="10"/>
  <c r="AG54" i="11"/>
  <c r="K41" i="10"/>
  <c r="AG58" i="11"/>
  <c r="K45" i="10"/>
  <c r="AG62" i="11"/>
  <c r="K49" i="10"/>
  <c r="AG66" i="11"/>
  <c r="K53" i="10"/>
  <c r="AG70" i="11"/>
  <c r="K57" i="10"/>
  <c r="AG74" i="11"/>
  <c r="K59" i="10"/>
  <c r="AG78" i="11"/>
  <c r="K63" i="10"/>
  <c r="AG82" i="11"/>
  <c r="K66" i="10"/>
  <c r="AG86" i="11"/>
  <c r="K70" i="10"/>
  <c r="AG90" i="11"/>
  <c r="K73" i="10"/>
  <c r="AG94" i="11"/>
  <c r="K77" i="10"/>
  <c r="AG98" i="11"/>
  <c r="K80" i="10"/>
  <c r="AG102" i="11"/>
  <c r="K82" i="10"/>
  <c r="AG106" i="11"/>
  <c r="K85" i="10"/>
  <c r="AG114" i="11"/>
  <c r="K91" i="10"/>
  <c r="AG118" i="11"/>
  <c r="K94" i="10"/>
  <c r="AG122" i="11"/>
  <c r="K97" i="10"/>
  <c r="AG130" i="11"/>
  <c r="K103" i="10"/>
  <c r="AG134" i="11"/>
  <c r="K107" i="10"/>
  <c r="AG138" i="11"/>
  <c r="K111" i="10"/>
  <c r="AG142" i="11"/>
  <c r="K113" i="10"/>
  <c r="AG150" i="11"/>
  <c r="K118" i="10"/>
  <c r="AG154" i="11"/>
  <c r="K122" i="10"/>
  <c r="AG158" i="11"/>
  <c r="K124" i="10"/>
  <c r="AG166" i="11"/>
  <c r="K129" i="10"/>
  <c r="AG174" i="11"/>
  <c r="K135" i="10"/>
  <c r="AG178" i="11"/>
  <c r="K139" i="10"/>
  <c r="AG182" i="11"/>
  <c r="K143" i="10"/>
  <c r="AG186" i="11"/>
  <c r="K147" i="10"/>
  <c r="AG190" i="11"/>
  <c r="K151" i="10"/>
  <c r="AG227" i="11"/>
  <c r="K182" i="10"/>
  <c r="AG259" i="11"/>
  <c r="K214" i="10"/>
  <c r="AG286" i="11"/>
  <c r="K241" i="10"/>
  <c r="AH13" i="11"/>
  <c r="L13" i="10"/>
  <c r="AH17" i="11"/>
  <c r="L14" i="10"/>
  <c r="AH21" i="11"/>
  <c r="L16" i="10"/>
  <c r="AH25" i="11"/>
  <c r="L19" i="10"/>
  <c r="AH29" i="11"/>
  <c r="L22" i="10"/>
  <c r="AH33" i="11"/>
  <c r="L26" i="10"/>
  <c r="AH37" i="11"/>
  <c r="L29" i="10"/>
  <c r="AH41" i="11"/>
  <c r="L33" i="10"/>
  <c r="AH45" i="11"/>
  <c r="L37" i="10"/>
  <c r="AH49" i="11"/>
  <c r="L39" i="10"/>
  <c r="AH53" i="11"/>
  <c r="L40" i="10"/>
  <c r="AH57" i="11"/>
  <c r="L44" i="10"/>
  <c r="AH61" i="11"/>
  <c r="L48" i="10"/>
  <c r="AH65" i="11"/>
  <c r="L52" i="10"/>
  <c r="AH69" i="11"/>
  <c r="L56" i="10"/>
  <c r="AH77" i="11"/>
  <c r="L62" i="10"/>
  <c r="AH81" i="11"/>
  <c r="L65" i="10"/>
  <c r="AH85" i="11"/>
  <c r="L69" i="10"/>
  <c r="AH89" i="11"/>
  <c r="L72" i="10"/>
  <c r="AH93" i="11"/>
  <c r="L76" i="10"/>
  <c r="AH97" i="11"/>
  <c r="L79" i="10"/>
  <c r="AH101" i="11"/>
  <c r="L81" i="10"/>
  <c r="AH105" i="11"/>
  <c r="L84" i="10"/>
  <c r="AH109" i="11"/>
  <c r="L87" i="10"/>
  <c r="AH113" i="11"/>
  <c r="L90" i="10"/>
  <c r="AH117" i="11"/>
  <c r="L93" i="10"/>
  <c r="AH125" i="11"/>
  <c r="L100" i="10"/>
  <c r="AH129" i="11"/>
  <c r="L102" i="10"/>
  <c r="AH133" i="11"/>
  <c r="L106" i="10"/>
  <c r="AH137" i="11"/>
  <c r="L110" i="10"/>
  <c r="AH149" i="11"/>
  <c r="L117" i="10"/>
  <c r="AH153" i="11"/>
  <c r="L121" i="10"/>
  <c r="AH161" i="11"/>
  <c r="L125" i="10"/>
  <c r="AH165" i="11"/>
  <c r="L128" i="10"/>
  <c r="AH173" i="11"/>
  <c r="L134" i="10"/>
  <c r="AH177" i="11"/>
  <c r="L138" i="10"/>
  <c r="AH181" i="11"/>
  <c r="L142" i="10"/>
  <c r="AH185" i="11"/>
  <c r="L146" i="10"/>
  <c r="AH189" i="11"/>
  <c r="L150" i="10"/>
  <c r="AH226" i="11"/>
  <c r="L181" i="10"/>
  <c r="AH243" i="11"/>
  <c r="L204" i="10"/>
  <c r="AH285" i="11"/>
  <c r="L240" i="10"/>
  <c r="AH289" i="11"/>
  <c r="L244" i="10"/>
  <c r="AI8" i="11"/>
  <c r="M8" i="10"/>
  <c r="AI12" i="11"/>
  <c r="M12" i="10"/>
  <c r="AI28" i="11"/>
  <c r="M21" i="10"/>
  <c r="AI32" i="11"/>
  <c r="M25" i="10"/>
  <c r="AI40" i="11"/>
  <c r="M32" i="10"/>
  <c r="AI44" i="11"/>
  <c r="M36" i="10"/>
  <c r="AI48" i="11"/>
  <c r="M38" i="10"/>
  <c r="AI56" i="11"/>
  <c r="M43" i="10"/>
  <c r="AI60" i="11"/>
  <c r="M47" i="10"/>
  <c r="AI64" i="11"/>
  <c r="M51" i="10"/>
  <c r="AI68" i="11"/>
  <c r="M55" i="10"/>
  <c r="AI72" i="11"/>
  <c r="M58" i="10"/>
  <c r="AI76" i="11"/>
  <c r="M61" i="10"/>
  <c r="AI84" i="11"/>
  <c r="M68" i="10"/>
  <c r="AI88" i="11"/>
  <c r="M71" i="10"/>
  <c r="AI92" i="11"/>
  <c r="M75" i="10"/>
  <c r="AI96" i="11"/>
  <c r="M78" i="10"/>
  <c r="AI104" i="11"/>
  <c r="M83" i="10"/>
  <c r="AI112" i="11"/>
  <c r="M89" i="10"/>
  <c r="AI116" i="11"/>
  <c r="M92" i="10"/>
  <c r="AI120" i="11"/>
  <c r="M96" i="10"/>
  <c r="AI124" i="11"/>
  <c r="M99" i="10"/>
  <c r="AI128" i="11"/>
  <c r="M101" i="10"/>
  <c r="AI132" i="11"/>
  <c r="M105" i="10"/>
  <c r="AI136" i="11"/>
  <c r="M109" i="10"/>
  <c r="AI144" i="11"/>
  <c r="M115" i="10"/>
  <c r="AI152" i="11"/>
  <c r="M120" i="10"/>
  <c r="AI164" i="11"/>
  <c r="M127" i="10"/>
  <c r="AI168" i="11"/>
  <c r="M131" i="10"/>
  <c r="AI172" i="11"/>
  <c r="M133" i="10"/>
  <c r="AI176" i="11"/>
  <c r="M137" i="10"/>
  <c r="AI180" i="11"/>
  <c r="M141" i="10"/>
  <c r="AI184" i="11"/>
  <c r="M145" i="10"/>
  <c r="AI188" i="11"/>
  <c r="M149" i="10"/>
  <c r="AI205" i="11"/>
  <c r="M160" i="10"/>
  <c r="AI229" i="11"/>
  <c r="M184" i="10"/>
  <c r="AI273" i="11"/>
  <c r="M228" i="10"/>
  <c r="AI288" i="11"/>
  <c r="M243" i="10"/>
  <c r="AJ7" i="11"/>
  <c r="N7" i="10"/>
  <c r="AJ11" i="11"/>
  <c r="N11" i="10"/>
  <c r="AJ23" i="11"/>
  <c r="N18" i="10"/>
  <c r="AJ31" i="11"/>
  <c r="N24" i="10"/>
  <c r="AJ35" i="11"/>
  <c r="N28" i="10"/>
  <c r="AJ39" i="11"/>
  <c r="N31" i="10"/>
  <c r="AJ43" i="11"/>
  <c r="N35" i="10"/>
  <c r="AJ55" i="11"/>
  <c r="N42" i="10"/>
  <c r="AJ59" i="11"/>
  <c r="N46" i="10"/>
  <c r="AJ63" i="11"/>
  <c r="N50" i="10"/>
  <c r="AJ67" i="11"/>
  <c r="N54" i="10"/>
  <c r="AJ75" i="11"/>
  <c r="N60" i="10"/>
  <c r="AJ79" i="11"/>
  <c r="N64" i="10"/>
  <c r="AJ83" i="11"/>
  <c r="N67" i="10"/>
  <c r="AJ91" i="11"/>
  <c r="N74" i="10"/>
  <c r="AJ107" i="11"/>
  <c r="N86" i="10"/>
  <c r="AJ111" i="11"/>
  <c r="N88" i="10"/>
  <c r="AJ119" i="11"/>
  <c r="N95" i="10"/>
  <c r="AJ123" i="11"/>
  <c r="N98" i="10"/>
  <c r="AJ131" i="11"/>
  <c r="N104" i="10"/>
  <c r="AJ135" i="11"/>
  <c r="N108" i="10"/>
  <c r="AJ139" i="11"/>
  <c r="N112" i="10"/>
  <c r="AJ143" i="11"/>
  <c r="N114" i="10"/>
  <c r="AJ147" i="11"/>
  <c r="N116" i="10"/>
  <c r="AJ151" i="11"/>
  <c r="N119" i="10"/>
  <c r="AJ155" i="11"/>
  <c r="N123" i="10"/>
  <c r="AJ163" i="11"/>
  <c r="N126" i="10"/>
  <c r="AJ167" i="11"/>
  <c r="N130" i="10"/>
  <c r="AJ171" i="11"/>
  <c r="N132" i="10"/>
  <c r="AJ175" i="11"/>
  <c r="N136" i="10"/>
  <c r="AJ179" i="11"/>
  <c r="N140" i="10"/>
  <c r="AJ183" i="11"/>
  <c r="N144" i="10"/>
  <c r="AJ187" i="11"/>
  <c r="N148" i="10"/>
  <c r="AJ191" i="11"/>
  <c r="N152" i="10"/>
  <c r="AJ228" i="11"/>
  <c r="N183" i="10"/>
  <c r="AJ263" i="11"/>
  <c r="N218" i="10"/>
  <c r="AJ287" i="11"/>
  <c r="N242" i="10"/>
  <c r="AD227" i="11"/>
  <c r="H182" i="10"/>
  <c r="AD259" i="11"/>
  <c r="H214" i="10"/>
  <c r="AD286" i="11"/>
  <c r="H241" i="10"/>
  <c r="AE13" i="11"/>
  <c r="I13" i="10"/>
  <c r="AE17" i="11"/>
  <c r="I14" i="10"/>
  <c r="AE21" i="11"/>
  <c r="I16" i="10"/>
  <c r="AE25" i="11"/>
  <c r="I19" i="10"/>
  <c r="AE29" i="11"/>
  <c r="I22" i="10"/>
  <c r="AE33" i="11"/>
  <c r="I26" i="10"/>
  <c r="AE37" i="11"/>
  <c r="I29" i="10"/>
  <c r="AE41" i="11"/>
  <c r="I33" i="10"/>
  <c r="AE45" i="11"/>
  <c r="I37" i="10"/>
  <c r="AE49" i="11"/>
  <c r="I39" i="10"/>
  <c r="AE53" i="11"/>
  <c r="I40" i="10"/>
  <c r="AE57" i="11"/>
  <c r="I44" i="10"/>
  <c r="AE61" i="11"/>
  <c r="I48" i="10"/>
  <c r="AE65" i="11"/>
  <c r="I52" i="10"/>
  <c r="AE69" i="11"/>
  <c r="I56" i="10"/>
  <c r="AE77" i="11"/>
  <c r="I62" i="10"/>
  <c r="AE81" i="11"/>
  <c r="I65" i="10"/>
  <c r="AE85" i="11"/>
  <c r="I69" i="10"/>
  <c r="AE89" i="11"/>
  <c r="I72" i="10"/>
  <c r="AE93" i="11"/>
  <c r="I76" i="10"/>
  <c r="AE97" i="11"/>
  <c r="I79" i="10"/>
  <c r="AE101" i="11"/>
  <c r="I81" i="10"/>
  <c r="AE105" i="11"/>
  <c r="I84" i="10"/>
  <c r="AE109" i="11"/>
  <c r="I87" i="10"/>
  <c r="AE113" i="11"/>
  <c r="I90" i="10"/>
  <c r="AE117" i="11"/>
  <c r="I93" i="10"/>
  <c r="AE125" i="11"/>
  <c r="I100" i="10"/>
  <c r="AE129" i="11"/>
  <c r="I102" i="10"/>
  <c r="AE133" i="11"/>
  <c r="I106" i="10"/>
  <c r="AE137" i="11"/>
  <c r="I110" i="10"/>
  <c r="AE149" i="11"/>
  <c r="I117" i="10"/>
  <c r="AE153" i="11"/>
  <c r="I121" i="10"/>
  <c r="AE161" i="11"/>
  <c r="I125" i="10"/>
  <c r="AE165" i="11"/>
  <c r="I128" i="10"/>
  <c r="AE173" i="11"/>
  <c r="I134" i="10"/>
  <c r="AE177" i="11"/>
  <c r="I138" i="10"/>
  <c r="AE181" i="11"/>
  <c r="I142" i="10"/>
  <c r="AE185" i="11"/>
  <c r="I146" i="10"/>
  <c r="AE189" i="11"/>
  <c r="I150" i="10"/>
  <c r="AE226" i="11"/>
  <c r="I181" i="10"/>
  <c r="AE243" i="11"/>
  <c r="I204" i="10"/>
  <c r="AE285" i="11"/>
  <c r="I240" i="10"/>
  <c r="AE289" i="11"/>
  <c r="I244" i="10"/>
  <c r="AF8" i="11"/>
  <c r="J8" i="10"/>
  <c r="AF12" i="11"/>
  <c r="J12" i="10"/>
  <c r="AF28" i="11"/>
  <c r="J21" i="10"/>
  <c r="AF32" i="11"/>
  <c r="J25" i="10"/>
  <c r="AF40" i="11"/>
  <c r="J32" i="10"/>
  <c r="AF44" i="11"/>
  <c r="J36" i="10"/>
  <c r="AF48" i="11"/>
  <c r="J38" i="10"/>
  <c r="AF56" i="11"/>
  <c r="J43" i="10"/>
  <c r="AF60" i="11"/>
  <c r="J47" i="10"/>
  <c r="AF64" i="11"/>
  <c r="J51" i="10"/>
  <c r="AF68" i="11"/>
  <c r="J55" i="10"/>
  <c r="AF72" i="11"/>
  <c r="J58" i="10"/>
  <c r="AF76" i="11"/>
  <c r="J61" i="10"/>
  <c r="AF84" i="11"/>
  <c r="J68" i="10"/>
  <c r="AF88" i="11"/>
  <c r="J71" i="10"/>
  <c r="AF92" i="11"/>
  <c r="J75" i="10"/>
  <c r="AF96" i="11"/>
  <c r="J78" i="10"/>
  <c r="AF104" i="11"/>
  <c r="J83" i="10"/>
  <c r="AF112" i="11"/>
  <c r="J89" i="10"/>
  <c r="AF116" i="11"/>
  <c r="J92" i="10"/>
  <c r="AF120" i="11"/>
  <c r="J96" i="10"/>
  <c r="AF124" i="11"/>
  <c r="J99" i="10"/>
  <c r="AF128" i="11"/>
  <c r="J101" i="10"/>
  <c r="AF132" i="11"/>
  <c r="J105" i="10"/>
  <c r="AF136" i="11"/>
  <c r="J109" i="10"/>
  <c r="AF144" i="11"/>
  <c r="J115" i="10"/>
  <c r="AF152" i="11"/>
  <c r="J120" i="10"/>
  <c r="AF164" i="11"/>
  <c r="J127" i="10"/>
  <c r="AF168" i="11"/>
  <c r="J131" i="10"/>
  <c r="AF172" i="11"/>
  <c r="J133" i="10"/>
  <c r="AF176" i="11"/>
  <c r="J137" i="10"/>
  <c r="AF180" i="11"/>
  <c r="J141" i="10"/>
  <c r="AF184" i="11"/>
  <c r="J145" i="10"/>
  <c r="AF188" i="11"/>
  <c r="J149" i="10"/>
  <c r="AF205" i="11"/>
  <c r="J160" i="10"/>
  <c r="AF229" i="11"/>
  <c r="J184" i="10"/>
  <c r="AF273" i="11"/>
  <c r="J228" i="10"/>
  <c r="AF288" i="11"/>
  <c r="J243" i="10"/>
  <c r="AG7" i="11"/>
  <c r="K7" i="10"/>
  <c r="AG11" i="11"/>
  <c r="K11" i="10"/>
  <c r="AG23" i="11"/>
  <c r="K18" i="10"/>
  <c r="AG31" i="11"/>
  <c r="K24" i="10"/>
  <c r="AG35" i="11"/>
  <c r="K28" i="10"/>
  <c r="AG39" i="11"/>
  <c r="K31" i="10"/>
  <c r="AG43" i="11"/>
  <c r="K35" i="10"/>
  <c r="AG55" i="11"/>
  <c r="K42" i="10"/>
  <c r="AG59" i="11"/>
  <c r="K46" i="10"/>
  <c r="AG63" i="11"/>
  <c r="K50" i="10"/>
  <c r="AG67" i="11"/>
  <c r="K54" i="10"/>
  <c r="AG75" i="11"/>
  <c r="K60" i="10"/>
  <c r="AG79" i="11"/>
  <c r="K64" i="10"/>
  <c r="AG83" i="11"/>
  <c r="K67" i="10"/>
  <c r="AG91" i="11"/>
  <c r="K74" i="10"/>
  <c r="AG107" i="11"/>
  <c r="K86" i="10"/>
  <c r="AG111" i="11"/>
  <c r="K88" i="10"/>
  <c r="AG119" i="11"/>
  <c r="K95" i="10"/>
  <c r="AG123" i="11"/>
  <c r="K98" i="10"/>
  <c r="AG131" i="11"/>
  <c r="K104" i="10"/>
  <c r="AG135" i="11"/>
  <c r="K108" i="10"/>
  <c r="AG139" i="11"/>
  <c r="K112" i="10"/>
  <c r="AG143" i="11"/>
  <c r="K114" i="10"/>
  <c r="AG147" i="11"/>
  <c r="K116" i="10"/>
  <c r="AG151" i="11"/>
  <c r="K119" i="10"/>
  <c r="AG155" i="11"/>
  <c r="K123" i="10"/>
  <c r="AG163" i="11"/>
  <c r="K126" i="10"/>
  <c r="AG167" i="11"/>
  <c r="K130" i="10"/>
  <c r="AG171" i="11"/>
  <c r="K132" i="10"/>
  <c r="AG175" i="11"/>
  <c r="K136" i="10"/>
  <c r="AG179" i="11"/>
  <c r="K140" i="10"/>
  <c r="AG183" i="11"/>
  <c r="K144" i="10"/>
  <c r="AG187" i="11"/>
  <c r="K148" i="10"/>
  <c r="AG191" i="11"/>
  <c r="K152" i="10"/>
  <c r="AG228" i="11"/>
  <c r="K183" i="10"/>
  <c r="AG263" i="11"/>
  <c r="K218" i="10"/>
  <c r="AG287" i="11"/>
  <c r="K242" i="10"/>
  <c r="AH6" i="11"/>
  <c r="L6" i="10"/>
  <c r="AH10" i="11"/>
  <c r="L10" i="10"/>
  <c r="AH18" i="11"/>
  <c r="L15" i="10"/>
  <c r="AH22" i="11"/>
  <c r="L17" i="10"/>
  <c r="AH26" i="11"/>
  <c r="L20" i="10"/>
  <c r="AH30" i="11"/>
  <c r="L23" i="10"/>
  <c r="AH34" i="11"/>
  <c r="L27" i="10"/>
  <c r="AH38" i="11"/>
  <c r="L30" i="10"/>
  <c r="AH42" i="11"/>
  <c r="L34" i="10"/>
  <c r="AH54" i="11"/>
  <c r="L41" i="10"/>
  <c r="AH58" i="11"/>
  <c r="L45" i="10"/>
  <c r="AH62" i="11"/>
  <c r="L49" i="10"/>
  <c r="AH66" i="11"/>
  <c r="L53" i="10"/>
  <c r="AH70" i="11"/>
  <c r="L57" i="10"/>
  <c r="AH74" i="11"/>
  <c r="L59" i="10"/>
  <c r="AH78" i="11"/>
  <c r="L63" i="10"/>
  <c r="AH82" i="11"/>
  <c r="L66" i="10"/>
  <c r="AH86" i="11"/>
  <c r="L70" i="10"/>
  <c r="AH90" i="11"/>
  <c r="L73" i="10"/>
  <c r="AH94" i="11"/>
  <c r="L77" i="10"/>
  <c r="AH98" i="11"/>
  <c r="L80" i="10"/>
  <c r="AH102" i="11"/>
  <c r="L82" i="10"/>
  <c r="AH106" i="11"/>
  <c r="L85" i="10"/>
  <c r="AH114" i="11"/>
  <c r="L91" i="10"/>
  <c r="AH118" i="11"/>
  <c r="L94" i="10"/>
  <c r="AH122" i="11"/>
  <c r="L97" i="10"/>
  <c r="AH130" i="11"/>
  <c r="L103" i="10"/>
  <c r="AH134" i="11"/>
  <c r="L107" i="10"/>
  <c r="AH138" i="11"/>
  <c r="L111" i="10"/>
  <c r="AH142" i="11"/>
  <c r="L113" i="10"/>
  <c r="AH150" i="11"/>
  <c r="L118" i="10"/>
  <c r="AH154" i="11"/>
  <c r="L122" i="10"/>
  <c r="AH158" i="11"/>
  <c r="L124" i="10"/>
  <c r="AH166" i="11"/>
  <c r="L129" i="10"/>
  <c r="AH174" i="11"/>
  <c r="L135" i="10"/>
  <c r="AH178" i="11"/>
  <c r="L139" i="10"/>
  <c r="AH182" i="11"/>
  <c r="L143" i="10"/>
  <c r="AH186" i="11"/>
  <c r="L147" i="10"/>
  <c r="AH190" i="11"/>
  <c r="L151" i="10"/>
  <c r="AH227" i="11"/>
  <c r="L182" i="10"/>
  <c r="AH259" i="11"/>
  <c r="L214" i="10"/>
  <c r="AH286" i="11"/>
  <c r="L241" i="10"/>
  <c r="AI5" i="11"/>
  <c r="M5" i="10"/>
  <c r="AI13" i="11"/>
  <c r="M13" i="10"/>
  <c r="AI17" i="11"/>
  <c r="M14" i="10"/>
  <c r="AI21" i="11"/>
  <c r="M16" i="10"/>
  <c r="AI25" i="11"/>
  <c r="M19" i="10"/>
  <c r="AI29" i="11"/>
  <c r="M22" i="10"/>
  <c r="AI33" i="11"/>
  <c r="M26" i="10"/>
  <c r="AI37" i="11"/>
  <c r="M29" i="10"/>
  <c r="AI41" i="11"/>
  <c r="M33" i="10"/>
  <c r="AI45" i="11"/>
  <c r="M37" i="10"/>
  <c r="AI49" i="11"/>
  <c r="M39" i="10"/>
  <c r="AI53" i="11"/>
  <c r="M40" i="10"/>
  <c r="AI57" i="11"/>
  <c r="M44" i="10"/>
  <c r="AI61" i="11"/>
  <c r="M48" i="10"/>
  <c r="AI65" i="11"/>
  <c r="M52" i="10"/>
  <c r="AI69" i="11"/>
  <c r="M56" i="10"/>
  <c r="AI77" i="11"/>
  <c r="M62" i="10"/>
  <c r="AI81" i="11"/>
  <c r="M65" i="10"/>
  <c r="AI85" i="11"/>
  <c r="M69" i="10"/>
  <c r="AI89" i="11"/>
  <c r="M72" i="10"/>
  <c r="AI93" i="11"/>
  <c r="M76" i="10"/>
  <c r="AI97" i="11"/>
  <c r="M79" i="10"/>
  <c r="AI101" i="11"/>
  <c r="M81" i="10"/>
  <c r="AI105" i="11"/>
  <c r="M84" i="10"/>
  <c r="AI109" i="11"/>
  <c r="M87" i="10"/>
  <c r="AI113" i="11"/>
  <c r="M90" i="10"/>
  <c r="AI117" i="11"/>
  <c r="M93" i="10"/>
  <c r="AI125" i="11"/>
  <c r="M100" i="10"/>
  <c r="AI129" i="11"/>
  <c r="M102" i="10"/>
  <c r="AI133" i="11"/>
  <c r="M106" i="10"/>
  <c r="AI137" i="11"/>
  <c r="M110" i="10"/>
  <c r="AI149" i="11"/>
  <c r="M117" i="10"/>
  <c r="AI153" i="11"/>
  <c r="M121" i="10"/>
  <c r="AI161" i="11"/>
  <c r="M125" i="10"/>
  <c r="AI165" i="11"/>
  <c r="M128" i="10"/>
  <c r="AI173" i="11"/>
  <c r="M134" i="10"/>
  <c r="AI177" i="11"/>
  <c r="M138" i="10"/>
  <c r="AI181" i="11"/>
  <c r="M142" i="10"/>
  <c r="AI185" i="11"/>
  <c r="M146" i="10"/>
  <c r="AI189" i="11"/>
  <c r="M150" i="10"/>
  <c r="AI226" i="11"/>
  <c r="M181" i="10"/>
  <c r="AI243" i="11"/>
  <c r="M204" i="10"/>
  <c r="AI285" i="11"/>
  <c r="M240" i="10"/>
  <c r="AI289" i="11"/>
  <c r="M244" i="10"/>
  <c r="AJ8" i="11"/>
  <c r="N8" i="10"/>
  <c r="AJ12" i="11"/>
  <c r="N12" i="10"/>
  <c r="AJ28" i="11"/>
  <c r="N21" i="10"/>
  <c r="AJ32" i="11"/>
  <c r="N25" i="10"/>
  <c r="AJ40" i="11"/>
  <c r="N32" i="10"/>
  <c r="AJ44" i="11"/>
  <c r="N36" i="10"/>
  <c r="AJ48" i="11"/>
  <c r="N38" i="10"/>
  <c r="AJ56" i="11"/>
  <c r="N43" i="10"/>
  <c r="AJ60" i="11"/>
  <c r="N47" i="10"/>
  <c r="AJ64" i="11"/>
  <c r="N51" i="10"/>
  <c r="AJ68" i="11"/>
  <c r="N55" i="10"/>
  <c r="AJ72" i="11"/>
  <c r="N58" i="10"/>
  <c r="AJ76" i="11"/>
  <c r="N61" i="10"/>
  <c r="AJ84" i="11"/>
  <c r="N68" i="10"/>
  <c r="AJ88" i="11"/>
  <c r="N71" i="10"/>
  <c r="AJ92" i="11"/>
  <c r="N75" i="10"/>
  <c r="AJ96" i="11"/>
  <c r="N78" i="10"/>
  <c r="AJ104" i="11"/>
  <c r="N83" i="10"/>
  <c r="AJ112" i="11"/>
  <c r="N89" i="10"/>
  <c r="AJ116" i="11"/>
  <c r="N92" i="10"/>
  <c r="AJ120" i="11"/>
  <c r="N96" i="10"/>
  <c r="AJ124" i="11"/>
  <c r="N99" i="10"/>
  <c r="AJ128" i="11"/>
  <c r="N101" i="10"/>
  <c r="AJ132" i="11"/>
  <c r="N105" i="10"/>
  <c r="AJ136" i="11"/>
  <c r="N109" i="10"/>
  <c r="AJ144" i="11"/>
  <c r="N115" i="10"/>
  <c r="AJ152" i="11"/>
  <c r="N120" i="10"/>
  <c r="AJ164" i="11"/>
  <c r="N127" i="10"/>
  <c r="AJ168" i="11"/>
  <c r="N131" i="10"/>
  <c r="AJ172" i="11"/>
  <c r="N133" i="10"/>
  <c r="AJ176" i="11"/>
  <c r="N137" i="10"/>
  <c r="AJ180" i="11"/>
  <c r="N141" i="10"/>
  <c r="AJ184" i="11"/>
  <c r="N145" i="10"/>
  <c r="AJ188" i="11"/>
  <c r="N149" i="10"/>
  <c r="AJ205" i="11"/>
  <c r="N160" i="10"/>
  <c r="AJ229" i="11"/>
  <c r="N184" i="10"/>
  <c r="AJ273" i="11"/>
  <c r="N228" i="10"/>
  <c r="AJ288" i="11"/>
  <c r="N243" i="10"/>
  <c r="AD171" i="11"/>
  <c r="H132" i="10"/>
  <c r="AD175" i="11"/>
  <c r="H136" i="10"/>
  <c r="AD179" i="11"/>
  <c r="H140" i="10"/>
  <c r="AD183" i="11"/>
  <c r="H144" i="10"/>
  <c r="AD187" i="11"/>
  <c r="H148" i="10"/>
  <c r="AD191" i="11"/>
  <c r="H152" i="10"/>
  <c r="AD228" i="11"/>
  <c r="H183" i="10"/>
  <c r="AD263" i="11"/>
  <c r="H218" i="10"/>
  <c r="AD287" i="11"/>
  <c r="H242" i="10"/>
  <c r="AE6" i="11"/>
  <c r="I6" i="10"/>
  <c r="AE10" i="11"/>
  <c r="I10" i="10"/>
  <c r="AE18" i="11"/>
  <c r="I15" i="10"/>
  <c r="AE22" i="11"/>
  <c r="I17" i="10"/>
  <c r="AE26" i="11"/>
  <c r="I20" i="10"/>
  <c r="AE30" i="11"/>
  <c r="I23" i="10"/>
  <c r="AE34" i="11"/>
  <c r="I27" i="10"/>
  <c r="AE38" i="11"/>
  <c r="I30" i="10"/>
  <c r="AE42" i="11"/>
  <c r="I34" i="10"/>
  <c r="AE54" i="11"/>
  <c r="I41" i="10"/>
  <c r="AE58" i="11"/>
  <c r="I45" i="10"/>
  <c r="AE62" i="11"/>
  <c r="I49" i="10"/>
  <c r="AE66" i="11"/>
  <c r="I53" i="10"/>
  <c r="AE70" i="11"/>
  <c r="I57" i="10"/>
  <c r="AE74" i="11"/>
  <c r="I59" i="10"/>
  <c r="AE78" i="11"/>
  <c r="I63" i="10"/>
  <c r="AE82" i="11"/>
  <c r="I66" i="10"/>
  <c r="AE86" i="11"/>
  <c r="I70" i="10"/>
  <c r="AE90" i="11"/>
  <c r="I73" i="10"/>
  <c r="AE94" i="11"/>
  <c r="I77" i="10"/>
  <c r="AE98" i="11"/>
  <c r="I80" i="10"/>
  <c r="AE102" i="11"/>
  <c r="I82" i="10"/>
  <c r="AE106" i="11"/>
  <c r="I85" i="10"/>
  <c r="AE114" i="11"/>
  <c r="I91" i="10"/>
  <c r="AE118" i="11"/>
  <c r="I94" i="10"/>
  <c r="AE122" i="11"/>
  <c r="I97" i="10"/>
  <c r="AE130" i="11"/>
  <c r="I103" i="10"/>
  <c r="AE134" i="11"/>
  <c r="I107" i="10"/>
  <c r="AE138" i="11"/>
  <c r="I111" i="10"/>
  <c r="AE142" i="11"/>
  <c r="I113" i="10"/>
  <c r="AE150" i="11"/>
  <c r="I118" i="10"/>
  <c r="AE154" i="11"/>
  <c r="I122" i="10"/>
  <c r="AE158" i="11"/>
  <c r="I124" i="10"/>
  <c r="AE166" i="11"/>
  <c r="I129" i="10"/>
  <c r="AE174" i="11"/>
  <c r="I135" i="10"/>
  <c r="AE178" i="11"/>
  <c r="I139" i="10"/>
  <c r="AE182" i="11"/>
  <c r="I143" i="10"/>
  <c r="AE186" i="11"/>
  <c r="I147" i="10"/>
  <c r="AE190" i="11"/>
  <c r="I151" i="10"/>
  <c r="AE227" i="11"/>
  <c r="I182" i="10"/>
  <c r="AE259" i="11"/>
  <c r="I214" i="10"/>
  <c r="AE286" i="11"/>
  <c r="I241" i="10"/>
  <c r="AF13" i="11"/>
  <c r="J13" i="10"/>
  <c r="AF17" i="11"/>
  <c r="J14" i="10"/>
  <c r="AF21" i="11"/>
  <c r="J16" i="10"/>
  <c r="AF25" i="11"/>
  <c r="J19" i="10"/>
  <c r="AF29" i="11"/>
  <c r="J22" i="10"/>
  <c r="AF33" i="11"/>
  <c r="J26" i="10"/>
  <c r="AF37" i="11"/>
  <c r="J29" i="10"/>
  <c r="AF41" i="11"/>
  <c r="J33" i="10"/>
  <c r="AF45" i="11"/>
  <c r="J37" i="10"/>
  <c r="AF49" i="11"/>
  <c r="J39" i="10"/>
  <c r="AF53" i="11"/>
  <c r="J40" i="10"/>
  <c r="AF57" i="11"/>
  <c r="J44" i="10"/>
  <c r="AF61" i="11"/>
  <c r="J48" i="10"/>
  <c r="AF65" i="11"/>
  <c r="J52" i="10"/>
  <c r="AF69" i="11"/>
  <c r="J56" i="10"/>
  <c r="AF77" i="11"/>
  <c r="J62" i="10"/>
  <c r="AF81" i="11"/>
  <c r="J65" i="10"/>
  <c r="AF85" i="11"/>
  <c r="J69" i="10"/>
  <c r="AF89" i="11"/>
  <c r="J72" i="10"/>
  <c r="AF93" i="11"/>
  <c r="J76" i="10"/>
  <c r="AF97" i="11"/>
  <c r="J79" i="10"/>
  <c r="AF101" i="11"/>
  <c r="J81" i="10"/>
  <c r="AF105" i="11"/>
  <c r="J84" i="10"/>
  <c r="AF109" i="11"/>
  <c r="J87" i="10"/>
  <c r="AF113" i="11"/>
  <c r="J90" i="10"/>
  <c r="AF117" i="11"/>
  <c r="J93" i="10"/>
  <c r="AF125" i="11"/>
  <c r="J100" i="10"/>
  <c r="AF129" i="11"/>
  <c r="J102" i="10"/>
  <c r="AF133" i="11"/>
  <c r="J106" i="10"/>
  <c r="AF137" i="11"/>
  <c r="J110" i="10"/>
  <c r="AF149" i="11"/>
  <c r="J117" i="10"/>
  <c r="AF153" i="11"/>
  <c r="J121" i="10"/>
  <c r="AF161" i="11"/>
  <c r="J125" i="10"/>
  <c r="AF165" i="11"/>
  <c r="J128" i="10"/>
  <c r="AF173" i="11"/>
  <c r="J134" i="10"/>
  <c r="AF177" i="11"/>
  <c r="J138" i="10"/>
  <c r="AF181" i="11"/>
  <c r="J142" i="10"/>
  <c r="AF185" i="11"/>
  <c r="J146" i="10"/>
  <c r="AF189" i="11"/>
  <c r="J150" i="10"/>
  <c r="AF226" i="11"/>
  <c r="J181" i="10"/>
  <c r="AF243" i="11"/>
  <c r="J204" i="10"/>
  <c r="AF285" i="11"/>
  <c r="J240" i="10"/>
  <c r="AF289" i="11"/>
  <c r="J244" i="10"/>
  <c r="AG8" i="11"/>
  <c r="K8" i="10"/>
  <c r="AG12" i="11"/>
  <c r="K12" i="10"/>
  <c r="AG28" i="11"/>
  <c r="K21" i="10"/>
  <c r="AG32" i="11"/>
  <c r="K25" i="10"/>
  <c r="AG40" i="11"/>
  <c r="K32" i="10"/>
  <c r="AG44" i="11"/>
  <c r="K36" i="10"/>
  <c r="AG48" i="11"/>
  <c r="K38" i="10"/>
  <c r="AG56" i="11"/>
  <c r="K43" i="10"/>
  <c r="AG60" i="11"/>
  <c r="K47" i="10"/>
  <c r="AG64" i="11"/>
  <c r="K51" i="10"/>
  <c r="AG68" i="11"/>
  <c r="K55" i="10"/>
  <c r="AG72" i="11"/>
  <c r="K58" i="10"/>
  <c r="AG76" i="11"/>
  <c r="K61" i="10"/>
  <c r="AG84" i="11"/>
  <c r="K68" i="10"/>
  <c r="AG88" i="11"/>
  <c r="K71" i="10"/>
  <c r="AG92" i="11"/>
  <c r="K75" i="10"/>
  <c r="AG96" i="11"/>
  <c r="K78" i="10"/>
  <c r="AG104" i="11"/>
  <c r="K83" i="10"/>
  <c r="AG112" i="11"/>
  <c r="K89" i="10"/>
  <c r="AG116" i="11"/>
  <c r="K92" i="10"/>
  <c r="AG120" i="11"/>
  <c r="K96" i="10"/>
  <c r="AG124" i="11"/>
  <c r="K99" i="10"/>
  <c r="AG128" i="11"/>
  <c r="K101" i="10"/>
  <c r="AG132" i="11"/>
  <c r="K105" i="10"/>
  <c r="AG136" i="11"/>
  <c r="K109" i="10"/>
  <c r="AG144" i="11"/>
  <c r="K115" i="10"/>
  <c r="AG152" i="11"/>
  <c r="K120" i="10"/>
  <c r="AG164" i="11"/>
  <c r="K127" i="10"/>
  <c r="AG168" i="11"/>
  <c r="K131" i="10"/>
  <c r="AG172" i="11"/>
  <c r="K133" i="10"/>
  <c r="AG176" i="11"/>
  <c r="K137" i="10"/>
  <c r="AG180" i="11"/>
  <c r="K141" i="10"/>
  <c r="AG184" i="11"/>
  <c r="K145" i="10"/>
  <c r="AG188" i="11"/>
  <c r="K149" i="10"/>
  <c r="AG205" i="11"/>
  <c r="K160" i="10"/>
  <c r="AG229" i="11"/>
  <c r="K184" i="10"/>
  <c r="AG273" i="11"/>
  <c r="K228" i="10"/>
  <c r="AG288" i="11"/>
  <c r="K243" i="10"/>
  <c r="AH7" i="11"/>
  <c r="L7" i="10"/>
  <c r="AH11" i="11"/>
  <c r="L11" i="10"/>
  <c r="AH23" i="11"/>
  <c r="L18" i="10"/>
  <c r="AH31" i="11"/>
  <c r="L24" i="10"/>
  <c r="AH35" i="11"/>
  <c r="L28" i="10"/>
  <c r="AH39" i="11"/>
  <c r="L31" i="10"/>
  <c r="AH43" i="11"/>
  <c r="L35" i="10"/>
  <c r="AH55" i="11"/>
  <c r="L42" i="10"/>
  <c r="AH59" i="11"/>
  <c r="L46" i="10"/>
  <c r="AH63" i="11"/>
  <c r="L50" i="10"/>
  <c r="AH67" i="11"/>
  <c r="L54" i="10"/>
  <c r="AH75" i="11"/>
  <c r="L60" i="10"/>
  <c r="AH79" i="11"/>
  <c r="L64" i="10"/>
  <c r="AH83" i="11"/>
  <c r="L67" i="10"/>
  <c r="AH91" i="11"/>
  <c r="L74" i="10"/>
  <c r="AH107" i="11"/>
  <c r="L86" i="10"/>
  <c r="AH111" i="11"/>
  <c r="L88" i="10"/>
  <c r="AH119" i="11"/>
  <c r="L95" i="10"/>
  <c r="AH123" i="11"/>
  <c r="L98" i="10"/>
  <c r="AH131" i="11"/>
  <c r="L104" i="10"/>
  <c r="AH135" i="11"/>
  <c r="L108" i="10"/>
  <c r="AH139" i="11"/>
  <c r="L112" i="10"/>
  <c r="AH143" i="11"/>
  <c r="L114" i="10"/>
  <c r="AH147" i="11"/>
  <c r="L116" i="10"/>
  <c r="AH151" i="11"/>
  <c r="L119" i="10"/>
  <c r="AH155" i="11"/>
  <c r="L123" i="10"/>
  <c r="AH163" i="11"/>
  <c r="L126" i="10"/>
  <c r="AH167" i="11"/>
  <c r="L130" i="10"/>
  <c r="AH171" i="11"/>
  <c r="L132" i="10"/>
  <c r="AH175" i="11"/>
  <c r="L136" i="10"/>
  <c r="AH179" i="11"/>
  <c r="L140" i="10"/>
  <c r="AH183" i="11"/>
  <c r="L144" i="10"/>
  <c r="AH187" i="11"/>
  <c r="L148" i="10"/>
  <c r="AH191" i="11"/>
  <c r="L152" i="10"/>
  <c r="AH228" i="11"/>
  <c r="L183" i="10"/>
  <c r="AH263" i="11"/>
  <c r="L218" i="10"/>
  <c r="AH287" i="11"/>
  <c r="L242" i="10"/>
  <c r="AI6" i="11"/>
  <c r="M6" i="10"/>
  <c r="AI10" i="11"/>
  <c r="M10" i="10"/>
  <c r="AI18" i="11"/>
  <c r="M15" i="10"/>
  <c r="AI22" i="11"/>
  <c r="M17" i="10"/>
  <c r="AI26" i="11"/>
  <c r="M20" i="10"/>
  <c r="AI30" i="11"/>
  <c r="M23" i="10"/>
  <c r="AI34" i="11"/>
  <c r="M27" i="10"/>
  <c r="AI38" i="11"/>
  <c r="M30" i="10"/>
  <c r="AI42" i="11"/>
  <c r="M34" i="10"/>
  <c r="AI54" i="11"/>
  <c r="M41" i="10"/>
  <c r="AI58" i="11"/>
  <c r="M45" i="10"/>
  <c r="AI62" i="11"/>
  <c r="M49" i="10"/>
  <c r="AI66" i="11"/>
  <c r="M53" i="10"/>
  <c r="AI70" i="11"/>
  <c r="M57" i="10"/>
  <c r="AI74" i="11"/>
  <c r="M59" i="10"/>
  <c r="AI78" i="11"/>
  <c r="M63" i="10"/>
  <c r="AI82" i="11"/>
  <c r="M66" i="10"/>
  <c r="AI86" i="11"/>
  <c r="M70" i="10"/>
  <c r="AI90" i="11"/>
  <c r="M73" i="10"/>
  <c r="AI94" i="11"/>
  <c r="M77" i="10"/>
  <c r="AI98" i="11"/>
  <c r="M80" i="10"/>
  <c r="AI102" i="11"/>
  <c r="M82" i="10"/>
  <c r="AI106" i="11"/>
  <c r="M85" i="10"/>
  <c r="AI114" i="11"/>
  <c r="M91" i="10"/>
  <c r="AI118" i="11"/>
  <c r="M94" i="10"/>
  <c r="AI122" i="11"/>
  <c r="M97" i="10"/>
  <c r="AI130" i="11"/>
  <c r="M103" i="10"/>
  <c r="AI134" i="11"/>
  <c r="M107" i="10"/>
  <c r="AI138" i="11"/>
  <c r="M111" i="10"/>
  <c r="AI142" i="11"/>
  <c r="M113" i="10"/>
  <c r="AI150" i="11"/>
  <c r="M118" i="10"/>
  <c r="AI154" i="11"/>
  <c r="M122" i="10"/>
  <c r="AI158" i="11"/>
  <c r="M124" i="10"/>
  <c r="AI166" i="11"/>
  <c r="M129" i="10"/>
  <c r="AI174" i="11"/>
  <c r="M135" i="10"/>
  <c r="AI178" i="11"/>
  <c r="M139" i="10"/>
  <c r="AI182" i="11"/>
  <c r="M143" i="10"/>
  <c r="AI186" i="11"/>
  <c r="M147" i="10"/>
  <c r="AI190" i="11"/>
  <c r="M151" i="10"/>
  <c r="AI227" i="11"/>
  <c r="M182" i="10"/>
  <c r="AI259" i="11"/>
  <c r="M214" i="10"/>
  <c r="AI286" i="11"/>
  <c r="M241" i="10"/>
  <c r="AJ13" i="11"/>
  <c r="N13" i="10"/>
  <c r="AJ17" i="11"/>
  <c r="N14" i="10"/>
  <c r="AJ21" i="11"/>
  <c r="N16" i="10"/>
  <c r="AJ25" i="11"/>
  <c r="N19" i="10"/>
  <c r="AJ29" i="11"/>
  <c r="N22" i="10"/>
  <c r="AJ33" i="11"/>
  <c r="N26" i="10"/>
  <c r="AJ37" i="11"/>
  <c r="N29" i="10"/>
  <c r="AJ41" i="11"/>
  <c r="N33" i="10"/>
  <c r="AJ45" i="11"/>
  <c r="N37" i="10"/>
  <c r="AJ49" i="11"/>
  <c r="N39" i="10"/>
  <c r="AJ53" i="11"/>
  <c r="N40" i="10"/>
  <c r="AJ57" i="11"/>
  <c r="N44" i="10"/>
  <c r="AJ61" i="11"/>
  <c r="N48" i="10"/>
  <c r="AJ65" i="11"/>
  <c r="N52" i="10"/>
  <c r="AJ69" i="11"/>
  <c r="N56" i="10"/>
  <c r="AJ77" i="11"/>
  <c r="N62" i="10"/>
  <c r="AJ81" i="11"/>
  <c r="N65" i="10"/>
  <c r="AJ85" i="11"/>
  <c r="N69" i="10"/>
  <c r="AJ89" i="11"/>
  <c r="N72" i="10"/>
  <c r="AJ93" i="11"/>
  <c r="N76" i="10"/>
  <c r="AJ97" i="11"/>
  <c r="N79" i="10"/>
  <c r="AJ101" i="11"/>
  <c r="N81" i="10"/>
  <c r="AJ105" i="11"/>
  <c r="N84" i="10"/>
  <c r="AJ109" i="11"/>
  <c r="N87" i="10"/>
  <c r="AJ113" i="11"/>
  <c r="N90" i="10"/>
  <c r="AJ117" i="11"/>
  <c r="N93" i="10"/>
  <c r="AJ125" i="11"/>
  <c r="N100" i="10"/>
  <c r="AJ129" i="11"/>
  <c r="N102" i="10"/>
  <c r="AJ133" i="11"/>
  <c r="N106" i="10"/>
  <c r="AJ137" i="11"/>
  <c r="N110" i="10"/>
  <c r="AJ149" i="11"/>
  <c r="N117" i="10"/>
  <c r="AJ153" i="11"/>
  <c r="N121" i="10"/>
  <c r="AJ161" i="11"/>
  <c r="N125" i="10"/>
  <c r="AJ165" i="11"/>
  <c r="N128" i="10"/>
  <c r="AJ173" i="11"/>
  <c r="N134" i="10"/>
  <c r="AJ177" i="11"/>
  <c r="N138" i="10"/>
  <c r="AJ181" i="11"/>
  <c r="N142" i="10"/>
  <c r="AJ185" i="11"/>
  <c r="N146" i="10"/>
  <c r="AJ189" i="11"/>
  <c r="N150" i="10"/>
  <c r="AJ226" i="11"/>
  <c r="N181" i="10"/>
  <c r="AJ243" i="11"/>
  <c r="N204" i="10"/>
  <c r="AJ285" i="11"/>
  <c r="N240" i="10"/>
  <c r="AJ289" i="11"/>
  <c r="N244" i="10"/>
  <c r="AD5" i="11"/>
  <c r="AD9" i="11"/>
  <c r="AE5" i="11"/>
  <c r="AE9" i="11"/>
  <c r="AF5" i="11"/>
  <c r="AF9" i="11"/>
  <c r="AG5" i="11"/>
  <c r="AG9" i="11"/>
  <c r="AH5" i="11"/>
  <c r="AH9" i="11"/>
  <c r="AI9" i="11"/>
  <c r="AJ5" i="11"/>
  <c r="AJ198" i="11" s="1"/>
  <c r="AJ9" i="11"/>
  <c r="AD6" i="11"/>
  <c r="AD10" i="11"/>
  <c r="E3" i="9"/>
  <c r="E4" i="9"/>
  <c r="E7" i="9"/>
  <c r="E11" i="9"/>
  <c r="E14" i="9"/>
  <c r="E15" i="9"/>
  <c r="E16" i="9"/>
  <c r="E17" i="9"/>
  <c r="E18" i="9"/>
  <c r="E20" i="9"/>
  <c r="E23" i="9"/>
  <c r="E24" i="9"/>
  <c r="E25" i="9"/>
  <c r="E27" i="9"/>
  <c r="E29" i="9"/>
  <c r="E31" i="9"/>
  <c r="E33" i="9"/>
  <c r="E35" i="9"/>
  <c r="E37" i="9"/>
  <c r="E38" i="9"/>
  <c r="E39" i="9"/>
  <c r="E41" i="9"/>
  <c r="E44" i="9"/>
  <c r="E46" i="9"/>
  <c r="E50" i="9"/>
  <c r="E52" i="9"/>
  <c r="E55" i="9"/>
  <c r="E57" i="9"/>
  <c r="E60" i="9"/>
  <c r="E62" i="9"/>
  <c r="E65" i="9"/>
  <c r="E67" i="9"/>
  <c r="E69" i="9"/>
  <c r="E70" i="9"/>
  <c r="E72" i="9"/>
  <c r="E74" i="9"/>
  <c r="E75" i="9"/>
  <c r="E77" i="9"/>
  <c r="E79" i="9"/>
  <c r="E80" i="9"/>
  <c r="E82" i="9"/>
  <c r="E84" i="9"/>
  <c r="E86" i="9"/>
  <c r="E87" i="9"/>
  <c r="E89" i="9"/>
  <c r="E91" i="9"/>
  <c r="E93" i="9"/>
  <c r="E95" i="9"/>
  <c r="E96" i="9"/>
  <c r="E97" i="9"/>
  <c r="E98" i="9"/>
  <c r="E99" i="9"/>
  <c r="E100" i="9"/>
  <c r="E101" i="9"/>
  <c r="E103" i="9"/>
  <c r="E104" i="9"/>
  <c r="E106" i="9"/>
  <c r="E108" i="9"/>
  <c r="E110" i="9"/>
  <c r="E111" i="9"/>
  <c r="E112" i="9"/>
  <c r="E113" i="9"/>
  <c r="E114" i="9"/>
  <c r="E115" i="9"/>
  <c r="E116" i="9"/>
  <c r="E117" i="9"/>
  <c r="E118" i="9"/>
  <c r="E119" i="9"/>
  <c r="E120" i="9"/>
  <c r="E121" i="9"/>
  <c r="E122" i="9"/>
  <c r="E123" i="9"/>
  <c r="E124" i="9"/>
  <c r="E126" i="9"/>
  <c r="E128" i="9"/>
  <c r="E130" i="9"/>
  <c r="E132" i="9"/>
  <c r="E133" i="9"/>
  <c r="E134" i="9"/>
  <c r="E135" i="9"/>
  <c r="E136" i="9"/>
  <c r="E137" i="9"/>
  <c r="E138" i="9"/>
  <c r="E139" i="9"/>
  <c r="E140" i="9"/>
  <c r="E141" i="9"/>
  <c r="E142" i="9"/>
  <c r="E143" i="9"/>
  <c r="E145" i="9"/>
  <c r="E147" i="9"/>
  <c r="E149" i="9"/>
  <c r="E150" i="9"/>
  <c r="E152" i="9"/>
  <c r="E153" i="9"/>
  <c r="E154" i="9"/>
  <c r="E155" i="9"/>
  <c r="E156" i="9"/>
  <c r="E157" i="9"/>
  <c r="E158" i="9"/>
  <c r="E159" i="9"/>
  <c r="E160" i="9"/>
  <c r="E162" i="9"/>
  <c r="E163" i="9"/>
  <c r="E164" i="9"/>
  <c r="E165" i="9"/>
  <c r="E166" i="9"/>
  <c r="E167" i="9"/>
  <c r="E168" i="9"/>
  <c r="E169" i="9"/>
  <c r="E170" i="9"/>
  <c r="E171" i="9"/>
  <c r="E172" i="9"/>
  <c r="E173" i="9"/>
  <c r="E174" i="9"/>
  <c r="E175" i="9"/>
  <c r="E176" i="9"/>
  <c r="E177" i="9"/>
  <c r="E178" i="9"/>
  <c r="E180" i="9"/>
  <c r="E182" i="9"/>
  <c r="E184" i="9"/>
  <c r="E187" i="9"/>
  <c r="E188" i="9"/>
  <c r="E189" i="9"/>
  <c r="E190" i="9"/>
  <c r="E191" i="9"/>
  <c r="E192" i="9"/>
  <c r="E193" i="9"/>
  <c r="E194" i="9"/>
  <c r="E195" i="9"/>
  <c r="E196" i="9"/>
  <c r="E197" i="9"/>
  <c r="E198" i="9"/>
  <c r="E199" i="9"/>
  <c r="E200" i="9"/>
  <c r="E201" i="9"/>
  <c r="E202" i="9"/>
  <c r="E203" i="9"/>
  <c r="E204" i="9"/>
  <c r="E205" i="9"/>
  <c r="E206" i="9"/>
  <c r="E207" i="9"/>
  <c r="E208" i="9"/>
  <c r="E209" i="9"/>
  <c r="E211" i="9"/>
  <c r="E213" i="9"/>
  <c r="E216" i="9"/>
  <c r="E218" i="9"/>
  <c r="E220" i="9"/>
  <c r="E222" i="9"/>
  <c r="E224" i="9"/>
  <c r="E225" i="9"/>
  <c r="E228" i="9"/>
  <c r="E229" i="9"/>
  <c r="E232" i="9"/>
  <c r="E234" i="9"/>
  <c r="E236" i="9"/>
  <c r="E238" i="9"/>
  <c r="E240" i="9"/>
  <c r="E242" i="9"/>
  <c r="E243" i="9"/>
  <c r="E244" i="9"/>
  <c r="E245" i="9"/>
  <c r="E247" i="9"/>
  <c r="E248" i="9"/>
  <c r="E250" i="9"/>
  <c r="E251" i="9"/>
  <c r="E253" i="9"/>
  <c r="E254" i="9"/>
  <c r="E256" i="9"/>
  <c r="E257" i="9"/>
  <c r="E258" i="9"/>
  <c r="E261" i="9"/>
  <c r="E264" i="9"/>
  <c r="E265" i="9"/>
  <c r="E267" i="9"/>
  <c r="E269" i="9"/>
  <c r="E272" i="9"/>
  <c r="E274" i="9"/>
  <c r="E276" i="9"/>
  <c r="E278" i="9"/>
  <c r="E279" i="9"/>
  <c r="E280" i="9"/>
  <c r="E282" i="9"/>
  <c r="E283" i="9"/>
  <c r="E285" i="9"/>
  <c r="E287" i="9"/>
  <c r="E289" i="9"/>
  <c r="E291" i="9"/>
  <c r="E292" i="9"/>
  <c r="E293" i="9"/>
  <c r="E294" i="9"/>
  <c r="E295" i="9"/>
  <c r="E296" i="9"/>
  <c r="E297" i="9"/>
  <c r="E299" i="9"/>
  <c r="E302" i="9"/>
  <c r="E303" i="9"/>
  <c r="E306" i="9"/>
  <c r="E309" i="9"/>
  <c r="E310" i="9"/>
  <c r="E312" i="9"/>
  <c r="E314" i="9"/>
  <c r="E315" i="9"/>
  <c r="E316" i="9"/>
  <c r="E318" i="9"/>
  <c r="E319" i="9"/>
  <c r="E320" i="9"/>
  <c r="E321" i="9"/>
  <c r="E322" i="9"/>
  <c r="E323" i="9"/>
  <c r="E324" i="9"/>
  <c r="E325" i="9"/>
  <c r="E326" i="9"/>
  <c r="E327" i="9"/>
  <c r="E328" i="9"/>
  <c r="E329" i="9"/>
  <c r="E330" i="9"/>
  <c r="E331" i="9"/>
  <c r="E333" i="9"/>
  <c r="E335" i="9"/>
  <c r="E336" i="9"/>
  <c r="E338" i="9"/>
  <c r="E339" i="9"/>
  <c r="E340" i="9"/>
  <c r="E341" i="9"/>
  <c r="E344" i="9"/>
  <c r="E346" i="9"/>
  <c r="E347" i="9"/>
  <c r="E348" i="9"/>
  <c r="E349" i="9"/>
  <c r="E350" i="9"/>
  <c r="E351" i="9"/>
  <c r="C2" i="10" l="1"/>
  <c r="L829" i="3"/>
  <c r="L840" i="3"/>
  <c r="L843" i="3"/>
  <c r="L995" i="3"/>
  <c r="L998" i="3"/>
  <c r="C203" i="10" s="1"/>
  <c r="L1003" i="3"/>
  <c r="L697" i="3"/>
  <c r="H727" i="3"/>
  <c r="H720" i="3"/>
  <c r="H717" i="3"/>
  <c r="H714" i="3"/>
  <c r="H711" i="3"/>
  <c r="H710" i="3"/>
  <c r="H707" i="3"/>
  <c r="H704" i="3"/>
  <c r="H87" i="3"/>
  <c r="H82" i="3"/>
  <c r="H65" i="3"/>
  <c r="H48" i="3"/>
  <c r="H28" i="3"/>
  <c r="H27" i="3"/>
  <c r="H24" i="3"/>
  <c r="H23" i="3"/>
  <c r="H22" i="3"/>
  <c r="H19" i="3"/>
  <c r="H18" i="3"/>
  <c r="C3" i="10"/>
  <c r="C4" i="10"/>
  <c r="C6" i="10"/>
  <c r="C7" i="10"/>
  <c r="C8" i="10"/>
  <c r="C9" i="10"/>
  <c r="C10" i="10"/>
  <c r="C11" i="10"/>
  <c r="C12" i="10"/>
  <c r="C13" i="10"/>
  <c r="C14" i="10"/>
  <c r="C19" i="10"/>
  <c r="C25" i="10"/>
  <c r="C26" i="10"/>
  <c r="C29" i="10"/>
  <c r="C38" i="10"/>
  <c r="C40" i="10"/>
  <c r="C43" i="10"/>
  <c r="C46" i="10"/>
  <c r="C49" i="10"/>
  <c r="C53" i="10"/>
  <c r="C58" i="10"/>
  <c r="C59" i="10"/>
  <c r="C65" i="10"/>
  <c r="C71" i="10"/>
  <c r="C72" i="10"/>
  <c r="C75" i="10"/>
  <c r="C78" i="10"/>
  <c r="C81" i="10"/>
  <c r="C82" i="10"/>
  <c r="C87" i="10"/>
  <c r="C88" i="10"/>
  <c r="C92" i="10"/>
  <c r="C93" i="10"/>
  <c r="C95" i="10"/>
  <c r="C97" i="10"/>
  <c r="C101" i="10"/>
  <c r="C103" i="10"/>
  <c r="C104" i="10"/>
  <c r="C105" i="10"/>
  <c r="C113" i="10"/>
  <c r="C114" i="10"/>
  <c r="C115" i="10"/>
  <c r="C116" i="10"/>
  <c r="C117" i="10"/>
  <c r="C118" i="10"/>
  <c r="C125" i="10"/>
  <c r="C126" i="10"/>
  <c r="C132" i="10"/>
  <c r="C133" i="10"/>
  <c r="C136" i="10"/>
  <c r="C143" i="10"/>
  <c r="C144" i="10"/>
  <c r="C145" i="10"/>
  <c r="C146" i="10"/>
  <c r="C147" i="10"/>
  <c r="C148" i="10"/>
  <c r="C149" i="10"/>
  <c r="C150" i="10"/>
  <c r="C151" i="10"/>
  <c r="C152" i="10"/>
  <c r="C153" i="10"/>
  <c r="C154" i="10"/>
  <c r="C155" i="10"/>
  <c r="C156" i="10"/>
  <c r="C157" i="10"/>
  <c r="C158" i="10"/>
  <c r="C159" i="10"/>
  <c r="C161" i="10"/>
  <c r="C169" i="10"/>
  <c r="C170" i="10"/>
  <c r="C171" i="10"/>
  <c r="C173" i="10"/>
  <c r="C175" i="10"/>
  <c r="C177" i="10"/>
  <c r="C179" i="10"/>
  <c r="C180" i="10"/>
  <c r="C181" i="10"/>
  <c r="C182" i="10"/>
  <c r="C185" i="10"/>
  <c r="C192" i="10"/>
  <c r="C193" i="10"/>
  <c r="C194" i="10"/>
  <c r="C195" i="10"/>
  <c r="C200" i="10"/>
  <c r="C202" i="10"/>
  <c r="C204" i="10"/>
  <c r="C212" i="10"/>
  <c r="C214" i="10"/>
  <c r="C218" i="10"/>
  <c r="C219" i="10"/>
  <c r="C220" i="10"/>
  <c r="C221" i="10"/>
  <c r="C222" i="10"/>
  <c r="C223" i="10"/>
  <c r="C224" i="10"/>
  <c r="C225" i="10"/>
  <c r="C226" i="10"/>
  <c r="C227" i="10"/>
  <c r="C228" i="10"/>
  <c r="C232" i="10"/>
  <c r="C234" i="10"/>
  <c r="C235" i="10"/>
  <c r="C239" i="10"/>
  <c r="C240" i="10"/>
  <c r="C241" i="10"/>
  <c r="C242" i="10"/>
  <c r="C243" i="10"/>
  <c r="C24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4" i="10"/>
  <c r="H1190" i="3"/>
  <c r="H1187" i="3"/>
  <c r="H1184" i="3"/>
  <c r="H1181" i="3"/>
  <c r="H1177" i="3"/>
  <c r="H1174" i="3"/>
  <c r="G284" i="11" s="1"/>
  <c r="G1169" i="3"/>
  <c r="H1167" i="3"/>
  <c r="G283" i="11" s="1"/>
  <c r="G1158" i="3"/>
  <c r="G1156" i="3"/>
  <c r="H1154" i="3"/>
  <c r="G282" i="11" s="1"/>
  <c r="H1153" i="3"/>
  <c r="G281" i="11" s="1"/>
  <c r="H1150" i="3"/>
  <c r="G280" i="11" s="1"/>
  <c r="H1147" i="3"/>
  <c r="G279" i="11" s="1"/>
  <c r="G1142" i="3"/>
  <c r="H1140" i="3"/>
  <c r="G278" i="11" s="1"/>
  <c r="H1136" i="3"/>
  <c r="G277" i="11" s="1"/>
  <c r="G1131" i="3"/>
  <c r="H1130" i="3"/>
  <c r="G276" i="11" s="1"/>
  <c r="G1126" i="3"/>
  <c r="H1125" i="3"/>
  <c r="G275" i="11" s="1"/>
  <c r="H1124" i="3"/>
  <c r="G274" i="11" s="1"/>
  <c r="H1120" i="3"/>
  <c r="H1117" i="3"/>
  <c r="G272" i="11" s="1"/>
  <c r="H1114" i="3"/>
  <c r="G271" i="11" s="1"/>
  <c r="H1111" i="3"/>
  <c r="G270" i="11" s="1"/>
  <c r="H1108" i="3"/>
  <c r="G269" i="11" s="1"/>
  <c r="H1105" i="3"/>
  <c r="G268" i="11" s="1"/>
  <c r="H1102" i="3"/>
  <c r="G267" i="11" s="1"/>
  <c r="H1099" i="3"/>
  <c r="G266" i="11" s="1"/>
  <c r="H1096" i="3"/>
  <c r="G265" i="11" s="1"/>
  <c r="H1095" i="3"/>
  <c r="G264" i="11" s="1"/>
  <c r="H1092" i="3"/>
  <c r="H1086" i="3"/>
  <c r="G262" i="11" s="1"/>
  <c r="G1081" i="3"/>
  <c r="H1077" i="3"/>
  <c r="G261" i="11" s="1"/>
  <c r="H1076" i="3"/>
  <c r="G260" i="11" s="1"/>
  <c r="H1073" i="3"/>
  <c r="G1066" i="3"/>
  <c r="H1064" i="3"/>
  <c r="G258" i="11" s="1"/>
  <c r="H1062" i="3"/>
  <c r="H1060" i="3"/>
  <c r="G257" i="11" s="1"/>
  <c r="H1059" i="3"/>
  <c r="G256" i="11" s="1"/>
  <c r="G1050" i="3"/>
  <c r="G1048" i="3"/>
  <c r="H1046" i="3"/>
  <c r="G255" i="11" s="1"/>
  <c r="G1037" i="3"/>
  <c r="G1029" i="3"/>
  <c r="H1027" i="3"/>
  <c r="G254" i="11" s="1"/>
  <c r="H1026" i="3"/>
  <c r="G253" i="11" s="1"/>
  <c r="G1017" i="3"/>
  <c r="G1015" i="3"/>
  <c r="H1013" i="3"/>
  <c r="G252" i="11" s="1"/>
  <c r="G1008" i="3"/>
  <c r="H1007" i="3"/>
  <c r="G251" i="11" s="1"/>
  <c r="H1006" i="3"/>
  <c r="G250" i="11" s="1"/>
  <c r="H1003" i="3"/>
  <c r="H998" i="3"/>
  <c r="G245" i="11" s="1"/>
  <c r="H995" i="3"/>
  <c r="G244" i="11" s="1"/>
  <c r="H990" i="3"/>
  <c r="G249" i="11" s="1"/>
  <c r="H985" i="3"/>
  <c r="G248" i="11" s="1"/>
  <c r="G976" i="3"/>
  <c r="H974" i="3"/>
  <c r="G247" i="11" s="1"/>
  <c r="G969" i="3"/>
  <c r="H968" i="3"/>
  <c r="G246" i="11" s="1"/>
  <c r="G964" i="3"/>
  <c r="H959" i="3"/>
  <c r="G242" i="11" s="1"/>
  <c r="G954" i="3"/>
  <c r="H953" i="3"/>
  <c r="G241" i="11" s="1"/>
  <c r="H949" i="3"/>
  <c r="G240" i="11" s="1"/>
  <c r="G944" i="3"/>
  <c r="H937" i="3"/>
  <c r="G239" i="11" s="1"/>
  <c r="H933" i="3"/>
  <c r="G238" i="11" s="1"/>
  <c r="H930" i="3"/>
  <c r="G237" i="11" s="1"/>
  <c r="G925" i="3"/>
  <c r="H923" i="3"/>
  <c r="G236" i="11" s="1"/>
  <c r="G918" i="3"/>
  <c r="G919" i="3" s="1"/>
  <c r="H916" i="3"/>
  <c r="G235" i="11" s="1"/>
  <c r="G911" i="3"/>
  <c r="H910" i="3"/>
  <c r="G234" i="11" s="1"/>
  <c r="G901" i="3"/>
  <c r="G899" i="3"/>
  <c r="H897" i="3"/>
  <c r="G233" i="11" s="1"/>
  <c r="H892" i="3"/>
  <c r="G232" i="11" s="1"/>
  <c r="G893" i="3"/>
  <c r="H889" i="3"/>
  <c r="H887" i="3"/>
  <c r="G231" i="11" s="1"/>
  <c r="H886" i="3"/>
  <c r="G230" i="11" s="1"/>
  <c r="G877" i="3"/>
  <c r="G869" i="3"/>
  <c r="H867" i="3"/>
  <c r="G858" i="3"/>
  <c r="G850" i="3"/>
  <c r="H848" i="3"/>
  <c r="H843" i="3"/>
  <c r="H840" i="3"/>
  <c r="G831" i="3"/>
  <c r="H829" i="3"/>
  <c r="G225" i="11" s="1"/>
  <c r="H828" i="3"/>
  <c r="G224" i="11" s="1"/>
  <c r="G821" i="3"/>
  <c r="H820" i="3"/>
  <c r="G223" i="11" s="1"/>
  <c r="H819" i="3"/>
  <c r="G222" i="11" s="1"/>
  <c r="G815" i="3"/>
  <c r="H810" i="3"/>
  <c r="G221" i="11" s="1"/>
  <c r="H809" i="3"/>
  <c r="G220" i="11" s="1"/>
  <c r="G804" i="3"/>
  <c r="H797" i="3"/>
  <c r="G219" i="11" s="1"/>
  <c r="H796" i="3"/>
  <c r="G218" i="11" s="1"/>
  <c r="H792" i="3"/>
  <c r="G217" i="11" s="1"/>
  <c r="H791" i="3"/>
  <c r="G216" i="11" s="1"/>
  <c r="H788" i="3"/>
  <c r="G213" i="11" s="1"/>
  <c r="H785" i="3"/>
  <c r="G212" i="11" s="1"/>
  <c r="G780" i="3"/>
  <c r="H779" i="3"/>
  <c r="G211" i="11" s="1"/>
  <c r="G774" i="3"/>
  <c r="H772" i="3"/>
  <c r="G210" i="11" s="1"/>
  <c r="G767" i="3"/>
  <c r="H765" i="3"/>
  <c r="G209" i="11" s="1"/>
  <c r="G760" i="3"/>
  <c r="H759" i="3"/>
  <c r="G208" i="11" s="1"/>
  <c r="G750" i="3"/>
  <c r="G748" i="3"/>
  <c r="H746" i="3"/>
  <c r="G207" i="11" s="1"/>
  <c r="H745" i="3"/>
  <c r="G206" i="11" s="1"/>
  <c r="G736" i="3"/>
  <c r="G734" i="3"/>
  <c r="H732" i="3"/>
  <c r="H731" i="3"/>
  <c r="G214" i="11" s="1"/>
  <c r="H725" i="3"/>
  <c r="H719" i="3"/>
  <c r="H716" i="3"/>
  <c r="H713" i="3"/>
  <c r="H709" i="3"/>
  <c r="H706" i="3"/>
  <c r="H703" i="3"/>
  <c r="H697" i="3"/>
  <c r="H690" i="3"/>
  <c r="H686" i="3"/>
  <c r="H680" i="3"/>
  <c r="H674" i="3"/>
  <c r="H670" i="3"/>
  <c r="H664" i="3"/>
  <c r="H660" i="3"/>
  <c r="H657" i="3"/>
  <c r="H654" i="3"/>
  <c r="H651" i="3"/>
  <c r="H648" i="3"/>
  <c r="H645" i="3"/>
  <c r="H641" i="3"/>
  <c r="H638" i="3"/>
  <c r="G631" i="3"/>
  <c r="G622" i="3"/>
  <c r="H618" i="3"/>
  <c r="G613" i="3"/>
  <c r="H612" i="3"/>
  <c r="G607" i="3"/>
  <c r="H606" i="3"/>
  <c r="G602" i="3"/>
  <c r="H601" i="3"/>
  <c r="H596" i="3"/>
  <c r="H588" i="3"/>
  <c r="H584" i="3"/>
  <c r="H581" i="3"/>
  <c r="H578" i="3"/>
  <c r="H575" i="3"/>
  <c r="H572" i="3"/>
  <c r="H567" i="3"/>
  <c r="H560" i="3"/>
  <c r="G551" i="3"/>
  <c r="H544" i="3"/>
  <c r="H537" i="3"/>
  <c r="H529" i="3"/>
  <c r="H525" i="3"/>
  <c r="H519" i="3"/>
  <c r="H513" i="3"/>
  <c r="H508" i="3"/>
  <c r="H503" i="3"/>
  <c r="H498" i="3"/>
  <c r="G489" i="3"/>
  <c r="H487" i="3"/>
  <c r="G482" i="3"/>
  <c r="H480" i="3"/>
  <c r="G477" i="3"/>
  <c r="H475" i="3"/>
  <c r="G472" i="3"/>
  <c r="H470" i="3"/>
  <c r="H464" i="3"/>
  <c r="H458" i="3"/>
  <c r="H446" i="3"/>
  <c r="H437" i="3"/>
  <c r="H427" i="3"/>
  <c r="G421" i="3"/>
  <c r="H416" i="3"/>
  <c r="G412" i="3"/>
  <c r="H407" i="3"/>
  <c r="G403" i="3"/>
  <c r="H398" i="3"/>
  <c r="G394" i="3"/>
  <c r="H389" i="3"/>
  <c r="H381" i="3"/>
  <c r="H378" i="3"/>
  <c r="H374" i="3"/>
  <c r="H371" i="3"/>
  <c r="H367" i="3"/>
  <c r="H364" i="3"/>
  <c r="H357" i="3"/>
  <c r="H346" i="3"/>
  <c r="G341" i="3"/>
  <c r="H334" i="3"/>
  <c r="G329" i="3"/>
  <c r="H322" i="3"/>
  <c r="G317" i="3"/>
  <c r="H310" i="3"/>
  <c r="G304" i="3"/>
  <c r="H297" i="3"/>
  <c r="H293" i="3"/>
  <c r="H289" i="3"/>
  <c r="H285" i="3"/>
  <c r="H281" i="3"/>
  <c r="G274" i="3"/>
  <c r="H273" i="3"/>
  <c r="G268" i="3"/>
  <c r="H266" i="3"/>
  <c r="G261" i="3"/>
  <c r="H259" i="3"/>
  <c r="G254" i="3"/>
  <c r="H252" i="3"/>
  <c r="G246" i="3"/>
  <c r="H244" i="3"/>
  <c r="G239" i="3"/>
  <c r="H237" i="3"/>
  <c r="G232" i="3"/>
  <c r="H230" i="3"/>
  <c r="G224" i="3"/>
  <c r="H222" i="3"/>
  <c r="G217" i="3"/>
  <c r="H215" i="3"/>
  <c r="G209" i="3"/>
  <c r="H207" i="3"/>
  <c r="G202" i="3"/>
  <c r="H200" i="3"/>
  <c r="G194" i="3"/>
  <c r="H192" i="3"/>
  <c r="G187" i="3"/>
  <c r="H185" i="3"/>
  <c r="G179" i="3"/>
  <c r="H178" i="3"/>
  <c r="H174" i="3"/>
  <c r="G165" i="3"/>
  <c r="G157" i="3"/>
  <c r="H155" i="3"/>
  <c r="G150" i="3"/>
  <c r="H149" i="3"/>
  <c r="G140" i="3"/>
  <c r="G138" i="3"/>
  <c r="H136" i="3"/>
  <c r="G127" i="3"/>
  <c r="H126" i="3"/>
  <c r="G121" i="3"/>
  <c r="H120" i="3"/>
  <c r="G115" i="3"/>
  <c r="H114" i="3"/>
  <c r="G110" i="3"/>
  <c r="H109" i="3"/>
  <c r="G103" i="3"/>
  <c r="H102" i="3"/>
  <c r="G99" i="3"/>
  <c r="H97" i="3"/>
  <c r="H94" i="3"/>
  <c r="H91" i="3"/>
  <c r="H86" i="3"/>
  <c r="H81" i="3"/>
  <c r="G77" i="3"/>
  <c r="H75" i="3"/>
  <c r="G71" i="3"/>
  <c r="H69" i="3"/>
  <c r="H63" i="3"/>
  <c r="H57" i="3"/>
  <c r="G50" i="3"/>
  <c r="H46" i="3"/>
  <c r="H42" i="3"/>
  <c r="H39" i="3"/>
  <c r="H36" i="3"/>
  <c r="H33" i="3"/>
  <c r="H30" i="3"/>
  <c r="H26" i="3"/>
  <c r="H21" i="3"/>
  <c r="H17" i="3"/>
  <c r="H4" i="3"/>
  <c r="AA208" i="11" l="1"/>
  <c r="Y208" i="11"/>
  <c r="M165" i="10" s="1"/>
  <c r="W208" i="11"/>
  <c r="L165" i="10" s="1"/>
  <c r="U208" i="11"/>
  <c r="K165" i="10" s="1"/>
  <c r="S208" i="11"/>
  <c r="J165" i="10" s="1"/>
  <c r="Q208" i="11"/>
  <c r="I165" i="10" s="1"/>
  <c r="O208" i="11"/>
  <c r="H165" i="10" s="1"/>
  <c r="M208" i="11"/>
  <c r="G165" i="10" s="1"/>
  <c r="AA210" i="11"/>
  <c r="Y210" i="11"/>
  <c r="M167" i="10" s="1"/>
  <c r="W210" i="11"/>
  <c r="L167" i="10" s="1"/>
  <c r="U210" i="11"/>
  <c r="K167" i="10" s="1"/>
  <c r="S210" i="11"/>
  <c r="J167" i="10" s="1"/>
  <c r="Q210" i="11"/>
  <c r="I167" i="10" s="1"/>
  <c r="O210" i="11"/>
  <c r="H167" i="10" s="1"/>
  <c r="M210" i="11"/>
  <c r="G167" i="10" s="1"/>
  <c r="AA212" i="11"/>
  <c r="Y212" i="11"/>
  <c r="M169" i="10" s="1"/>
  <c r="W212" i="11"/>
  <c r="L169" i="10" s="1"/>
  <c r="U212" i="11"/>
  <c r="K169" i="10" s="1"/>
  <c r="S212" i="11"/>
  <c r="J169" i="10" s="1"/>
  <c r="Q212" i="11"/>
  <c r="I169" i="10" s="1"/>
  <c r="O212" i="11"/>
  <c r="H169" i="10" s="1"/>
  <c r="M212" i="11"/>
  <c r="G169" i="10" s="1"/>
  <c r="AA221" i="11"/>
  <c r="Y221" i="11"/>
  <c r="M176" i="10" s="1"/>
  <c r="W221" i="11"/>
  <c r="L176" i="10" s="1"/>
  <c r="U221" i="11"/>
  <c r="K176" i="10" s="1"/>
  <c r="S221" i="11"/>
  <c r="J176" i="10" s="1"/>
  <c r="Q221" i="11"/>
  <c r="I176" i="10" s="1"/>
  <c r="O221" i="11"/>
  <c r="H176" i="10" s="1"/>
  <c r="M221" i="11"/>
  <c r="G176" i="10" s="1"/>
  <c r="AA232" i="11"/>
  <c r="Y232" i="11"/>
  <c r="M187" i="10" s="1"/>
  <c r="W232" i="11"/>
  <c r="L187" i="10" s="1"/>
  <c r="U232" i="11"/>
  <c r="K187" i="10" s="1"/>
  <c r="S232" i="11"/>
  <c r="J187" i="10" s="1"/>
  <c r="Q232" i="11"/>
  <c r="I187" i="10" s="1"/>
  <c r="O232" i="11"/>
  <c r="H187" i="10" s="1"/>
  <c r="M232" i="11"/>
  <c r="G187" i="10" s="1"/>
  <c r="AA234" i="11"/>
  <c r="Y234" i="11"/>
  <c r="M189" i="10" s="1"/>
  <c r="W234" i="11"/>
  <c r="L189" i="10" s="1"/>
  <c r="U234" i="11"/>
  <c r="K189" i="10" s="1"/>
  <c r="S234" i="11"/>
  <c r="J189" i="10" s="1"/>
  <c r="Q234" i="11"/>
  <c r="I189" i="10" s="1"/>
  <c r="O234" i="11"/>
  <c r="H189" i="10" s="1"/>
  <c r="M234" i="11"/>
  <c r="G189" i="10" s="1"/>
  <c r="AA236" i="11"/>
  <c r="Y236" i="11"/>
  <c r="M191" i="10" s="1"/>
  <c r="W236" i="11"/>
  <c r="L191" i="10" s="1"/>
  <c r="U236" i="11"/>
  <c r="K191" i="10" s="1"/>
  <c r="S236" i="11"/>
  <c r="J191" i="10" s="1"/>
  <c r="Q236" i="11"/>
  <c r="I191" i="10" s="1"/>
  <c r="O236" i="11"/>
  <c r="H191" i="10" s="1"/>
  <c r="M236" i="11"/>
  <c r="G191" i="10" s="1"/>
  <c r="AA239" i="11"/>
  <c r="Y239" i="11"/>
  <c r="M194" i="10" s="1"/>
  <c r="W239" i="11"/>
  <c r="L194" i="10" s="1"/>
  <c r="U239" i="11"/>
  <c r="K194" i="10" s="1"/>
  <c r="M239" i="11"/>
  <c r="G194" i="10" s="1"/>
  <c r="S239" i="11"/>
  <c r="J194" i="10" s="1"/>
  <c r="Q239" i="11"/>
  <c r="I194" i="10" s="1"/>
  <c r="O239" i="11"/>
  <c r="H194" i="10" s="1"/>
  <c r="AA249" i="11"/>
  <c r="Y249" i="11"/>
  <c r="M201" i="10" s="1"/>
  <c r="W249" i="11"/>
  <c r="L201" i="10" s="1"/>
  <c r="U249" i="11"/>
  <c r="K201" i="10" s="1"/>
  <c r="S249" i="11"/>
  <c r="J201" i="10" s="1"/>
  <c r="Q249" i="11"/>
  <c r="I201" i="10" s="1"/>
  <c r="O249" i="11"/>
  <c r="H201" i="10" s="1"/>
  <c r="M249" i="11"/>
  <c r="G201" i="10" s="1"/>
  <c r="AA258" i="11"/>
  <c r="Y258" i="11"/>
  <c r="M213" i="10" s="1"/>
  <c r="W258" i="11"/>
  <c r="L213" i="10" s="1"/>
  <c r="U258" i="11"/>
  <c r="K213" i="10" s="1"/>
  <c r="S258" i="11"/>
  <c r="J213" i="10" s="1"/>
  <c r="Q258" i="11"/>
  <c r="I213" i="10" s="1"/>
  <c r="O258" i="11"/>
  <c r="H213" i="10" s="1"/>
  <c r="M258" i="11"/>
  <c r="G213" i="10" s="1"/>
  <c r="AA261" i="11"/>
  <c r="Y261" i="11"/>
  <c r="M216" i="10" s="1"/>
  <c r="W261" i="11"/>
  <c r="L216" i="10" s="1"/>
  <c r="U261" i="11"/>
  <c r="K216" i="10" s="1"/>
  <c r="Q261" i="11"/>
  <c r="I216" i="10" s="1"/>
  <c r="O261" i="11"/>
  <c r="H216" i="10" s="1"/>
  <c r="S261" i="11"/>
  <c r="J216" i="10" s="1"/>
  <c r="M261" i="11"/>
  <c r="G216" i="10" s="1"/>
  <c r="AA268" i="11"/>
  <c r="Y268" i="11"/>
  <c r="M223" i="10" s="1"/>
  <c r="W268" i="11"/>
  <c r="L223" i="10" s="1"/>
  <c r="U268" i="11"/>
  <c r="K223" i="10" s="1"/>
  <c r="S268" i="11"/>
  <c r="J223" i="10" s="1"/>
  <c r="Q268" i="11"/>
  <c r="I223" i="10" s="1"/>
  <c r="O268" i="11"/>
  <c r="H223" i="10" s="1"/>
  <c r="M268" i="11"/>
  <c r="G223" i="10" s="1"/>
  <c r="AA272" i="11"/>
  <c r="Y272" i="11"/>
  <c r="M227" i="10" s="1"/>
  <c r="W272" i="11"/>
  <c r="L227" i="10" s="1"/>
  <c r="U272" i="11"/>
  <c r="K227" i="10" s="1"/>
  <c r="S272" i="11"/>
  <c r="J227" i="10" s="1"/>
  <c r="Q272" i="11"/>
  <c r="I227" i="10" s="1"/>
  <c r="O272" i="11"/>
  <c r="H227" i="10" s="1"/>
  <c r="M272" i="11"/>
  <c r="G227" i="10" s="1"/>
  <c r="AA278" i="11"/>
  <c r="Y278" i="11"/>
  <c r="M233" i="10" s="1"/>
  <c r="W278" i="11"/>
  <c r="L233" i="10" s="1"/>
  <c r="U278" i="11"/>
  <c r="K233" i="10" s="1"/>
  <c r="S278" i="11"/>
  <c r="J233" i="10" s="1"/>
  <c r="Q278" i="11"/>
  <c r="I233" i="10" s="1"/>
  <c r="O278" i="11"/>
  <c r="H233" i="10" s="1"/>
  <c r="M278" i="11"/>
  <c r="G233" i="10" s="1"/>
  <c r="AA283" i="11"/>
  <c r="Y283" i="11"/>
  <c r="M238" i="10" s="1"/>
  <c r="W283" i="11"/>
  <c r="L238" i="10" s="1"/>
  <c r="U283" i="11"/>
  <c r="K238" i="10" s="1"/>
  <c r="S283" i="11"/>
  <c r="J238" i="10" s="1"/>
  <c r="M283" i="11"/>
  <c r="G238" i="10" s="1"/>
  <c r="Q283" i="11"/>
  <c r="I238" i="10" s="1"/>
  <c r="O283" i="11"/>
  <c r="H238" i="10" s="1"/>
  <c r="AA215" i="11"/>
  <c r="Y215" i="11"/>
  <c r="M162" i="10" s="1"/>
  <c r="W215" i="11"/>
  <c r="L162" i="10" s="1"/>
  <c r="U215" i="11"/>
  <c r="K162" i="10" s="1"/>
  <c r="S215" i="11"/>
  <c r="J162" i="10" s="1"/>
  <c r="Q215" i="11"/>
  <c r="I162" i="10" s="1"/>
  <c r="O215" i="11"/>
  <c r="H162" i="10" s="1"/>
  <c r="AA207" i="11"/>
  <c r="Y207" i="11"/>
  <c r="M164" i="10" s="1"/>
  <c r="W207" i="11"/>
  <c r="L164" i="10" s="1"/>
  <c r="U207" i="11"/>
  <c r="K164" i="10" s="1"/>
  <c r="M207" i="11"/>
  <c r="G164" i="10" s="1"/>
  <c r="S207" i="11"/>
  <c r="J164" i="10" s="1"/>
  <c r="Q207" i="11"/>
  <c r="I164" i="10" s="1"/>
  <c r="O207" i="11"/>
  <c r="H164" i="10" s="1"/>
  <c r="AA213" i="11"/>
  <c r="Y213" i="11"/>
  <c r="M170" i="10" s="1"/>
  <c r="W213" i="11"/>
  <c r="L170" i="10" s="1"/>
  <c r="U213" i="11"/>
  <c r="K170" i="10" s="1"/>
  <c r="S213" i="11"/>
  <c r="J170" i="10" s="1"/>
  <c r="Q213" i="11"/>
  <c r="I170" i="10" s="1"/>
  <c r="O213" i="11"/>
  <c r="H170" i="10" s="1"/>
  <c r="M213" i="11"/>
  <c r="G170" i="10" s="1"/>
  <c r="AA219" i="11"/>
  <c r="Y219" i="11"/>
  <c r="M174" i="10" s="1"/>
  <c r="W219" i="11"/>
  <c r="L174" i="10" s="1"/>
  <c r="U219" i="11"/>
  <c r="K174" i="10" s="1"/>
  <c r="M219" i="11"/>
  <c r="G174" i="10" s="1"/>
  <c r="S219" i="11"/>
  <c r="J174" i="10" s="1"/>
  <c r="Q219" i="11"/>
  <c r="I174" i="10" s="1"/>
  <c r="O219" i="11"/>
  <c r="H174" i="10" s="1"/>
  <c r="AA231" i="11"/>
  <c r="Y231" i="11"/>
  <c r="M186" i="10" s="1"/>
  <c r="W231" i="11"/>
  <c r="L186" i="10" s="1"/>
  <c r="U231" i="11"/>
  <c r="K186" i="10" s="1"/>
  <c r="M231" i="11"/>
  <c r="G186" i="10" s="1"/>
  <c r="S231" i="11"/>
  <c r="J186" i="10" s="1"/>
  <c r="Q231" i="11"/>
  <c r="I186" i="10" s="1"/>
  <c r="O231" i="11"/>
  <c r="H186" i="10" s="1"/>
  <c r="AA233" i="11"/>
  <c r="Y233" i="11"/>
  <c r="M188" i="10" s="1"/>
  <c r="W233" i="11"/>
  <c r="L188" i="10" s="1"/>
  <c r="U233" i="11"/>
  <c r="K188" i="10" s="1"/>
  <c r="S233" i="11"/>
  <c r="J188" i="10" s="1"/>
  <c r="Q233" i="11"/>
  <c r="I188" i="10" s="1"/>
  <c r="O233" i="11"/>
  <c r="H188" i="10" s="1"/>
  <c r="M233" i="11"/>
  <c r="G188" i="10" s="1"/>
  <c r="AA242" i="11"/>
  <c r="Y242" i="11"/>
  <c r="M197" i="10" s="1"/>
  <c r="W242" i="11"/>
  <c r="L197" i="10" s="1"/>
  <c r="U242" i="11"/>
  <c r="K197" i="10" s="1"/>
  <c r="S242" i="11"/>
  <c r="J197" i="10" s="1"/>
  <c r="Q242" i="11"/>
  <c r="I197" i="10" s="1"/>
  <c r="O242" i="11"/>
  <c r="H197" i="10" s="1"/>
  <c r="M242" i="11"/>
  <c r="G197" i="10" s="1"/>
  <c r="AA247" i="11"/>
  <c r="Y247" i="11"/>
  <c r="M199" i="10" s="1"/>
  <c r="W247" i="11"/>
  <c r="L199" i="10" s="1"/>
  <c r="U247" i="11"/>
  <c r="K199" i="10" s="1"/>
  <c r="M247" i="11"/>
  <c r="G199" i="10" s="1"/>
  <c r="S247" i="11"/>
  <c r="J199" i="10" s="1"/>
  <c r="Q247" i="11"/>
  <c r="I199" i="10" s="1"/>
  <c r="O247" i="11"/>
  <c r="H199" i="10" s="1"/>
  <c r="AA244" i="11"/>
  <c r="Y244" i="11"/>
  <c r="M202" i="10" s="1"/>
  <c r="W244" i="11"/>
  <c r="L202" i="10" s="1"/>
  <c r="U244" i="11"/>
  <c r="K202" i="10" s="1"/>
  <c r="S244" i="11"/>
  <c r="J202" i="10" s="1"/>
  <c r="Q244" i="11"/>
  <c r="I202" i="10" s="1"/>
  <c r="O244" i="11"/>
  <c r="H202" i="10" s="1"/>
  <c r="M244" i="11"/>
  <c r="G202" i="10" s="1"/>
  <c r="AA251" i="11"/>
  <c r="Y251" i="11"/>
  <c r="M206" i="10" s="1"/>
  <c r="W251" i="11"/>
  <c r="L206" i="10" s="1"/>
  <c r="U251" i="11"/>
  <c r="K206" i="10" s="1"/>
  <c r="M251" i="11"/>
  <c r="G206" i="10" s="1"/>
  <c r="S251" i="11"/>
  <c r="J206" i="10" s="1"/>
  <c r="Q251" i="11"/>
  <c r="I206" i="10" s="1"/>
  <c r="O251" i="11"/>
  <c r="H206" i="10" s="1"/>
  <c r="AA265" i="11"/>
  <c r="Y265" i="11"/>
  <c r="M220" i="10" s="1"/>
  <c r="W265" i="11"/>
  <c r="L220" i="10" s="1"/>
  <c r="U265" i="11"/>
  <c r="K220" i="10" s="1"/>
  <c r="Q265" i="11"/>
  <c r="I220" i="10" s="1"/>
  <c r="O265" i="11"/>
  <c r="H220" i="10" s="1"/>
  <c r="M265" i="11"/>
  <c r="G220" i="10" s="1"/>
  <c r="S265" i="11"/>
  <c r="J220" i="10" s="1"/>
  <c r="AA269" i="11"/>
  <c r="Y269" i="11"/>
  <c r="M224" i="10" s="1"/>
  <c r="W269" i="11"/>
  <c r="L224" i="10" s="1"/>
  <c r="U269" i="11"/>
  <c r="K224" i="10" s="1"/>
  <c r="S269" i="11"/>
  <c r="J224" i="10" s="1"/>
  <c r="Q269" i="11"/>
  <c r="I224" i="10" s="1"/>
  <c r="O269" i="11"/>
  <c r="H224" i="10" s="1"/>
  <c r="M269" i="11"/>
  <c r="G224" i="10" s="1"/>
  <c r="AA276" i="11"/>
  <c r="Y276" i="11"/>
  <c r="M231" i="10" s="1"/>
  <c r="W276" i="11"/>
  <c r="L231" i="10" s="1"/>
  <c r="U276" i="11"/>
  <c r="K231" i="10" s="1"/>
  <c r="S276" i="11"/>
  <c r="J231" i="10" s="1"/>
  <c r="Q276" i="11"/>
  <c r="I231" i="10" s="1"/>
  <c r="O276" i="11"/>
  <c r="H231" i="10" s="1"/>
  <c r="M276" i="11"/>
  <c r="G231" i="10" s="1"/>
  <c r="AA282" i="11"/>
  <c r="Y282" i="11"/>
  <c r="M237" i="10" s="1"/>
  <c r="W282" i="11"/>
  <c r="L237" i="10" s="1"/>
  <c r="U282" i="11"/>
  <c r="K237" i="10" s="1"/>
  <c r="S282" i="11"/>
  <c r="J237" i="10" s="1"/>
  <c r="Q282" i="11"/>
  <c r="I237" i="10" s="1"/>
  <c r="O282" i="11"/>
  <c r="H237" i="10" s="1"/>
  <c r="M282" i="11"/>
  <c r="G237" i="10" s="1"/>
  <c r="AA209" i="11"/>
  <c r="Y209" i="11"/>
  <c r="M166" i="10" s="1"/>
  <c r="W209" i="11"/>
  <c r="L166" i="10" s="1"/>
  <c r="U209" i="11"/>
  <c r="K166" i="10" s="1"/>
  <c r="S209" i="11"/>
  <c r="J166" i="10" s="1"/>
  <c r="Q209" i="11"/>
  <c r="I166" i="10" s="1"/>
  <c r="O209" i="11"/>
  <c r="H166" i="10" s="1"/>
  <c r="M209" i="11"/>
  <c r="G166" i="10" s="1"/>
  <c r="AA211" i="11"/>
  <c r="Y211" i="11"/>
  <c r="M168" i="10" s="1"/>
  <c r="W211" i="11"/>
  <c r="L168" i="10" s="1"/>
  <c r="U211" i="11"/>
  <c r="K168" i="10" s="1"/>
  <c r="M211" i="11"/>
  <c r="G168" i="10" s="1"/>
  <c r="S211" i="11"/>
  <c r="J168" i="10" s="1"/>
  <c r="Q211" i="11"/>
  <c r="I168" i="10" s="1"/>
  <c r="O211" i="11"/>
  <c r="H168" i="10" s="1"/>
  <c r="AA225" i="11"/>
  <c r="Y225" i="11"/>
  <c r="M180" i="10" s="1"/>
  <c r="W225" i="11"/>
  <c r="L180" i="10" s="1"/>
  <c r="U225" i="11"/>
  <c r="K180" i="10" s="1"/>
  <c r="S225" i="11"/>
  <c r="J180" i="10" s="1"/>
  <c r="Q225" i="11"/>
  <c r="I180" i="10" s="1"/>
  <c r="O225" i="11"/>
  <c r="H180" i="10" s="1"/>
  <c r="M225" i="11"/>
  <c r="G180" i="10" s="1"/>
  <c r="AA235" i="11"/>
  <c r="Y235" i="11"/>
  <c r="M190" i="10" s="1"/>
  <c r="W235" i="11"/>
  <c r="L190" i="10" s="1"/>
  <c r="U235" i="11"/>
  <c r="K190" i="10" s="1"/>
  <c r="M235" i="11"/>
  <c r="G190" i="10" s="1"/>
  <c r="S235" i="11"/>
  <c r="J190" i="10" s="1"/>
  <c r="Q235" i="11"/>
  <c r="I190" i="10" s="1"/>
  <c r="O235" i="11"/>
  <c r="H190" i="10" s="1"/>
  <c r="AA237" i="11"/>
  <c r="Y237" i="11"/>
  <c r="M192" i="10" s="1"/>
  <c r="W237" i="11"/>
  <c r="L192" i="10" s="1"/>
  <c r="U237" i="11"/>
  <c r="K192" i="10" s="1"/>
  <c r="S237" i="11"/>
  <c r="J192" i="10" s="1"/>
  <c r="Q237" i="11"/>
  <c r="I192" i="10" s="1"/>
  <c r="O237" i="11"/>
  <c r="H192" i="10" s="1"/>
  <c r="M237" i="11"/>
  <c r="G192" i="10" s="1"/>
  <c r="AA240" i="11"/>
  <c r="Y240" i="11"/>
  <c r="M195" i="10" s="1"/>
  <c r="W240" i="11"/>
  <c r="L195" i="10" s="1"/>
  <c r="U240" i="11"/>
  <c r="K195" i="10" s="1"/>
  <c r="S240" i="11"/>
  <c r="J195" i="10" s="1"/>
  <c r="Q240" i="11"/>
  <c r="I195" i="10" s="1"/>
  <c r="O240" i="11"/>
  <c r="H195" i="10" s="1"/>
  <c r="M240" i="11"/>
  <c r="G195" i="10" s="1"/>
  <c r="AA245" i="11"/>
  <c r="Y245" i="11"/>
  <c r="M203" i="10" s="1"/>
  <c r="W245" i="11"/>
  <c r="L203" i="10" s="1"/>
  <c r="U245" i="11"/>
  <c r="K203" i="10" s="1"/>
  <c r="S245" i="11"/>
  <c r="J203" i="10" s="1"/>
  <c r="Q245" i="11"/>
  <c r="I203" i="10" s="1"/>
  <c r="O245" i="11"/>
  <c r="H203" i="10" s="1"/>
  <c r="M245" i="11"/>
  <c r="G203" i="10" s="1"/>
  <c r="AA257" i="11"/>
  <c r="Y257" i="11"/>
  <c r="M212" i="10" s="1"/>
  <c r="W257" i="11"/>
  <c r="L212" i="10" s="1"/>
  <c r="U257" i="11"/>
  <c r="K212" i="10" s="1"/>
  <c r="Q257" i="11"/>
  <c r="I212" i="10" s="1"/>
  <c r="O257" i="11"/>
  <c r="H212" i="10" s="1"/>
  <c r="M257" i="11"/>
  <c r="G212" i="10" s="1"/>
  <c r="S257" i="11"/>
  <c r="J212" i="10" s="1"/>
  <c r="AA262" i="11"/>
  <c r="Y262" i="11"/>
  <c r="M217" i="10" s="1"/>
  <c r="W262" i="11"/>
  <c r="L217" i="10" s="1"/>
  <c r="U262" i="11"/>
  <c r="K217" i="10" s="1"/>
  <c r="S262" i="11"/>
  <c r="J217" i="10" s="1"/>
  <c r="Q262" i="11"/>
  <c r="I217" i="10" s="1"/>
  <c r="O262" i="11"/>
  <c r="H217" i="10" s="1"/>
  <c r="M262" i="11"/>
  <c r="G217" i="10" s="1"/>
  <c r="AA266" i="11"/>
  <c r="Y266" i="11"/>
  <c r="M221" i="10" s="1"/>
  <c r="W266" i="11"/>
  <c r="L221" i="10" s="1"/>
  <c r="U266" i="11"/>
  <c r="K221" i="10" s="1"/>
  <c r="S266" i="11"/>
  <c r="J221" i="10" s="1"/>
  <c r="Q266" i="11"/>
  <c r="I221" i="10" s="1"/>
  <c r="O266" i="11"/>
  <c r="H221" i="10" s="1"/>
  <c r="M266" i="11"/>
  <c r="G221" i="10" s="1"/>
  <c r="AA270" i="11"/>
  <c r="Y270" i="11"/>
  <c r="M225" i="10" s="1"/>
  <c r="W270" i="11"/>
  <c r="L225" i="10" s="1"/>
  <c r="U270" i="11"/>
  <c r="K225" i="10" s="1"/>
  <c r="S270" i="11"/>
  <c r="J225" i="10" s="1"/>
  <c r="Q270" i="11"/>
  <c r="I225" i="10" s="1"/>
  <c r="O270" i="11"/>
  <c r="H225" i="10" s="1"/>
  <c r="M270" i="11"/>
  <c r="G225" i="10" s="1"/>
  <c r="AA279" i="11"/>
  <c r="Y279" i="11"/>
  <c r="M234" i="10" s="1"/>
  <c r="W279" i="11"/>
  <c r="L234" i="10" s="1"/>
  <c r="U279" i="11"/>
  <c r="K234" i="10" s="1"/>
  <c r="S279" i="11"/>
  <c r="J234" i="10" s="1"/>
  <c r="M279" i="11"/>
  <c r="G234" i="10" s="1"/>
  <c r="Q279" i="11"/>
  <c r="I234" i="10" s="1"/>
  <c r="O279" i="11"/>
  <c r="H234" i="10" s="1"/>
  <c r="AA284" i="11"/>
  <c r="Y284" i="11"/>
  <c r="M239" i="10" s="1"/>
  <c r="W284" i="11"/>
  <c r="L239" i="10" s="1"/>
  <c r="U284" i="11"/>
  <c r="K239" i="10" s="1"/>
  <c r="S284" i="11"/>
  <c r="J239" i="10" s="1"/>
  <c r="Q284" i="11"/>
  <c r="I239" i="10" s="1"/>
  <c r="O284" i="11"/>
  <c r="H239" i="10" s="1"/>
  <c r="M284" i="11"/>
  <c r="G239" i="10" s="1"/>
  <c r="AA217" i="11"/>
  <c r="Y217" i="11"/>
  <c r="M172" i="10" s="1"/>
  <c r="W217" i="11"/>
  <c r="L172" i="10" s="1"/>
  <c r="U217" i="11"/>
  <c r="K172" i="10" s="1"/>
  <c r="S217" i="11"/>
  <c r="J172" i="10" s="1"/>
  <c r="Q217" i="11"/>
  <c r="I172" i="10" s="1"/>
  <c r="O217" i="11"/>
  <c r="H172" i="10" s="1"/>
  <c r="M217" i="11"/>
  <c r="G172" i="10" s="1"/>
  <c r="AA223" i="11"/>
  <c r="Y223" i="11"/>
  <c r="M178" i="10" s="1"/>
  <c r="W223" i="11"/>
  <c r="L178" i="10" s="1"/>
  <c r="U223" i="11"/>
  <c r="K178" i="10" s="1"/>
  <c r="M223" i="11"/>
  <c r="G178" i="10" s="1"/>
  <c r="S223" i="11"/>
  <c r="J178" i="10" s="1"/>
  <c r="Q223" i="11"/>
  <c r="I178" i="10" s="1"/>
  <c r="O223" i="11"/>
  <c r="H178" i="10" s="1"/>
  <c r="AA238" i="11"/>
  <c r="Y238" i="11"/>
  <c r="M193" i="10" s="1"/>
  <c r="W238" i="11"/>
  <c r="L193" i="10" s="1"/>
  <c r="U238" i="11"/>
  <c r="K193" i="10" s="1"/>
  <c r="S238" i="11"/>
  <c r="J193" i="10" s="1"/>
  <c r="Q238" i="11"/>
  <c r="I193" i="10" s="1"/>
  <c r="O238" i="11"/>
  <c r="H193" i="10" s="1"/>
  <c r="M238" i="11"/>
  <c r="G193" i="10" s="1"/>
  <c r="AA241" i="11"/>
  <c r="Y241" i="11"/>
  <c r="M196" i="10" s="1"/>
  <c r="W241" i="11"/>
  <c r="L196" i="10" s="1"/>
  <c r="U241" i="11"/>
  <c r="K196" i="10" s="1"/>
  <c r="S241" i="11"/>
  <c r="J196" i="10" s="1"/>
  <c r="Q241" i="11"/>
  <c r="I196" i="10" s="1"/>
  <c r="O241" i="11"/>
  <c r="H196" i="10" s="1"/>
  <c r="M241" i="11"/>
  <c r="G196" i="10" s="1"/>
  <c r="AA246" i="11"/>
  <c r="Y246" i="11"/>
  <c r="M198" i="10" s="1"/>
  <c r="W246" i="11"/>
  <c r="L198" i="10" s="1"/>
  <c r="U246" i="11"/>
  <c r="K198" i="10" s="1"/>
  <c r="S246" i="11"/>
  <c r="J198" i="10" s="1"/>
  <c r="Q246" i="11"/>
  <c r="I198" i="10" s="1"/>
  <c r="O246" i="11"/>
  <c r="H198" i="10" s="1"/>
  <c r="M246" i="11"/>
  <c r="G198" i="10" s="1"/>
  <c r="AA248" i="11"/>
  <c r="Y248" i="11"/>
  <c r="M200" i="10" s="1"/>
  <c r="W248" i="11"/>
  <c r="L200" i="10" s="1"/>
  <c r="U248" i="11"/>
  <c r="K200" i="10" s="1"/>
  <c r="S248" i="11"/>
  <c r="J200" i="10" s="1"/>
  <c r="Q248" i="11"/>
  <c r="I200" i="10" s="1"/>
  <c r="O248" i="11"/>
  <c r="H200" i="10" s="1"/>
  <c r="M248" i="11"/>
  <c r="G200" i="10" s="1"/>
  <c r="AA252" i="11"/>
  <c r="Y252" i="11"/>
  <c r="M207" i="10" s="1"/>
  <c r="W252" i="11"/>
  <c r="L207" i="10" s="1"/>
  <c r="U252" i="11"/>
  <c r="K207" i="10" s="1"/>
  <c r="S252" i="11"/>
  <c r="J207" i="10" s="1"/>
  <c r="Q252" i="11"/>
  <c r="I207" i="10" s="1"/>
  <c r="O252" i="11"/>
  <c r="H207" i="10" s="1"/>
  <c r="M252" i="11"/>
  <c r="G207" i="10" s="1"/>
  <c r="AA254" i="11"/>
  <c r="Y254" i="11"/>
  <c r="M209" i="10" s="1"/>
  <c r="W254" i="11"/>
  <c r="L209" i="10" s="1"/>
  <c r="U254" i="11"/>
  <c r="K209" i="10" s="1"/>
  <c r="S254" i="11"/>
  <c r="J209" i="10" s="1"/>
  <c r="Q254" i="11"/>
  <c r="I209" i="10" s="1"/>
  <c r="O254" i="11"/>
  <c r="H209" i="10" s="1"/>
  <c r="M254" i="11"/>
  <c r="G209" i="10" s="1"/>
  <c r="AA267" i="11"/>
  <c r="Y267" i="11"/>
  <c r="M222" i="10" s="1"/>
  <c r="W267" i="11"/>
  <c r="L222" i="10" s="1"/>
  <c r="U267" i="11"/>
  <c r="K222" i="10" s="1"/>
  <c r="M267" i="11"/>
  <c r="G222" i="10" s="1"/>
  <c r="S267" i="11"/>
  <c r="J222" i="10" s="1"/>
  <c r="Q267" i="11"/>
  <c r="I222" i="10" s="1"/>
  <c r="O267" i="11"/>
  <c r="H222" i="10" s="1"/>
  <c r="AA271" i="11"/>
  <c r="Y271" i="11"/>
  <c r="M226" i="10" s="1"/>
  <c r="W271" i="11"/>
  <c r="L226" i="10" s="1"/>
  <c r="U271" i="11"/>
  <c r="K226" i="10" s="1"/>
  <c r="S271" i="11"/>
  <c r="J226" i="10" s="1"/>
  <c r="M271" i="11"/>
  <c r="G226" i="10" s="1"/>
  <c r="Q271" i="11"/>
  <c r="I226" i="10" s="1"/>
  <c r="O271" i="11"/>
  <c r="H226" i="10" s="1"/>
  <c r="AA275" i="11"/>
  <c r="Y275" i="11"/>
  <c r="M230" i="10" s="1"/>
  <c r="W275" i="11"/>
  <c r="L230" i="10" s="1"/>
  <c r="U275" i="11"/>
  <c r="K230" i="10" s="1"/>
  <c r="S275" i="11"/>
  <c r="J230" i="10" s="1"/>
  <c r="M275" i="11"/>
  <c r="G230" i="10" s="1"/>
  <c r="Q275" i="11"/>
  <c r="I230" i="10" s="1"/>
  <c r="O275" i="11"/>
  <c r="H230" i="10" s="1"/>
  <c r="AA277" i="11"/>
  <c r="Y277" i="11"/>
  <c r="M232" i="10" s="1"/>
  <c r="W277" i="11"/>
  <c r="L232" i="10" s="1"/>
  <c r="U277" i="11"/>
  <c r="K232" i="10" s="1"/>
  <c r="S277" i="11"/>
  <c r="J232" i="10" s="1"/>
  <c r="Q277" i="11"/>
  <c r="I232" i="10" s="1"/>
  <c r="O277" i="11"/>
  <c r="H232" i="10" s="1"/>
  <c r="M277" i="11"/>
  <c r="G232" i="10" s="1"/>
  <c r="AA280" i="11"/>
  <c r="Y280" i="11"/>
  <c r="M235" i="10" s="1"/>
  <c r="W280" i="11"/>
  <c r="L235" i="10" s="1"/>
  <c r="U280" i="11"/>
  <c r="K235" i="10" s="1"/>
  <c r="S280" i="11"/>
  <c r="J235" i="10" s="1"/>
  <c r="Q280" i="11"/>
  <c r="I235" i="10" s="1"/>
  <c r="O280" i="11"/>
  <c r="H235" i="10" s="1"/>
  <c r="M280" i="11"/>
  <c r="G235" i="10" s="1"/>
  <c r="G729" i="3"/>
  <c r="I1122" i="3"/>
  <c r="H1122" i="3"/>
  <c r="E1122" i="3"/>
  <c r="M1122" i="3" s="1"/>
  <c r="D1122" i="3"/>
  <c r="I1121" i="3"/>
  <c r="H1121" i="3"/>
  <c r="E1121" i="3"/>
  <c r="P1121" i="3" s="1"/>
  <c r="D1121" i="3"/>
  <c r="AJ280" i="11" l="1"/>
  <c r="N235" i="10"/>
  <c r="AJ277" i="11"/>
  <c r="N232" i="10"/>
  <c r="AJ275" i="11"/>
  <c r="N230" i="10"/>
  <c r="AJ271" i="11"/>
  <c r="N226" i="10"/>
  <c r="AJ267" i="11"/>
  <c r="N222" i="10"/>
  <c r="AJ254" i="11"/>
  <c r="N209" i="10"/>
  <c r="AJ252" i="11"/>
  <c r="N207" i="10"/>
  <c r="AJ248" i="11"/>
  <c r="N200" i="10"/>
  <c r="AJ246" i="11"/>
  <c r="N198" i="10"/>
  <c r="AJ241" i="11"/>
  <c r="N196" i="10"/>
  <c r="AJ238" i="11"/>
  <c r="N193" i="10"/>
  <c r="AJ223" i="11"/>
  <c r="N178" i="10"/>
  <c r="AJ217" i="11"/>
  <c r="N172" i="10"/>
  <c r="AJ284" i="11"/>
  <c r="N239" i="10"/>
  <c r="AJ279" i="11"/>
  <c r="N234" i="10"/>
  <c r="AJ270" i="11"/>
  <c r="N225" i="10"/>
  <c r="AJ266" i="11"/>
  <c r="N221" i="10"/>
  <c r="AJ262" i="11"/>
  <c r="N217" i="10"/>
  <c r="AJ257" i="11"/>
  <c r="N212" i="10"/>
  <c r="AJ245" i="11"/>
  <c r="N203" i="10"/>
  <c r="AJ240" i="11"/>
  <c r="N195" i="10"/>
  <c r="AJ237" i="11"/>
  <c r="N192" i="10"/>
  <c r="AJ235" i="11"/>
  <c r="N190" i="10"/>
  <c r="AJ225" i="11"/>
  <c r="N180" i="10"/>
  <c r="AJ211" i="11"/>
  <c r="N168" i="10"/>
  <c r="AJ209" i="11"/>
  <c r="N166" i="10"/>
  <c r="AJ282" i="11"/>
  <c r="N237" i="10"/>
  <c r="AJ276" i="11"/>
  <c r="N231" i="10"/>
  <c r="AJ269" i="11"/>
  <c r="N224" i="10"/>
  <c r="AJ265" i="11"/>
  <c r="N220" i="10"/>
  <c r="AJ251" i="11"/>
  <c r="N206" i="10"/>
  <c r="AJ244" i="11"/>
  <c r="N202" i="10"/>
  <c r="AJ247" i="11"/>
  <c r="N199" i="10"/>
  <c r="AJ242" i="11"/>
  <c r="N197" i="10"/>
  <c r="AJ233" i="11"/>
  <c r="N188" i="10"/>
  <c r="AJ231" i="11"/>
  <c r="N186" i="10"/>
  <c r="AJ219" i="11"/>
  <c r="N174" i="10"/>
  <c r="AJ213" i="11"/>
  <c r="N170" i="10"/>
  <c r="AJ207" i="11"/>
  <c r="N164" i="10"/>
  <c r="AJ215" i="11"/>
  <c r="N162" i="10"/>
  <c r="AJ283" i="11"/>
  <c r="N238" i="10"/>
  <c r="AJ278" i="11"/>
  <c r="N233" i="10"/>
  <c r="AJ272" i="11"/>
  <c r="N227" i="10"/>
  <c r="AJ268" i="11"/>
  <c r="N223" i="10"/>
  <c r="AJ261" i="11"/>
  <c r="N216" i="10"/>
  <c r="AJ258" i="11"/>
  <c r="N213" i="10"/>
  <c r="AJ249" i="11"/>
  <c r="N201" i="10"/>
  <c r="AJ239" i="11"/>
  <c r="N194" i="10"/>
  <c r="AJ236" i="11"/>
  <c r="N191" i="10"/>
  <c r="AJ234" i="11"/>
  <c r="N189" i="10"/>
  <c r="AJ232" i="11"/>
  <c r="N187" i="10"/>
  <c r="AJ221" i="11"/>
  <c r="N176" i="10"/>
  <c r="AJ212" i="11"/>
  <c r="N169" i="10"/>
  <c r="AJ210" i="11"/>
  <c r="N167" i="10"/>
  <c r="AJ208" i="11"/>
  <c r="N165" i="10"/>
  <c r="AC280" i="11"/>
  <c r="AG280" i="11"/>
  <c r="AC277" i="11"/>
  <c r="AG277" i="11"/>
  <c r="AD275" i="11"/>
  <c r="AG275" i="11"/>
  <c r="AD271" i="11"/>
  <c r="AG271" i="11"/>
  <c r="AD267" i="11"/>
  <c r="AG267" i="11"/>
  <c r="AC254" i="11"/>
  <c r="AG254" i="11"/>
  <c r="AC252" i="11"/>
  <c r="AG252" i="11"/>
  <c r="AC248" i="11"/>
  <c r="AG248" i="11"/>
  <c r="AC246" i="11"/>
  <c r="AG246" i="11"/>
  <c r="AC241" i="11"/>
  <c r="AG241" i="11"/>
  <c r="AC238" i="11"/>
  <c r="AG238" i="11"/>
  <c r="AD223" i="11"/>
  <c r="AG223" i="11"/>
  <c r="AC217" i="11"/>
  <c r="AG217" i="11"/>
  <c r="AC284" i="11"/>
  <c r="AG284" i="11"/>
  <c r="AD279" i="11"/>
  <c r="AG279" i="11"/>
  <c r="AC270" i="11"/>
  <c r="AG270" i="11"/>
  <c r="AC266" i="11"/>
  <c r="AG266" i="11"/>
  <c r="AC262" i="11"/>
  <c r="AG262" i="11"/>
  <c r="AF257" i="11"/>
  <c r="AG257" i="11"/>
  <c r="AC245" i="11"/>
  <c r="AG245" i="11"/>
  <c r="AC240" i="11"/>
  <c r="AG240" i="11"/>
  <c r="AC237" i="11"/>
  <c r="AG237" i="11"/>
  <c r="AD235" i="11"/>
  <c r="AG235" i="11"/>
  <c r="AC225" i="11"/>
  <c r="AG225" i="11"/>
  <c r="AD211" i="11"/>
  <c r="AG211" i="11"/>
  <c r="AC209" i="11"/>
  <c r="AG209" i="11"/>
  <c r="AC282" i="11"/>
  <c r="AG282" i="11"/>
  <c r="AC276" i="11"/>
  <c r="AG276" i="11"/>
  <c r="AC269" i="11"/>
  <c r="AG269" i="11"/>
  <c r="AF265" i="11"/>
  <c r="AG265" i="11"/>
  <c r="AD251" i="11"/>
  <c r="AG251" i="11"/>
  <c r="AC244" i="11"/>
  <c r="AG244" i="11"/>
  <c r="AD247" i="11"/>
  <c r="AG247" i="11"/>
  <c r="AC242" i="11"/>
  <c r="AG242" i="11"/>
  <c r="AC233" i="11"/>
  <c r="AG233" i="11"/>
  <c r="AD231" i="11"/>
  <c r="AG231" i="11"/>
  <c r="AD219" i="11"/>
  <c r="AG219" i="11"/>
  <c r="AC213" i="11"/>
  <c r="AG213" i="11"/>
  <c r="AD207" i="11"/>
  <c r="AG207" i="11"/>
  <c r="AD215" i="11"/>
  <c r="AG215" i="11"/>
  <c r="AD283" i="11"/>
  <c r="AG283" i="11"/>
  <c r="AC278" i="11"/>
  <c r="AG278" i="11"/>
  <c r="AC272" i="11"/>
  <c r="AG272" i="11"/>
  <c r="AC268" i="11"/>
  <c r="AG268" i="11"/>
  <c r="AC261" i="11"/>
  <c r="AG261" i="11"/>
  <c r="AC258" i="11"/>
  <c r="AG258" i="11"/>
  <c r="AC249" i="11"/>
  <c r="AG249" i="11"/>
  <c r="AD239" i="11"/>
  <c r="AG239" i="11"/>
  <c r="AC236" i="11"/>
  <c r="AG236" i="11"/>
  <c r="AC234" i="11"/>
  <c r="AG234" i="11"/>
  <c r="AC232" i="11"/>
  <c r="AG232" i="11"/>
  <c r="AC221" i="11"/>
  <c r="AG221" i="11"/>
  <c r="AC212" i="11"/>
  <c r="AG212" i="11"/>
  <c r="AC210" i="11"/>
  <c r="AG210" i="11"/>
  <c r="AC208" i="11"/>
  <c r="AG208" i="11"/>
  <c r="AF280" i="11"/>
  <c r="AF275" i="11"/>
  <c r="AC267" i="11"/>
  <c r="AF254" i="11"/>
  <c r="AF248" i="11"/>
  <c r="AF241" i="11"/>
  <c r="AF238" i="11"/>
  <c r="AF284" i="11"/>
  <c r="AF266" i="11"/>
  <c r="AE257" i="11"/>
  <c r="AF240" i="11"/>
  <c r="AC235" i="11"/>
  <c r="AF225" i="11"/>
  <c r="AF209" i="11"/>
  <c r="AF269" i="11"/>
  <c r="AC251" i="11"/>
  <c r="AF244" i="11"/>
  <c r="AF242" i="11"/>
  <c r="AD280" i="11"/>
  <c r="AH277" i="11"/>
  <c r="AE271" i="11"/>
  <c r="AE267" i="11"/>
  <c r="AD252" i="11"/>
  <c r="AD248" i="11"/>
  <c r="AD246" i="11"/>
  <c r="AH246" i="11"/>
  <c r="AD241" i="11"/>
  <c r="AH241" i="11"/>
  <c r="AD238" i="11"/>
  <c r="AH238" i="11"/>
  <c r="AE223" i="11"/>
  <c r="AH223" i="11"/>
  <c r="AD217" i="11"/>
  <c r="AH217" i="11"/>
  <c r="AD284" i="11"/>
  <c r="AH284" i="11"/>
  <c r="AE279" i="11"/>
  <c r="AH279" i="11"/>
  <c r="AD270" i="11"/>
  <c r="AH270" i="11"/>
  <c r="AD266" i="11"/>
  <c r="AH266" i="11"/>
  <c r="AD262" i="11"/>
  <c r="AH262" i="11"/>
  <c r="AC257" i="11"/>
  <c r="AH257" i="11"/>
  <c r="AD245" i="11"/>
  <c r="AH245" i="11"/>
  <c r="AD240" i="11"/>
  <c r="AH240" i="11"/>
  <c r="AD237" i="11"/>
  <c r="AH237" i="11"/>
  <c r="AE235" i="11"/>
  <c r="AH235" i="11"/>
  <c r="AD225" i="11"/>
  <c r="AH225" i="11"/>
  <c r="AE211" i="11"/>
  <c r="AH211" i="11"/>
  <c r="AD209" i="11"/>
  <c r="AH209" i="11"/>
  <c r="AD282" i="11"/>
  <c r="AH282" i="11"/>
  <c r="AD276" i="11"/>
  <c r="AH276" i="11"/>
  <c r="AD269" i="11"/>
  <c r="AH269" i="11"/>
  <c r="AC265" i="11"/>
  <c r="AH265" i="11"/>
  <c r="AE251" i="11"/>
  <c r="AH251" i="11"/>
  <c r="AD244" i="11"/>
  <c r="AH244" i="11"/>
  <c r="AE247" i="11"/>
  <c r="AH247" i="11"/>
  <c r="AD242" i="11"/>
  <c r="AH242" i="11"/>
  <c r="AD233" i="11"/>
  <c r="AH233" i="11"/>
  <c r="AE231" i="11"/>
  <c r="AH231" i="11"/>
  <c r="AE219" i="11"/>
  <c r="AH219" i="11"/>
  <c r="AD213" i="11"/>
  <c r="AH213" i="11"/>
  <c r="AE207" i="11"/>
  <c r="AH207" i="11"/>
  <c r="AE215" i="11"/>
  <c r="AH215" i="11"/>
  <c r="AE283" i="11"/>
  <c r="AH283" i="11"/>
  <c r="AD278" i="11"/>
  <c r="AH278" i="11"/>
  <c r="AD272" i="11"/>
  <c r="AH272" i="11"/>
  <c r="AD268" i="11"/>
  <c r="AH268" i="11"/>
  <c r="AF261" i="11"/>
  <c r="AH261" i="11"/>
  <c r="AD258" i="11"/>
  <c r="AH258" i="11"/>
  <c r="AD249" i="11"/>
  <c r="AH249" i="11"/>
  <c r="AE239" i="11"/>
  <c r="AH239" i="11"/>
  <c r="AD236" i="11"/>
  <c r="AH236" i="11"/>
  <c r="AD234" i="11"/>
  <c r="AH234" i="11"/>
  <c r="AD232" i="11"/>
  <c r="AH232" i="11"/>
  <c r="AD221" i="11"/>
  <c r="AH221" i="11"/>
  <c r="AD212" i="11"/>
  <c r="AH212" i="11"/>
  <c r="AD210" i="11"/>
  <c r="AH210" i="11"/>
  <c r="AD208" i="11"/>
  <c r="AH208" i="11"/>
  <c r="AH280" i="11"/>
  <c r="AD277" i="11"/>
  <c r="AE275" i="11"/>
  <c r="AH275" i="11"/>
  <c r="AH271" i="11"/>
  <c r="AH267" i="11"/>
  <c r="AD254" i="11"/>
  <c r="AH254" i="11"/>
  <c r="AH252" i="11"/>
  <c r="AH248" i="11"/>
  <c r="AE280" i="11"/>
  <c r="AI280" i="11"/>
  <c r="AE277" i="11"/>
  <c r="AI277" i="11"/>
  <c r="AC275" i="11"/>
  <c r="AI275" i="11"/>
  <c r="AC271" i="11"/>
  <c r="AI271" i="11"/>
  <c r="AF267" i="11"/>
  <c r="AI267" i="11"/>
  <c r="AE254" i="11"/>
  <c r="AI254" i="11"/>
  <c r="AE252" i="11"/>
  <c r="AI252" i="11"/>
  <c r="AE248" i="11"/>
  <c r="AI248" i="11"/>
  <c r="AE246" i="11"/>
  <c r="AI246" i="11"/>
  <c r="AE241" i="11"/>
  <c r="AI241" i="11"/>
  <c r="AE238" i="11"/>
  <c r="AI238" i="11"/>
  <c r="AF223" i="11"/>
  <c r="AI223" i="11"/>
  <c r="AE217" i="11"/>
  <c r="AI217" i="11"/>
  <c r="AE284" i="11"/>
  <c r="AI284" i="11"/>
  <c r="AC279" i="11"/>
  <c r="AI279" i="11"/>
  <c r="AE270" i="11"/>
  <c r="AI270" i="11"/>
  <c r="AE266" i="11"/>
  <c r="AI266" i="11"/>
  <c r="AE262" i="11"/>
  <c r="AI262" i="11"/>
  <c r="AD257" i="11"/>
  <c r="AI257" i="11"/>
  <c r="AE245" i="11"/>
  <c r="AI245" i="11"/>
  <c r="AE240" i="11"/>
  <c r="AI240" i="11"/>
  <c r="AE237" i="11"/>
  <c r="AI237" i="11"/>
  <c r="AF235" i="11"/>
  <c r="AI235" i="11"/>
  <c r="AE225" i="11"/>
  <c r="AI225" i="11"/>
  <c r="AF211" i="11"/>
  <c r="AI211" i="11"/>
  <c r="AE209" i="11"/>
  <c r="AI209" i="11"/>
  <c r="AE282" i="11"/>
  <c r="AI282" i="11"/>
  <c r="AE276" i="11"/>
  <c r="AI276" i="11"/>
  <c r="AE269" i="11"/>
  <c r="AI269" i="11"/>
  <c r="AD265" i="11"/>
  <c r="AI265" i="11"/>
  <c r="AF251" i="11"/>
  <c r="AI251" i="11"/>
  <c r="AE244" i="11"/>
  <c r="AI244" i="11"/>
  <c r="AF247" i="11"/>
  <c r="AI247" i="11"/>
  <c r="AE242" i="11"/>
  <c r="AI242" i="11"/>
  <c r="AE233" i="11"/>
  <c r="AI233" i="11"/>
  <c r="AF231" i="11"/>
  <c r="AI231" i="11"/>
  <c r="AF219" i="11"/>
  <c r="AI219" i="11"/>
  <c r="AE213" i="11"/>
  <c r="AI213" i="11"/>
  <c r="AF207" i="11"/>
  <c r="AI207" i="11"/>
  <c r="AF215" i="11"/>
  <c r="AI215" i="11"/>
  <c r="AC283" i="11"/>
  <c r="AI283" i="11"/>
  <c r="AE278" i="11"/>
  <c r="AI278" i="11"/>
  <c r="AE272" i="11"/>
  <c r="AI272" i="11"/>
  <c r="AE268" i="11"/>
  <c r="AI268" i="11"/>
  <c r="AD261" i="11"/>
  <c r="AI261" i="11"/>
  <c r="AE258" i="11"/>
  <c r="AI258" i="11"/>
  <c r="AE249" i="11"/>
  <c r="AI249" i="11"/>
  <c r="AF239" i="11"/>
  <c r="AI239" i="11"/>
  <c r="AE236" i="11"/>
  <c r="AI236" i="11"/>
  <c r="AE234" i="11"/>
  <c r="AI234" i="11"/>
  <c r="AE232" i="11"/>
  <c r="AI232" i="11"/>
  <c r="AE221" i="11"/>
  <c r="AI221" i="11"/>
  <c r="AE212" i="11"/>
  <c r="AI212" i="11"/>
  <c r="AE210" i="11"/>
  <c r="AI210" i="11"/>
  <c r="AE208" i="11"/>
  <c r="AI208" i="11"/>
  <c r="AF277" i="11"/>
  <c r="AF271" i="11"/>
  <c r="AF252" i="11"/>
  <c r="AF246" i="11"/>
  <c r="AC223" i="11"/>
  <c r="AF217" i="11"/>
  <c r="AF279" i="11"/>
  <c r="AF270" i="11"/>
  <c r="AF262" i="11"/>
  <c r="AF245" i="11"/>
  <c r="AF237" i="11"/>
  <c r="AC211" i="11"/>
  <c r="AF282" i="11"/>
  <c r="AF276" i="11"/>
  <c r="AE265" i="11"/>
  <c r="AC247" i="11"/>
  <c r="AF233" i="11"/>
  <c r="AC231" i="11"/>
  <c r="AC219" i="11"/>
  <c r="AF213" i="11"/>
  <c r="AC207" i="11"/>
  <c r="AC215" i="11"/>
  <c r="AF283" i="11"/>
  <c r="AF278" i="11"/>
  <c r="AF272" i="11"/>
  <c r="AF268" i="11"/>
  <c r="AE261" i="11"/>
  <c r="AF258" i="11"/>
  <c r="AF249" i="11"/>
  <c r="AC239" i="11"/>
  <c r="AF236" i="11"/>
  <c r="AF234" i="11"/>
  <c r="AF232" i="11"/>
  <c r="AF221" i="11"/>
  <c r="AF212" i="11"/>
  <c r="AF210" i="11"/>
  <c r="AF208" i="11"/>
  <c r="J1122" i="3"/>
  <c r="J1121" i="3"/>
  <c r="N1122" i="3"/>
  <c r="M1121" i="3"/>
  <c r="M1120" i="3" s="1"/>
  <c r="O1121" i="3"/>
  <c r="O1122" i="3"/>
  <c r="L1121" i="3"/>
  <c r="L1122" i="3"/>
  <c r="K1122" i="3" s="1"/>
  <c r="P1122" i="3"/>
  <c r="P1120" i="3" s="1"/>
  <c r="H1197" i="3"/>
  <c r="H1199" i="3"/>
  <c r="H1211" i="3" s="1"/>
  <c r="H1215" i="3"/>
  <c r="H1213" i="3"/>
  <c r="I1215" i="3"/>
  <c r="E1215" i="3"/>
  <c r="D1215" i="3"/>
  <c r="I1213" i="3"/>
  <c r="E1213" i="3"/>
  <c r="D1213" i="3"/>
  <c r="H1202" i="3"/>
  <c r="I1211" i="3"/>
  <c r="E1211" i="3"/>
  <c r="P1211" i="3" s="1"/>
  <c r="D1211" i="3"/>
  <c r="I1210" i="3"/>
  <c r="E1210" i="3"/>
  <c r="P1210" i="3" s="1"/>
  <c r="D1210" i="3"/>
  <c r="I1209" i="3"/>
  <c r="E1209" i="3"/>
  <c r="P1209" i="3" s="1"/>
  <c r="D1209" i="3"/>
  <c r="I1208" i="3"/>
  <c r="E1208" i="3"/>
  <c r="N1208" i="3" s="1"/>
  <c r="D1208" i="3"/>
  <c r="I1206" i="3"/>
  <c r="G1206" i="3"/>
  <c r="E1206" i="3"/>
  <c r="O1206" i="3" s="1"/>
  <c r="D1206" i="3"/>
  <c r="I1205" i="3"/>
  <c r="E1205" i="3"/>
  <c r="P1205" i="3" s="1"/>
  <c r="D1205" i="3"/>
  <c r="I1203" i="3"/>
  <c r="E1203" i="3"/>
  <c r="D1203" i="3"/>
  <c r="I1202" i="3"/>
  <c r="E1202" i="3"/>
  <c r="M1202" i="3" s="1"/>
  <c r="D1202" i="3"/>
  <c r="I1199" i="3"/>
  <c r="E1199" i="3"/>
  <c r="M1199" i="3" s="1"/>
  <c r="D1199" i="3"/>
  <c r="H1192" i="3"/>
  <c r="H1193" i="3"/>
  <c r="I1193" i="3"/>
  <c r="E1193" i="3"/>
  <c r="M1193" i="3" s="1"/>
  <c r="D1193" i="3"/>
  <c r="I1192" i="3"/>
  <c r="E1192" i="3"/>
  <c r="P1192" i="3" s="1"/>
  <c r="D1192" i="3"/>
  <c r="H1195" i="3"/>
  <c r="I1195" i="3"/>
  <c r="E1195" i="3"/>
  <c r="M1195" i="3" s="1"/>
  <c r="D1195" i="3"/>
  <c r="I1197" i="3"/>
  <c r="E1197" i="3"/>
  <c r="M1197" i="3" s="1"/>
  <c r="D1197" i="3"/>
  <c r="I1128" i="3"/>
  <c r="H1128" i="3"/>
  <c r="G1128" i="3"/>
  <c r="E1128" i="3"/>
  <c r="P1128" i="3" s="1"/>
  <c r="D1128" i="3"/>
  <c r="I1127" i="3"/>
  <c r="H1127" i="3"/>
  <c r="G1127" i="3"/>
  <c r="E1127" i="3"/>
  <c r="D1127" i="3"/>
  <c r="I1126" i="3"/>
  <c r="H1126" i="3"/>
  <c r="E1126" i="3"/>
  <c r="P1126" i="3" s="1"/>
  <c r="D1126" i="3"/>
  <c r="E332" i="9" s="1"/>
  <c r="I1165" i="3"/>
  <c r="H1165" i="3"/>
  <c r="G1165" i="3"/>
  <c r="E1165" i="3"/>
  <c r="M1165" i="3" s="1"/>
  <c r="D1165" i="3"/>
  <c r="I1164" i="3"/>
  <c r="H1164" i="3"/>
  <c r="G1164" i="3"/>
  <c r="E1164" i="3"/>
  <c r="N1164" i="3" s="1"/>
  <c r="D1164" i="3"/>
  <c r="I1163" i="3"/>
  <c r="H1163" i="3"/>
  <c r="G1163" i="3"/>
  <c r="E1163" i="3"/>
  <c r="N1163" i="3" s="1"/>
  <c r="D1163" i="3"/>
  <c r="I1162" i="3"/>
  <c r="H1162" i="3"/>
  <c r="G1162" i="3"/>
  <c r="E1162" i="3"/>
  <c r="P1162" i="3" s="1"/>
  <c r="D1162" i="3"/>
  <c r="I1161" i="3"/>
  <c r="H1161" i="3"/>
  <c r="G1161" i="3"/>
  <c r="E1161" i="3"/>
  <c r="M1161" i="3" s="1"/>
  <c r="D1161" i="3"/>
  <c r="I1159" i="3"/>
  <c r="H1159" i="3"/>
  <c r="G1159" i="3"/>
  <c r="E1159" i="3"/>
  <c r="N1159" i="3" s="1"/>
  <c r="D1159" i="3"/>
  <c r="I1158" i="3"/>
  <c r="H1158" i="3"/>
  <c r="E1158" i="3"/>
  <c r="D1158" i="3"/>
  <c r="E343" i="9" s="1"/>
  <c r="I1156" i="3"/>
  <c r="H1156" i="3"/>
  <c r="E1156" i="3"/>
  <c r="D1156" i="3"/>
  <c r="E342" i="9" s="1"/>
  <c r="I1172" i="3"/>
  <c r="G1172" i="3"/>
  <c r="E1172" i="3"/>
  <c r="D1172" i="3"/>
  <c r="I1171" i="3"/>
  <c r="G1171" i="3"/>
  <c r="E1171" i="3"/>
  <c r="N1171" i="3" s="1"/>
  <c r="D1171" i="3"/>
  <c r="I1170" i="3"/>
  <c r="G1170" i="3"/>
  <c r="E1170" i="3"/>
  <c r="D1170" i="3"/>
  <c r="I1169" i="3"/>
  <c r="E1169" i="3"/>
  <c r="P1169" i="3" s="1"/>
  <c r="D1169" i="3"/>
  <c r="E345" i="9" s="1"/>
  <c r="I1168" i="3"/>
  <c r="H1168" i="3"/>
  <c r="H1169" i="3" s="1"/>
  <c r="E1168" i="3"/>
  <c r="P1168" i="3" s="1"/>
  <c r="D1168" i="3"/>
  <c r="I1175" i="3"/>
  <c r="H1175" i="3"/>
  <c r="E1175" i="3"/>
  <c r="M1175" i="3" s="1"/>
  <c r="D1175" i="3"/>
  <c r="I1179" i="3"/>
  <c r="H1179" i="3"/>
  <c r="E1179" i="3"/>
  <c r="M1179" i="3" s="1"/>
  <c r="D1179" i="3"/>
  <c r="I1178" i="3"/>
  <c r="H1178" i="3"/>
  <c r="E1178" i="3"/>
  <c r="P1178" i="3" s="1"/>
  <c r="D1178" i="3"/>
  <c r="I1182" i="3"/>
  <c r="H1182" i="3"/>
  <c r="E1182" i="3"/>
  <c r="M1182" i="3" s="1"/>
  <c r="M1181" i="3" s="1"/>
  <c r="D1182" i="3"/>
  <c r="I1185" i="3"/>
  <c r="H1185" i="3"/>
  <c r="E1185" i="3"/>
  <c r="M1185" i="3" s="1"/>
  <c r="M1184" i="3" s="1"/>
  <c r="D1185" i="3"/>
  <c r="I1188" i="3"/>
  <c r="H1188" i="3"/>
  <c r="E1188" i="3"/>
  <c r="M1188" i="3" s="1"/>
  <c r="M1187" i="3" s="1"/>
  <c r="D1188" i="3"/>
  <c r="H1148" i="3"/>
  <c r="I1148" i="3"/>
  <c r="E1148" i="3"/>
  <c r="M1148" i="3" s="1"/>
  <c r="M1147" i="3" s="1"/>
  <c r="D1148" i="3"/>
  <c r="I1138" i="3"/>
  <c r="H1138" i="3"/>
  <c r="E1138" i="3"/>
  <c r="M1138" i="3" s="1"/>
  <c r="D1138" i="3"/>
  <c r="I1137" i="3"/>
  <c r="H1137" i="3"/>
  <c r="E1137" i="3"/>
  <c r="P1137" i="3" s="1"/>
  <c r="D1137" i="3"/>
  <c r="H1151" i="3"/>
  <c r="I1151" i="3"/>
  <c r="E1151" i="3"/>
  <c r="M1151" i="3" s="1"/>
  <c r="D1151" i="3"/>
  <c r="I1134" i="3"/>
  <c r="G1134" i="3"/>
  <c r="E1134" i="3"/>
  <c r="D1134" i="3"/>
  <c r="I1133" i="3"/>
  <c r="G1133" i="3"/>
  <c r="E1133" i="3"/>
  <c r="N1133" i="3" s="1"/>
  <c r="D1133" i="3"/>
  <c r="I1132" i="3"/>
  <c r="G1132" i="3"/>
  <c r="E1132" i="3"/>
  <c r="P1132" i="3" s="1"/>
  <c r="D1132" i="3"/>
  <c r="I1131" i="3"/>
  <c r="H1131" i="3"/>
  <c r="H1132" i="3" s="1"/>
  <c r="E1131" i="3"/>
  <c r="P1131" i="3" s="1"/>
  <c r="D1131" i="3"/>
  <c r="E334" i="9" s="1"/>
  <c r="I1145" i="3"/>
  <c r="G1145" i="3"/>
  <c r="E1145" i="3"/>
  <c r="D1145" i="3"/>
  <c r="I1144" i="3"/>
  <c r="G1144" i="3"/>
  <c r="E1144" i="3"/>
  <c r="N1144" i="3" s="1"/>
  <c r="D1144" i="3"/>
  <c r="I1143" i="3"/>
  <c r="G1143" i="3"/>
  <c r="E1143" i="3"/>
  <c r="D1143" i="3"/>
  <c r="I1142" i="3"/>
  <c r="E1142" i="3"/>
  <c r="P1142" i="3" s="1"/>
  <c r="D1142" i="3"/>
  <c r="E337" i="9" s="1"/>
  <c r="I1141" i="3"/>
  <c r="H1141" i="3"/>
  <c r="H1142" i="3" s="1"/>
  <c r="E1141" i="3"/>
  <c r="P1141" i="3" s="1"/>
  <c r="D1141" i="3"/>
  <c r="I1109" i="3"/>
  <c r="J1109" i="3" s="1"/>
  <c r="J1108" i="3" s="1"/>
  <c r="E1109" i="3"/>
  <c r="M1109" i="3" s="1"/>
  <c r="M1108" i="3" s="1"/>
  <c r="D1109" i="3"/>
  <c r="I1103" i="3"/>
  <c r="J1103" i="3" s="1"/>
  <c r="J1102" i="3" s="1"/>
  <c r="E1103" i="3"/>
  <c r="M1103" i="3" s="1"/>
  <c r="M1102" i="3" s="1"/>
  <c r="D1103" i="3"/>
  <c r="I1118" i="3"/>
  <c r="J1118" i="3" s="1"/>
  <c r="J1117" i="3" s="1"/>
  <c r="E1118" i="3"/>
  <c r="M1118" i="3" s="1"/>
  <c r="M1117" i="3" s="1"/>
  <c r="D1118" i="3"/>
  <c r="I1097" i="3"/>
  <c r="J1097" i="3" s="1"/>
  <c r="J1096" i="3" s="1"/>
  <c r="E1097" i="3"/>
  <c r="M1097" i="3" s="1"/>
  <c r="M1096" i="3" s="1"/>
  <c r="D1097" i="3"/>
  <c r="I1106" i="3"/>
  <c r="J1106" i="3" s="1"/>
  <c r="J1105" i="3" s="1"/>
  <c r="E1106" i="3"/>
  <c r="M1106" i="3" s="1"/>
  <c r="M1105" i="3" s="1"/>
  <c r="D1106" i="3"/>
  <c r="I1100" i="3"/>
  <c r="J1100" i="3" s="1"/>
  <c r="J1099" i="3" s="1"/>
  <c r="E1100" i="3"/>
  <c r="M1100" i="3" s="1"/>
  <c r="M1099" i="3" s="1"/>
  <c r="D1100" i="3"/>
  <c r="I1112" i="3"/>
  <c r="J1112" i="3" s="1"/>
  <c r="J1111" i="3" s="1"/>
  <c r="E1112" i="3"/>
  <c r="M1112" i="3" s="1"/>
  <c r="M1111" i="3" s="1"/>
  <c r="D1112" i="3"/>
  <c r="I1115" i="3"/>
  <c r="J1115" i="3" s="1"/>
  <c r="J1114" i="3" s="1"/>
  <c r="E1115" i="3"/>
  <c r="M1115" i="3" s="1"/>
  <c r="M1114" i="3" s="1"/>
  <c r="D1115" i="3"/>
  <c r="I1093" i="3"/>
  <c r="J1093" i="3" s="1"/>
  <c r="J1092" i="3" s="1"/>
  <c r="E1093" i="3"/>
  <c r="M1093" i="3" s="1"/>
  <c r="M1092" i="3" s="1"/>
  <c r="D1093" i="3"/>
  <c r="H1084" i="3"/>
  <c r="H1081" i="3"/>
  <c r="I1084" i="3"/>
  <c r="E1084" i="3"/>
  <c r="M1084" i="3" s="1"/>
  <c r="D1084" i="3"/>
  <c r="I1082" i="3"/>
  <c r="G1082" i="3"/>
  <c r="E1082" i="3"/>
  <c r="P1082" i="3" s="1"/>
  <c r="D1082" i="3"/>
  <c r="I1081" i="3"/>
  <c r="E1081" i="3"/>
  <c r="M1081" i="3" s="1"/>
  <c r="D1081" i="3"/>
  <c r="E317" i="9" s="1"/>
  <c r="I1079" i="3"/>
  <c r="H1079" i="3"/>
  <c r="E1079" i="3"/>
  <c r="D1079" i="3"/>
  <c r="I1090" i="3"/>
  <c r="H1090" i="3"/>
  <c r="E1090" i="3"/>
  <c r="M1090" i="3" s="1"/>
  <c r="D1090" i="3"/>
  <c r="I1089" i="3"/>
  <c r="H1089" i="3"/>
  <c r="E1089" i="3"/>
  <c r="P1089" i="3" s="1"/>
  <c r="D1089" i="3"/>
  <c r="I1088" i="3"/>
  <c r="H1088" i="3"/>
  <c r="L1086" i="3" s="1"/>
  <c r="C217" i="10" s="1"/>
  <c r="E1088" i="3"/>
  <c r="O1088" i="3" s="1"/>
  <c r="D1088" i="3"/>
  <c r="I1074" i="3"/>
  <c r="J1074" i="3" s="1"/>
  <c r="J1073" i="3" s="1"/>
  <c r="E1074" i="3"/>
  <c r="M1074" i="3" s="1"/>
  <c r="M1073" i="3" s="1"/>
  <c r="D1074" i="3"/>
  <c r="G1069" i="3"/>
  <c r="H1071" i="3"/>
  <c r="H1070" i="3"/>
  <c r="H1069" i="3"/>
  <c r="H1068" i="3"/>
  <c r="H1067" i="3"/>
  <c r="H1066" i="3"/>
  <c r="I1066" i="3"/>
  <c r="E1066" i="3"/>
  <c r="M1066" i="3" s="1"/>
  <c r="D1066" i="3"/>
  <c r="E313" i="9" s="1"/>
  <c r="I1071" i="3"/>
  <c r="E1071" i="3"/>
  <c r="M1071" i="3" s="1"/>
  <c r="D1071" i="3"/>
  <c r="I1070" i="3"/>
  <c r="E1070" i="3"/>
  <c r="N1070" i="3" s="1"/>
  <c r="D1070" i="3"/>
  <c r="I1069" i="3"/>
  <c r="E1069" i="3"/>
  <c r="N1069" i="3" s="1"/>
  <c r="D1069" i="3"/>
  <c r="I1068" i="3"/>
  <c r="E1068" i="3"/>
  <c r="P1068" i="3" s="1"/>
  <c r="D1068" i="3"/>
  <c r="I1067" i="3"/>
  <c r="E1067" i="3"/>
  <c r="P1067" i="3" s="1"/>
  <c r="D1067" i="3"/>
  <c r="AJ291" i="11" l="1"/>
  <c r="AJ294" i="11" s="1"/>
  <c r="AF291" i="11"/>
  <c r="AE291" i="11"/>
  <c r="AH291" i="11"/>
  <c r="AG291" i="11"/>
  <c r="AI291" i="11"/>
  <c r="AD291" i="11"/>
  <c r="AC291" i="11"/>
  <c r="Q1122" i="3"/>
  <c r="H1203" i="3"/>
  <c r="J1203" i="3" s="1"/>
  <c r="N1203" i="3" s="1"/>
  <c r="H1205" i="3"/>
  <c r="J1205" i="3" s="1"/>
  <c r="O1205" i="3" s="1"/>
  <c r="N1121" i="3"/>
  <c r="N1120" i="3" s="1"/>
  <c r="J1120" i="3"/>
  <c r="J1199" i="3"/>
  <c r="P1199" i="3" s="1"/>
  <c r="O1120" i="3"/>
  <c r="H1206" i="3"/>
  <c r="L1206" i="3" s="1"/>
  <c r="K1206" i="3" s="1"/>
  <c r="F1208" i="3"/>
  <c r="J1208" i="3" s="1"/>
  <c r="P1208" i="3" s="1"/>
  <c r="H1209" i="3"/>
  <c r="J1209" i="3" s="1"/>
  <c r="O1209" i="3" s="1"/>
  <c r="H1210" i="3"/>
  <c r="J1210" i="3" s="1"/>
  <c r="M1210" i="3" s="1"/>
  <c r="J1211" i="3"/>
  <c r="O1211" i="3" s="1"/>
  <c r="J1213" i="3"/>
  <c r="M1213" i="3" s="1"/>
  <c r="J1215" i="3"/>
  <c r="M1215" i="3" s="1"/>
  <c r="N1215" i="3"/>
  <c r="O1215" i="3"/>
  <c r="L1215" i="3"/>
  <c r="P1215" i="3"/>
  <c r="N1213" i="3"/>
  <c r="O1213" i="3"/>
  <c r="L1213" i="3"/>
  <c r="P1213" i="3"/>
  <c r="J1202" i="3"/>
  <c r="N1202" i="3" s="1"/>
  <c r="O1208" i="3"/>
  <c r="N1210" i="3"/>
  <c r="O1203" i="3"/>
  <c r="M1205" i="3"/>
  <c r="P1206" i="3"/>
  <c r="M1208" i="3"/>
  <c r="M1209" i="3"/>
  <c r="M1211" i="3"/>
  <c r="O1202" i="3"/>
  <c r="L1203" i="3"/>
  <c r="P1203" i="3"/>
  <c r="N1205" i="3"/>
  <c r="N1209" i="3"/>
  <c r="N1211" i="3"/>
  <c r="L1202" i="3"/>
  <c r="P1202" i="3"/>
  <c r="M1203" i="3"/>
  <c r="N1206" i="3"/>
  <c r="O1210" i="3"/>
  <c r="L1208" i="3"/>
  <c r="L1211" i="3"/>
  <c r="K1211" i="3" s="1"/>
  <c r="N1199" i="3"/>
  <c r="O1199" i="3"/>
  <c r="L1199" i="3"/>
  <c r="M1192" i="3"/>
  <c r="O1192" i="3"/>
  <c r="J1193" i="3"/>
  <c r="P1193" i="3" s="1"/>
  <c r="J1192" i="3"/>
  <c r="N1192" i="3" s="1"/>
  <c r="N1193" i="3"/>
  <c r="O1193" i="3"/>
  <c r="L1192" i="3"/>
  <c r="L1193" i="3"/>
  <c r="K1193" i="3" s="1"/>
  <c r="N1197" i="3"/>
  <c r="J1195" i="3"/>
  <c r="P1195" i="3" s="1"/>
  <c r="N1195" i="3"/>
  <c r="J1197" i="3"/>
  <c r="P1197" i="3" s="1"/>
  <c r="O1195" i="3"/>
  <c r="O1197" i="3"/>
  <c r="J1159" i="3"/>
  <c r="O1159" i="3" s="1"/>
  <c r="J1164" i="3"/>
  <c r="M1164" i="3" s="1"/>
  <c r="J1126" i="3"/>
  <c r="J1127" i="3"/>
  <c r="O1127" i="3" s="1"/>
  <c r="J1128" i="3"/>
  <c r="M1128" i="3" s="1"/>
  <c r="O1128" i="3"/>
  <c r="M1126" i="3"/>
  <c r="L1127" i="3"/>
  <c r="K1127" i="3" s="1"/>
  <c r="P1127" i="3"/>
  <c r="P1125" i="3" s="1"/>
  <c r="N1128" i="3"/>
  <c r="N1126" i="3"/>
  <c r="M1127" i="3"/>
  <c r="N1127" i="3"/>
  <c r="L1128" i="3"/>
  <c r="K1128" i="3" s="1"/>
  <c r="L1126" i="3"/>
  <c r="J1156" i="3"/>
  <c r="O1156" i="3" s="1"/>
  <c r="J1158" i="3"/>
  <c r="O1158" i="3" s="1"/>
  <c r="J1161" i="3"/>
  <c r="O1161" i="3" s="1"/>
  <c r="J1162" i="3"/>
  <c r="O1162" i="3" s="1"/>
  <c r="J1165" i="3"/>
  <c r="O1165" i="3" s="1"/>
  <c r="J1163" i="3"/>
  <c r="O1163" i="3" s="1"/>
  <c r="L1156" i="3"/>
  <c r="P1156" i="3"/>
  <c r="L1158" i="3"/>
  <c r="K1158" i="3" s="1"/>
  <c r="P1158" i="3"/>
  <c r="N1161" i="3"/>
  <c r="M1162" i="3"/>
  <c r="L1163" i="3"/>
  <c r="K1163" i="3" s="1"/>
  <c r="P1163" i="3"/>
  <c r="O1164" i="3"/>
  <c r="N1165" i="3"/>
  <c r="M1156" i="3"/>
  <c r="M1158" i="3"/>
  <c r="L1159" i="3"/>
  <c r="K1159" i="3" s="1"/>
  <c r="P1159" i="3"/>
  <c r="N1162" i="3"/>
  <c r="M1163" i="3"/>
  <c r="L1164" i="3"/>
  <c r="K1164" i="3" s="1"/>
  <c r="P1164" i="3"/>
  <c r="N1156" i="3"/>
  <c r="N1158" i="3"/>
  <c r="M1159" i="3"/>
  <c r="L1161" i="3"/>
  <c r="K1161" i="3" s="1"/>
  <c r="P1161" i="3"/>
  <c r="L1165" i="3"/>
  <c r="K1165" i="3" s="1"/>
  <c r="P1165" i="3"/>
  <c r="L1162" i="3"/>
  <c r="K1162" i="3" s="1"/>
  <c r="H1170" i="3"/>
  <c r="J1170" i="3" s="1"/>
  <c r="O1170" i="3" s="1"/>
  <c r="J1169" i="3"/>
  <c r="O1169" i="3" s="1"/>
  <c r="O1168" i="3"/>
  <c r="J1168" i="3"/>
  <c r="M1168" i="3"/>
  <c r="M1169" i="3"/>
  <c r="P1170" i="3"/>
  <c r="N1172" i="3"/>
  <c r="N1169" i="3"/>
  <c r="M1170" i="3"/>
  <c r="P1171" i="3"/>
  <c r="O1172" i="3"/>
  <c r="N1170" i="3"/>
  <c r="M1171" i="3"/>
  <c r="P1172" i="3"/>
  <c r="L1168" i="3"/>
  <c r="L1169" i="3"/>
  <c r="K1169" i="3" s="1"/>
  <c r="J1175" i="3"/>
  <c r="J1174" i="3" s="1"/>
  <c r="J1178" i="3"/>
  <c r="N1178" i="3" s="1"/>
  <c r="N1175" i="3"/>
  <c r="O1175" i="3"/>
  <c r="J1182" i="3"/>
  <c r="M1178" i="3"/>
  <c r="M1177" i="3" s="1"/>
  <c r="J1179" i="3"/>
  <c r="P1179" i="3" s="1"/>
  <c r="P1177" i="3" s="1"/>
  <c r="O1178" i="3"/>
  <c r="N1179" i="3"/>
  <c r="O1179" i="3"/>
  <c r="L1178" i="3"/>
  <c r="L1179" i="3"/>
  <c r="K1179" i="3" s="1"/>
  <c r="N1182" i="3"/>
  <c r="N1181" i="3" s="1"/>
  <c r="O1182" i="3"/>
  <c r="O1181" i="3" s="1"/>
  <c r="J1185" i="3"/>
  <c r="J1184" i="3" s="1"/>
  <c r="N1185" i="3"/>
  <c r="N1184" i="3" s="1"/>
  <c r="O1185" i="3"/>
  <c r="O1184" i="3" s="1"/>
  <c r="N1188" i="3"/>
  <c r="N1187" i="3" s="1"/>
  <c r="J1148" i="3"/>
  <c r="J1147" i="3" s="1"/>
  <c r="J1188" i="3"/>
  <c r="J1187" i="3" s="1"/>
  <c r="O1188" i="3"/>
  <c r="N1148" i="3"/>
  <c r="N1147" i="3" s="1"/>
  <c r="O1148" i="3"/>
  <c r="O1147" i="3" s="1"/>
  <c r="M1137" i="3"/>
  <c r="M1136" i="3" s="1"/>
  <c r="J1138" i="3"/>
  <c r="P1138" i="3" s="1"/>
  <c r="P1136" i="3" s="1"/>
  <c r="O1137" i="3"/>
  <c r="J1137" i="3"/>
  <c r="N1138" i="3"/>
  <c r="O1138" i="3"/>
  <c r="L1137" i="3"/>
  <c r="L1138" i="3"/>
  <c r="K1138" i="3" s="1"/>
  <c r="J1151" i="3"/>
  <c r="P1151" i="3" s="1"/>
  <c r="N1151" i="3"/>
  <c r="O1151" i="3"/>
  <c r="J1132" i="3"/>
  <c r="O1132" i="3" s="1"/>
  <c r="H1143" i="3"/>
  <c r="H1144" i="3" s="1"/>
  <c r="L1144" i="3" s="1"/>
  <c r="K1144" i="3" s="1"/>
  <c r="J1142" i="3"/>
  <c r="O1142" i="3" s="1"/>
  <c r="J1131" i="3"/>
  <c r="O1131" i="3" s="1"/>
  <c r="M1131" i="3"/>
  <c r="J1141" i="3"/>
  <c r="L1132" i="3"/>
  <c r="K1132" i="3" s="1"/>
  <c r="N1134" i="3"/>
  <c r="N1131" i="3"/>
  <c r="M1132" i="3"/>
  <c r="H1133" i="3"/>
  <c r="L1133" i="3" s="1"/>
  <c r="K1133" i="3" s="1"/>
  <c r="P1133" i="3"/>
  <c r="O1134" i="3"/>
  <c r="N1132" i="3"/>
  <c r="M1133" i="3"/>
  <c r="P1134" i="3"/>
  <c r="O1141" i="3"/>
  <c r="L1131" i="3"/>
  <c r="M1141" i="3"/>
  <c r="M1142" i="3"/>
  <c r="P1143" i="3"/>
  <c r="N1145" i="3"/>
  <c r="N1142" i="3"/>
  <c r="M1143" i="3"/>
  <c r="P1144" i="3"/>
  <c r="O1145" i="3"/>
  <c r="N1143" i="3"/>
  <c r="M1144" i="3"/>
  <c r="P1145" i="3"/>
  <c r="L1141" i="3"/>
  <c r="L1142" i="3"/>
  <c r="K1142" i="3" s="1"/>
  <c r="N1109" i="3"/>
  <c r="N1108" i="3" s="1"/>
  <c r="O1109" i="3"/>
  <c r="L1109" i="3"/>
  <c r="P1109" i="3"/>
  <c r="P1108" i="3" s="1"/>
  <c r="N1103" i="3"/>
  <c r="N1102" i="3" s="1"/>
  <c r="O1103" i="3"/>
  <c r="O1102" i="3" s="1"/>
  <c r="L1103" i="3"/>
  <c r="P1103" i="3"/>
  <c r="P1102" i="3" s="1"/>
  <c r="N1118" i="3"/>
  <c r="N1117" i="3" s="1"/>
  <c r="O1118" i="3"/>
  <c r="O1117" i="3" s="1"/>
  <c r="L1118" i="3"/>
  <c r="P1118" i="3"/>
  <c r="P1117" i="3" s="1"/>
  <c r="N1097" i="3"/>
  <c r="N1096" i="3" s="1"/>
  <c r="O1097" i="3"/>
  <c r="O1096" i="3" s="1"/>
  <c r="L1097" i="3"/>
  <c r="P1097" i="3"/>
  <c r="P1096" i="3" s="1"/>
  <c r="N1106" i="3"/>
  <c r="N1105" i="3" s="1"/>
  <c r="O1106" i="3"/>
  <c r="O1105" i="3" s="1"/>
  <c r="L1106" i="3"/>
  <c r="P1106" i="3"/>
  <c r="P1105" i="3" s="1"/>
  <c r="N1100" i="3"/>
  <c r="N1099" i="3" s="1"/>
  <c r="O1100" i="3"/>
  <c r="O1099" i="3" s="1"/>
  <c r="L1100" i="3"/>
  <c r="P1100" i="3"/>
  <c r="P1099" i="3" s="1"/>
  <c r="N1112" i="3"/>
  <c r="N1111" i="3" s="1"/>
  <c r="O1112" i="3"/>
  <c r="O1111" i="3" s="1"/>
  <c r="L1112" i="3"/>
  <c r="P1112" i="3"/>
  <c r="P1111" i="3" s="1"/>
  <c r="N1115" i="3"/>
  <c r="N1114" i="3" s="1"/>
  <c r="O1115" i="3"/>
  <c r="O1114" i="3" s="1"/>
  <c r="L1115" i="3"/>
  <c r="P1115" i="3"/>
  <c r="P1114" i="3" s="1"/>
  <c r="N1093" i="3"/>
  <c r="O1093" i="3"/>
  <c r="O1092" i="3" s="1"/>
  <c r="L1093" i="3"/>
  <c r="P1093" i="3"/>
  <c r="P1092" i="3" s="1"/>
  <c r="J1090" i="3"/>
  <c r="N1090" i="3" s="1"/>
  <c r="G1070" i="3"/>
  <c r="J1070" i="3" s="1"/>
  <c r="G1071" i="3"/>
  <c r="J1071" i="3" s="1"/>
  <c r="O1071" i="3" s="1"/>
  <c r="J1079" i="3"/>
  <c r="J1084" i="3"/>
  <c r="P1084" i="3" s="1"/>
  <c r="H1082" i="3"/>
  <c r="J1082" i="3" s="1"/>
  <c r="M1082" i="3" s="1"/>
  <c r="J1081" i="3"/>
  <c r="O1081" i="3" s="1"/>
  <c r="M1089" i="3"/>
  <c r="O1079" i="3"/>
  <c r="N1081" i="3"/>
  <c r="N1084" i="3"/>
  <c r="O1089" i="3"/>
  <c r="L1079" i="3"/>
  <c r="P1079" i="3"/>
  <c r="N1082" i="3"/>
  <c r="O1084" i="3"/>
  <c r="J1088" i="3"/>
  <c r="O1090" i="3"/>
  <c r="M1079" i="3"/>
  <c r="L1081" i="3"/>
  <c r="K1081" i="3" s="1"/>
  <c r="P1081" i="3"/>
  <c r="O1082" i="3"/>
  <c r="L1084" i="3"/>
  <c r="L1077" i="3" s="1"/>
  <c r="P1088" i="3"/>
  <c r="L1088" i="3"/>
  <c r="M1088" i="3"/>
  <c r="J1089" i="3"/>
  <c r="N1089" i="3" s="1"/>
  <c r="L1090" i="3"/>
  <c r="P1090" i="3"/>
  <c r="L1089" i="3"/>
  <c r="N1074" i="3"/>
  <c r="N1073" i="3" s="1"/>
  <c r="O1074" i="3"/>
  <c r="O1073" i="3" s="1"/>
  <c r="L1074" i="3"/>
  <c r="P1074" i="3"/>
  <c r="P1073" i="3" s="1"/>
  <c r="G1067" i="3"/>
  <c r="L1067" i="3" s="1"/>
  <c r="K1067" i="3" s="1"/>
  <c r="G1068" i="3"/>
  <c r="J1068" i="3" s="1"/>
  <c r="O1068" i="3" s="1"/>
  <c r="J1069" i="3"/>
  <c r="O1069" i="3" s="1"/>
  <c r="J1066" i="3"/>
  <c r="N1066" i="3"/>
  <c r="P1069" i="3"/>
  <c r="L1066" i="3"/>
  <c r="P1066" i="3"/>
  <c r="M1067" i="3"/>
  <c r="N1067" i="3"/>
  <c r="M1068" i="3"/>
  <c r="L1069" i="3"/>
  <c r="K1069" i="3" s="1"/>
  <c r="O1070" i="3"/>
  <c r="N1071" i="3"/>
  <c r="M1069" i="3"/>
  <c r="P1070" i="3"/>
  <c r="N1068" i="3"/>
  <c r="P1071" i="3"/>
  <c r="I1062" i="3"/>
  <c r="E1062" i="3"/>
  <c r="M1062" i="3" s="1"/>
  <c r="D1062" i="3"/>
  <c r="E311" i="9" s="1"/>
  <c r="M291" i="11" l="1"/>
  <c r="O291" i="11"/>
  <c r="S291" i="11"/>
  <c r="Y291" i="11"/>
  <c r="U291" i="11"/>
  <c r="W291" i="11"/>
  <c r="Q291" i="11"/>
  <c r="AA291" i="11"/>
  <c r="N1064" i="3"/>
  <c r="P1064" i="3"/>
  <c r="P1175" i="3"/>
  <c r="Q1175" i="3" s="1"/>
  <c r="C216" i="10"/>
  <c r="L1076" i="3"/>
  <c r="C215" i="10" s="1"/>
  <c r="K1156" i="3"/>
  <c r="L1154" i="3"/>
  <c r="K1066" i="3"/>
  <c r="K1131" i="3"/>
  <c r="K1126" i="3"/>
  <c r="L1125" i="3"/>
  <c r="L1205" i="3"/>
  <c r="K1205" i="3" s="1"/>
  <c r="L1210" i="3"/>
  <c r="K1210" i="3" s="1"/>
  <c r="N1088" i="3"/>
  <c r="N1086" i="3" s="1"/>
  <c r="J1086" i="3"/>
  <c r="J1076" i="3" s="1"/>
  <c r="O1126" i="3"/>
  <c r="O1125" i="3" s="1"/>
  <c r="O1066" i="3"/>
  <c r="N1079" i="3"/>
  <c r="Q1079" i="3" s="1"/>
  <c r="J1077" i="3"/>
  <c r="J1181" i="3"/>
  <c r="Q1121" i="3"/>
  <c r="Q1120" i="3" s="1"/>
  <c r="L1209" i="3"/>
  <c r="K1209" i="3" s="1"/>
  <c r="J1206" i="3"/>
  <c r="M1206" i="3" s="1"/>
  <c r="M1190" i="3" s="1"/>
  <c r="N1190" i="3"/>
  <c r="P1190" i="3"/>
  <c r="O1190" i="3"/>
  <c r="Q1215" i="3"/>
  <c r="Q1213" i="3"/>
  <c r="Q1208" i="3"/>
  <c r="Q1202" i="3"/>
  <c r="Q1203" i="3"/>
  <c r="Q1209" i="3"/>
  <c r="Q1205" i="3"/>
  <c r="Q1192" i="3"/>
  <c r="Q1211" i="3"/>
  <c r="Q1210" i="3"/>
  <c r="Q1199" i="3"/>
  <c r="Q1193" i="3"/>
  <c r="N1125" i="3"/>
  <c r="Q1195" i="3"/>
  <c r="Q1197" i="3"/>
  <c r="J1125" i="3"/>
  <c r="M1125" i="3"/>
  <c r="Q1128" i="3"/>
  <c r="Q1127" i="3"/>
  <c r="Q1159" i="3"/>
  <c r="M1154" i="3"/>
  <c r="Q1165" i="3"/>
  <c r="O1154" i="3"/>
  <c r="P1167" i="3"/>
  <c r="N1154" i="3"/>
  <c r="Q1163" i="3"/>
  <c r="Q1161" i="3"/>
  <c r="P1154" i="3"/>
  <c r="O1177" i="3"/>
  <c r="J1154" i="3"/>
  <c r="Q1158" i="3"/>
  <c r="Q1164" i="3"/>
  <c r="Q1156" i="3"/>
  <c r="Q1162" i="3"/>
  <c r="P1182" i="3"/>
  <c r="P1181" i="3" s="1"/>
  <c r="H1171" i="3"/>
  <c r="L1171" i="3" s="1"/>
  <c r="K1171" i="3" s="1"/>
  <c r="L1170" i="3"/>
  <c r="K1170" i="3" s="1"/>
  <c r="N1168" i="3"/>
  <c r="N1167" i="3" s="1"/>
  <c r="J1177" i="3"/>
  <c r="Q1170" i="3"/>
  <c r="Q1169" i="3"/>
  <c r="Q1179" i="3"/>
  <c r="Q1178" i="3"/>
  <c r="N1177" i="3"/>
  <c r="P1185" i="3"/>
  <c r="P1184" i="3" s="1"/>
  <c r="P1188" i="3"/>
  <c r="P1187" i="3" s="1"/>
  <c r="L1070" i="3"/>
  <c r="K1070" i="3" s="1"/>
  <c r="P1148" i="3"/>
  <c r="P1147" i="3" s="1"/>
  <c r="O1187" i="3"/>
  <c r="L1071" i="3"/>
  <c r="K1071" i="3" s="1"/>
  <c r="J1143" i="3"/>
  <c r="O1143" i="3" s="1"/>
  <c r="Q1143" i="3" s="1"/>
  <c r="L1143" i="3"/>
  <c r="K1143" i="3" s="1"/>
  <c r="N1137" i="3"/>
  <c r="J1136" i="3"/>
  <c r="Q1138" i="3"/>
  <c r="O1136" i="3"/>
  <c r="Q1151" i="3"/>
  <c r="P1130" i="3"/>
  <c r="P1140" i="3"/>
  <c r="Q1131" i="3"/>
  <c r="N1130" i="3"/>
  <c r="N1141" i="3"/>
  <c r="N1140" i="3" s="1"/>
  <c r="J1133" i="3"/>
  <c r="O1133" i="3" s="1"/>
  <c r="O1130" i="3" s="1"/>
  <c r="H1134" i="3"/>
  <c r="Q1132" i="3"/>
  <c r="Q1142" i="3"/>
  <c r="J1144" i="3"/>
  <c r="O1144" i="3" s="1"/>
  <c r="Q1144" i="3" s="1"/>
  <c r="H1145" i="3"/>
  <c r="M1077" i="3"/>
  <c r="Q1109" i="3"/>
  <c r="Q1108" i="3" s="1"/>
  <c r="O1108" i="3"/>
  <c r="Q1103" i="3"/>
  <c r="Q1102" i="3" s="1"/>
  <c r="Q1118" i="3"/>
  <c r="Q1117" i="3" s="1"/>
  <c r="M1086" i="3"/>
  <c r="M1076" i="3" s="1"/>
  <c r="Q1097" i="3"/>
  <c r="Q1096" i="3" s="1"/>
  <c r="Q1106" i="3"/>
  <c r="Q1105" i="3" s="1"/>
  <c r="Q1100" i="3"/>
  <c r="Q1099" i="3" s="1"/>
  <c r="Q1112" i="3"/>
  <c r="Q1111" i="3" s="1"/>
  <c r="P1077" i="3"/>
  <c r="Q1115" i="3"/>
  <c r="Q1114" i="3" s="1"/>
  <c r="Q1093" i="3"/>
  <c r="Q1092" i="3" s="1"/>
  <c r="N1092" i="3"/>
  <c r="O1077" i="3"/>
  <c r="J1062" i="3"/>
  <c r="O1086" i="3"/>
  <c r="O1076" i="3" s="1"/>
  <c r="P1086" i="3"/>
  <c r="P1076" i="3" s="1"/>
  <c r="Q1090" i="3"/>
  <c r="Q1082" i="3"/>
  <c r="J1067" i="3"/>
  <c r="O1067" i="3" s="1"/>
  <c r="Q1067" i="3" s="1"/>
  <c r="Q1084" i="3"/>
  <c r="L1082" i="3"/>
  <c r="K1082" i="3" s="1"/>
  <c r="Q1081" i="3"/>
  <c r="Q1089" i="3"/>
  <c r="Q1074" i="3"/>
  <c r="Q1073" i="3" s="1"/>
  <c r="M1060" i="3"/>
  <c r="L1068" i="3"/>
  <c r="K1068" i="3" s="1"/>
  <c r="M1070" i="3"/>
  <c r="M1064" i="3" s="1"/>
  <c r="Q1069" i="3"/>
  <c r="Q1071" i="3"/>
  <c r="Q1068" i="3"/>
  <c r="O1062" i="3"/>
  <c r="L1062" i="3"/>
  <c r="P1062" i="3"/>
  <c r="I1057" i="3"/>
  <c r="H1057" i="3"/>
  <c r="G1057" i="3"/>
  <c r="E1057" i="3"/>
  <c r="M1057" i="3" s="1"/>
  <c r="D1057" i="3"/>
  <c r="I1056" i="3"/>
  <c r="H1056" i="3"/>
  <c r="G1056" i="3"/>
  <c r="E1056" i="3"/>
  <c r="N1056" i="3" s="1"/>
  <c r="D1056" i="3"/>
  <c r="I1055" i="3"/>
  <c r="H1055" i="3"/>
  <c r="G1055" i="3"/>
  <c r="E1055" i="3"/>
  <c r="N1055" i="3" s="1"/>
  <c r="D1055" i="3"/>
  <c r="I1054" i="3"/>
  <c r="H1054" i="3"/>
  <c r="G1054" i="3"/>
  <c r="E1054" i="3"/>
  <c r="P1054" i="3" s="1"/>
  <c r="D1054" i="3"/>
  <c r="I1053" i="3"/>
  <c r="H1053" i="3"/>
  <c r="G1053" i="3"/>
  <c r="E1053" i="3"/>
  <c r="M1053" i="3" s="1"/>
  <c r="D1053" i="3"/>
  <c r="I1051" i="3"/>
  <c r="H1051" i="3"/>
  <c r="G1051" i="3"/>
  <c r="E1051" i="3"/>
  <c r="N1051" i="3" s="1"/>
  <c r="D1051" i="3"/>
  <c r="I1050" i="3"/>
  <c r="H1050" i="3"/>
  <c r="E1050" i="3"/>
  <c r="D1050" i="3"/>
  <c r="E308" i="9" s="1"/>
  <c r="I1048" i="3"/>
  <c r="H1048" i="3"/>
  <c r="E1048" i="3"/>
  <c r="D1048" i="3"/>
  <c r="E307" i="9" s="1"/>
  <c r="I1044" i="3"/>
  <c r="H1044" i="3"/>
  <c r="G1044" i="3"/>
  <c r="E1044" i="3"/>
  <c r="M1044" i="3" s="1"/>
  <c r="D1044" i="3"/>
  <c r="I1043" i="3"/>
  <c r="H1043" i="3"/>
  <c r="G1043" i="3"/>
  <c r="E1043" i="3"/>
  <c r="N1043" i="3" s="1"/>
  <c r="D1043" i="3"/>
  <c r="I1042" i="3"/>
  <c r="H1042" i="3"/>
  <c r="G1042" i="3"/>
  <c r="E1042" i="3"/>
  <c r="N1042" i="3" s="1"/>
  <c r="D1042" i="3"/>
  <c r="I1041" i="3"/>
  <c r="H1041" i="3"/>
  <c r="G1041" i="3"/>
  <c r="E1041" i="3"/>
  <c r="P1041" i="3" s="1"/>
  <c r="D1041" i="3"/>
  <c r="I1040" i="3"/>
  <c r="H1040" i="3"/>
  <c r="G1040" i="3"/>
  <c r="E1040" i="3"/>
  <c r="M1040" i="3" s="1"/>
  <c r="D1040" i="3"/>
  <c r="I1038" i="3"/>
  <c r="H1038" i="3"/>
  <c r="G1038" i="3"/>
  <c r="E1038" i="3"/>
  <c r="N1038" i="3" s="1"/>
  <c r="D1038" i="3"/>
  <c r="I1037" i="3"/>
  <c r="H1037" i="3"/>
  <c r="E1037" i="3"/>
  <c r="D1037" i="3"/>
  <c r="E305" i="9" s="1"/>
  <c r="I1035" i="3"/>
  <c r="H1035" i="3"/>
  <c r="E1035" i="3"/>
  <c r="D1035" i="3"/>
  <c r="I1032" i="3"/>
  <c r="H1032" i="3"/>
  <c r="G1032" i="3"/>
  <c r="E1032" i="3"/>
  <c r="N1032" i="3" s="1"/>
  <c r="D1032" i="3"/>
  <c r="I1031" i="3"/>
  <c r="H1031" i="3"/>
  <c r="G1031" i="3"/>
  <c r="E1031" i="3"/>
  <c r="P1031" i="3" s="1"/>
  <c r="D1031" i="3"/>
  <c r="I1030" i="3"/>
  <c r="H1030" i="3"/>
  <c r="G1030" i="3"/>
  <c r="E1030" i="3"/>
  <c r="P1030" i="3" s="1"/>
  <c r="D1030" i="3"/>
  <c r="I1029" i="3"/>
  <c r="H1029" i="3"/>
  <c r="E1029" i="3"/>
  <c r="M1029" i="3" s="1"/>
  <c r="D1029" i="3"/>
  <c r="E304" i="9" s="1"/>
  <c r="I1011" i="3"/>
  <c r="H1011" i="3"/>
  <c r="G1011" i="3"/>
  <c r="E1011" i="3"/>
  <c r="D1011" i="3"/>
  <c r="I1010" i="3"/>
  <c r="H1010" i="3"/>
  <c r="G1010" i="3"/>
  <c r="E1010" i="3"/>
  <c r="N1010" i="3" s="1"/>
  <c r="D1010" i="3"/>
  <c r="I1009" i="3"/>
  <c r="H1009" i="3"/>
  <c r="G1009" i="3"/>
  <c r="E1009" i="3"/>
  <c r="D1009" i="3"/>
  <c r="I1008" i="3"/>
  <c r="H1008" i="3"/>
  <c r="E1008" i="3"/>
  <c r="P1008" i="3" s="1"/>
  <c r="D1008" i="3"/>
  <c r="E298" i="9" s="1"/>
  <c r="I1024" i="3"/>
  <c r="H1024" i="3"/>
  <c r="G1024" i="3"/>
  <c r="E1024" i="3"/>
  <c r="N1024" i="3" s="1"/>
  <c r="D1024" i="3"/>
  <c r="I1023" i="3"/>
  <c r="H1023" i="3"/>
  <c r="G1023" i="3"/>
  <c r="E1023" i="3"/>
  <c r="N1023" i="3" s="1"/>
  <c r="D1023" i="3"/>
  <c r="I1022" i="3"/>
  <c r="H1022" i="3"/>
  <c r="G1022" i="3"/>
  <c r="E1022" i="3"/>
  <c r="N1022" i="3" s="1"/>
  <c r="D1022" i="3"/>
  <c r="I1021" i="3"/>
  <c r="H1021" i="3"/>
  <c r="G1021" i="3"/>
  <c r="E1021" i="3"/>
  <c r="N1021" i="3" s="1"/>
  <c r="D1021" i="3"/>
  <c r="I1020" i="3"/>
  <c r="H1020" i="3"/>
  <c r="G1020" i="3"/>
  <c r="E1020" i="3"/>
  <c r="N1020" i="3" s="1"/>
  <c r="D1020" i="3"/>
  <c r="I1018" i="3"/>
  <c r="H1018" i="3"/>
  <c r="G1018" i="3"/>
  <c r="E1018" i="3"/>
  <c r="N1018" i="3" s="1"/>
  <c r="D1018" i="3"/>
  <c r="I1017" i="3"/>
  <c r="H1017" i="3"/>
  <c r="E1017" i="3"/>
  <c r="D1017" i="3"/>
  <c r="E301" i="9" s="1"/>
  <c r="I1015" i="3"/>
  <c r="H1015" i="3"/>
  <c r="E1015" i="3"/>
  <c r="D1015" i="3"/>
  <c r="E300" i="9" s="1"/>
  <c r="I966" i="3"/>
  <c r="H966" i="3"/>
  <c r="G966" i="3"/>
  <c r="E966" i="3"/>
  <c r="M966" i="3" s="1"/>
  <c r="D966" i="3"/>
  <c r="I965" i="3"/>
  <c r="H965" i="3"/>
  <c r="G965" i="3"/>
  <c r="E965" i="3"/>
  <c r="N965" i="3" s="1"/>
  <c r="D965" i="3"/>
  <c r="I964" i="3"/>
  <c r="H964" i="3"/>
  <c r="E964" i="3"/>
  <c r="D964" i="3"/>
  <c r="E286" i="9" s="1"/>
  <c r="I962" i="3"/>
  <c r="H962" i="3"/>
  <c r="E962" i="3"/>
  <c r="O962" i="3" s="1"/>
  <c r="D962" i="3"/>
  <c r="I961" i="3"/>
  <c r="H961" i="3"/>
  <c r="E961" i="3"/>
  <c r="D961" i="3"/>
  <c r="I988" i="3"/>
  <c r="H988" i="3"/>
  <c r="E988" i="3"/>
  <c r="P988" i="3" s="1"/>
  <c r="D988" i="3"/>
  <c r="I987" i="3"/>
  <c r="H987" i="3"/>
  <c r="E987" i="3"/>
  <c r="P987" i="3" s="1"/>
  <c r="D987" i="3"/>
  <c r="I986" i="3"/>
  <c r="H986" i="3"/>
  <c r="E986" i="3"/>
  <c r="D986" i="3"/>
  <c r="I983" i="3"/>
  <c r="H983" i="3"/>
  <c r="G983" i="3"/>
  <c r="E983" i="3"/>
  <c r="P983" i="3" s="1"/>
  <c r="D983" i="3"/>
  <c r="I982" i="3"/>
  <c r="H982" i="3"/>
  <c r="G982" i="3"/>
  <c r="E982" i="3"/>
  <c r="N982" i="3" s="1"/>
  <c r="D982" i="3"/>
  <c r="I981" i="3"/>
  <c r="H981" i="3"/>
  <c r="G981" i="3"/>
  <c r="E981" i="3"/>
  <c r="D981" i="3"/>
  <c r="I980" i="3"/>
  <c r="H980" i="3"/>
  <c r="G980" i="3"/>
  <c r="E980" i="3"/>
  <c r="P980" i="3" s="1"/>
  <c r="D980" i="3"/>
  <c r="I978" i="3"/>
  <c r="H978" i="3"/>
  <c r="E978" i="3"/>
  <c r="M978" i="3" s="1"/>
  <c r="D978" i="3"/>
  <c r="I977" i="3"/>
  <c r="H977" i="3"/>
  <c r="G977" i="3"/>
  <c r="E977" i="3"/>
  <c r="P977" i="3" s="1"/>
  <c r="D977" i="3"/>
  <c r="I976" i="3"/>
  <c r="H976" i="3"/>
  <c r="E976" i="3"/>
  <c r="M976" i="3" s="1"/>
  <c r="D976" i="3"/>
  <c r="E290" i="9" s="1"/>
  <c r="H1004" i="3"/>
  <c r="I1004" i="3"/>
  <c r="E1004" i="3"/>
  <c r="M1004" i="3" s="1"/>
  <c r="M1003" i="3" s="1"/>
  <c r="D1004" i="3"/>
  <c r="I996" i="3"/>
  <c r="H996" i="3"/>
  <c r="E996" i="3"/>
  <c r="M996" i="3" s="1"/>
  <c r="M995" i="3" s="1"/>
  <c r="D996" i="3"/>
  <c r="I993" i="3"/>
  <c r="E993" i="3"/>
  <c r="M993" i="3" s="1"/>
  <c r="D993" i="3"/>
  <c r="I992" i="3"/>
  <c r="E992" i="3"/>
  <c r="P992" i="3" s="1"/>
  <c r="D992" i="3"/>
  <c r="I991" i="3"/>
  <c r="H991" i="3"/>
  <c r="H992" i="3" s="1"/>
  <c r="H993" i="3" s="1"/>
  <c r="L990" i="3" s="1"/>
  <c r="C201" i="10" s="1"/>
  <c r="E991" i="3"/>
  <c r="M991" i="3" s="1"/>
  <c r="D991" i="3"/>
  <c r="I947" i="3"/>
  <c r="H947" i="3"/>
  <c r="E947" i="3"/>
  <c r="M947" i="3" s="1"/>
  <c r="D947" i="3"/>
  <c r="I945" i="3"/>
  <c r="G945" i="3"/>
  <c r="E945" i="3"/>
  <c r="P945" i="3" s="1"/>
  <c r="D945" i="3"/>
  <c r="I944" i="3"/>
  <c r="E944" i="3"/>
  <c r="M944" i="3" s="1"/>
  <c r="D944" i="3"/>
  <c r="E281" i="9" s="1"/>
  <c r="I942" i="3"/>
  <c r="H942" i="3"/>
  <c r="E942" i="3"/>
  <c r="M942" i="3" s="1"/>
  <c r="D942" i="3"/>
  <c r="I941" i="3"/>
  <c r="H941" i="3"/>
  <c r="H944" i="3" s="1"/>
  <c r="E941" i="3"/>
  <c r="P941" i="3" s="1"/>
  <c r="D941" i="3"/>
  <c r="I940" i="3"/>
  <c r="H940" i="3"/>
  <c r="E940" i="3"/>
  <c r="O940" i="3" s="1"/>
  <c r="D940" i="3"/>
  <c r="I939" i="3"/>
  <c r="H939" i="3"/>
  <c r="E939" i="3"/>
  <c r="M939" i="3" s="1"/>
  <c r="D939" i="3"/>
  <c r="I951" i="3"/>
  <c r="H951" i="3"/>
  <c r="E951" i="3"/>
  <c r="M951" i="3" s="1"/>
  <c r="D951" i="3"/>
  <c r="I950" i="3"/>
  <c r="H950" i="3"/>
  <c r="E950" i="3"/>
  <c r="M950" i="3" s="1"/>
  <c r="D950" i="3"/>
  <c r="I890" i="3"/>
  <c r="H890" i="3"/>
  <c r="E890" i="3"/>
  <c r="P890" i="3" s="1"/>
  <c r="D890" i="3"/>
  <c r="I889" i="3"/>
  <c r="J889" i="3" s="1"/>
  <c r="E889" i="3"/>
  <c r="P889" i="3" s="1"/>
  <c r="D889" i="3"/>
  <c r="E266" i="9" s="1"/>
  <c r="I972" i="3"/>
  <c r="G972" i="3"/>
  <c r="E972" i="3"/>
  <c r="O972" i="3" s="1"/>
  <c r="D972" i="3"/>
  <c r="I971" i="3"/>
  <c r="G971" i="3"/>
  <c r="E971" i="3"/>
  <c r="N971" i="3" s="1"/>
  <c r="D971" i="3"/>
  <c r="I970" i="3"/>
  <c r="G970" i="3"/>
  <c r="E970" i="3"/>
  <c r="M970" i="3" s="1"/>
  <c r="D970" i="3"/>
  <c r="I969" i="3"/>
  <c r="H969" i="3"/>
  <c r="H970" i="3" s="1"/>
  <c r="E969" i="3"/>
  <c r="P969" i="3" s="1"/>
  <c r="D969" i="3"/>
  <c r="E288" i="9" s="1"/>
  <c r="I921" i="3"/>
  <c r="G921" i="3"/>
  <c r="E921" i="3"/>
  <c r="P921" i="3" s="1"/>
  <c r="D921" i="3"/>
  <c r="I920" i="3"/>
  <c r="G920" i="3"/>
  <c r="E920" i="3"/>
  <c r="N920" i="3" s="1"/>
  <c r="D920" i="3"/>
  <c r="I919" i="3"/>
  <c r="E919" i="3"/>
  <c r="D919" i="3"/>
  <c r="I918" i="3"/>
  <c r="E918" i="3"/>
  <c r="P918" i="3" s="1"/>
  <c r="D918" i="3"/>
  <c r="E275" i="9" s="1"/>
  <c r="I917" i="3"/>
  <c r="H917" i="3"/>
  <c r="H918" i="3" s="1"/>
  <c r="E917" i="3"/>
  <c r="P917" i="3" s="1"/>
  <c r="D917" i="3"/>
  <c r="I928" i="3"/>
  <c r="G928" i="3"/>
  <c r="E928" i="3"/>
  <c r="P928" i="3" s="1"/>
  <c r="D928" i="3"/>
  <c r="I927" i="3"/>
  <c r="G927" i="3"/>
  <c r="E927" i="3"/>
  <c r="N927" i="3" s="1"/>
  <c r="D927" i="3"/>
  <c r="I926" i="3"/>
  <c r="G926" i="3"/>
  <c r="E926" i="3"/>
  <c r="D926" i="3"/>
  <c r="I925" i="3"/>
  <c r="E925" i="3"/>
  <c r="P925" i="3" s="1"/>
  <c r="D925" i="3"/>
  <c r="E277" i="9" s="1"/>
  <c r="I924" i="3"/>
  <c r="H924" i="3"/>
  <c r="H925" i="3" s="1"/>
  <c r="E924" i="3"/>
  <c r="P924" i="3" s="1"/>
  <c r="D924" i="3"/>
  <c r="I908" i="3"/>
  <c r="H908" i="3"/>
  <c r="G908" i="3"/>
  <c r="E908" i="3"/>
  <c r="M908" i="3" s="1"/>
  <c r="D908" i="3"/>
  <c r="I907" i="3"/>
  <c r="H907" i="3"/>
  <c r="G907" i="3"/>
  <c r="E907" i="3"/>
  <c r="N907" i="3" s="1"/>
  <c r="D907" i="3"/>
  <c r="I906" i="3"/>
  <c r="H906" i="3"/>
  <c r="G906" i="3"/>
  <c r="E906" i="3"/>
  <c r="N906" i="3" s="1"/>
  <c r="D906" i="3"/>
  <c r="I905" i="3"/>
  <c r="H905" i="3"/>
  <c r="G905" i="3"/>
  <c r="E905" i="3"/>
  <c r="P905" i="3" s="1"/>
  <c r="D905" i="3"/>
  <c r="I904" i="3"/>
  <c r="H904" i="3"/>
  <c r="G904" i="3"/>
  <c r="E904" i="3"/>
  <c r="M904" i="3" s="1"/>
  <c r="D904" i="3"/>
  <c r="I902" i="3"/>
  <c r="H902" i="3"/>
  <c r="G902" i="3"/>
  <c r="E902" i="3"/>
  <c r="N902" i="3" s="1"/>
  <c r="D902" i="3"/>
  <c r="I901" i="3"/>
  <c r="H901" i="3"/>
  <c r="E901" i="3"/>
  <c r="D901" i="3"/>
  <c r="E271" i="9" s="1"/>
  <c r="I899" i="3"/>
  <c r="H899" i="3"/>
  <c r="E899" i="3"/>
  <c r="D899" i="3"/>
  <c r="E270" i="9" s="1"/>
  <c r="I1001" i="3"/>
  <c r="E1001" i="3"/>
  <c r="N1001" i="3" s="1"/>
  <c r="D1001" i="3"/>
  <c r="I1000" i="3"/>
  <c r="E1000" i="3"/>
  <c r="M1000" i="3" s="1"/>
  <c r="D1000" i="3"/>
  <c r="I999" i="3"/>
  <c r="F999" i="3"/>
  <c r="F1000" i="3" s="1"/>
  <c r="E999" i="3"/>
  <c r="P999" i="3" s="1"/>
  <c r="D999" i="3"/>
  <c r="I914" i="3"/>
  <c r="G914" i="3"/>
  <c r="E914" i="3"/>
  <c r="P914" i="3" s="1"/>
  <c r="D914" i="3"/>
  <c r="I913" i="3"/>
  <c r="G913" i="3"/>
  <c r="E913" i="3"/>
  <c r="N913" i="3" s="1"/>
  <c r="D913" i="3"/>
  <c r="I912" i="3"/>
  <c r="G912" i="3"/>
  <c r="E912" i="3"/>
  <c r="D912" i="3"/>
  <c r="I911" i="3"/>
  <c r="H911" i="3"/>
  <c r="H912" i="3" s="1"/>
  <c r="E911" i="3"/>
  <c r="P911" i="3" s="1"/>
  <c r="D911" i="3"/>
  <c r="E273" i="9" s="1"/>
  <c r="I931" i="3"/>
  <c r="H931" i="3"/>
  <c r="E931" i="3"/>
  <c r="M931" i="3" s="1"/>
  <c r="M930" i="3" s="1"/>
  <c r="D931" i="3"/>
  <c r="I935" i="3"/>
  <c r="H935" i="3"/>
  <c r="E935" i="3"/>
  <c r="D935" i="3"/>
  <c r="I934" i="3"/>
  <c r="H934" i="3"/>
  <c r="E934" i="3"/>
  <c r="P934" i="3" s="1"/>
  <c r="D934" i="3"/>
  <c r="I895" i="3"/>
  <c r="H895" i="3"/>
  <c r="G895" i="3"/>
  <c r="E895" i="3"/>
  <c r="D895" i="3"/>
  <c r="I894" i="3"/>
  <c r="H894" i="3"/>
  <c r="G894" i="3"/>
  <c r="E894" i="3"/>
  <c r="N894" i="3" s="1"/>
  <c r="D894" i="3"/>
  <c r="I893" i="3"/>
  <c r="H893" i="3"/>
  <c r="E893" i="3"/>
  <c r="D893" i="3"/>
  <c r="E268" i="9" s="1"/>
  <c r="I957" i="3"/>
  <c r="G957" i="3"/>
  <c r="E957" i="3"/>
  <c r="D957" i="3"/>
  <c r="I956" i="3"/>
  <c r="G956" i="3"/>
  <c r="E956" i="3"/>
  <c r="N956" i="3" s="1"/>
  <c r="D956" i="3"/>
  <c r="I955" i="3"/>
  <c r="G955" i="3"/>
  <c r="E955" i="3"/>
  <c r="P955" i="3" s="1"/>
  <c r="D955" i="3"/>
  <c r="I954" i="3"/>
  <c r="H954" i="3"/>
  <c r="H957" i="3" s="1"/>
  <c r="E954" i="3"/>
  <c r="P954" i="3" s="1"/>
  <c r="D954" i="3"/>
  <c r="E284" i="9" s="1"/>
  <c r="I884" i="3"/>
  <c r="H884" i="3"/>
  <c r="G884" i="3"/>
  <c r="E884" i="3"/>
  <c r="M884" i="3" s="1"/>
  <c r="D884" i="3"/>
  <c r="I883" i="3"/>
  <c r="H883" i="3"/>
  <c r="G883" i="3"/>
  <c r="E883" i="3"/>
  <c r="N883" i="3" s="1"/>
  <c r="D883" i="3"/>
  <c r="I882" i="3"/>
  <c r="H882" i="3"/>
  <c r="G882" i="3"/>
  <c r="E882" i="3"/>
  <c r="N882" i="3" s="1"/>
  <c r="D882" i="3"/>
  <c r="I881" i="3"/>
  <c r="H881" i="3"/>
  <c r="G881" i="3"/>
  <c r="E881" i="3"/>
  <c r="P881" i="3" s="1"/>
  <c r="D881" i="3"/>
  <c r="I880" i="3"/>
  <c r="H880" i="3"/>
  <c r="G880" i="3"/>
  <c r="E880" i="3"/>
  <c r="M880" i="3" s="1"/>
  <c r="D880" i="3"/>
  <c r="I878" i="3"/>
  <c r="H878" i="3"/>
  <c r="G878" i="3"/>
  <c r="E878" i="3"/>
  <c r="N878" i="3" s="1"/>
  <c r="D878" i="3"/>
  <c r="I877" i="3"/>
  <c r="H877" i="3"/>
  <c r="E877" i="3"/>
  <c r="P877" i="3" s="1"/>
  <c r="D877" i="3"/>
  <c r="E263" i="9" s="1"/>
  <c r="I875" i="3"/>
  <c r="H875" i="3"/>
  <c r="E875" i="3"/>
  <c r="D875" i="3"/>
  <c r="I872" i="3"/>
  <c r="H872" i="3"/>
  <c r="G872" i="3"/>
  <c r="E872" i="3"/>
  <c r="N872" i="3" s="1"/>
  <c r="D872" i="3"/>
  <c r="I871" i="3"/>
  <c r="H871" i="3"/>
  <c r="G871" i="3"/>
  <c r="E871" i="3"/>
  <c r="M871" i="3" s="1"/>
  <c r="D871" i="3"/>
  <c r="I870" i="3"/>
  <c r="H870" i="3"/>
  <c r="G870" i="3"/>
  <c r="E870" i="3"/>
  <c r="M870" i="3" s="1"/>
  <c r="D870" i="3"/>
  <c r="I869" i="3"/>
  <c r="H869" i="3"/>
  <c r="E869" i="3"/>
  <c r="N869" i="3" s="1"/>
  <c r="D869" i="3"/>
  <c r="E262" i="9" s="1"/>
  <c r="I865" i="3"/>
  <c r="H865" i="3"/>
  <c r="G865" i="3"/>
  <c r="E865" i="3"/>
  <c r="M865" i="3" s="1"/>
  <c r="D865" i="3"/>
  <c r="I864" i="3"/>
  <c r="H864" i="3"/>
  <c r="G864" i="3"/>
  <c r="E864" i="3"/>
  <c r="N864" i="3" s="1"/>
  <c r="D864" i="3"/>
  <c r="I863" i="3"/>
  <c r="H863" i="3"/>
  <c r="G863" i="3"/>
  <c r="E863" i="3"/>
  <c r="D863" i="3"/>
  <c r="I862" i="3"/>
  <c r="H862" i="3"/>
  <c r="G862" i="3"/>
  <c r="E862" i="3"/>
  <c r="P862" i="3" s="1"/>
  <c r="D862" i="3"/>
  <c r="I861" i="3"/>
  <c r="H861" i="3"/>
  <c r="G861" i="3"/>
  <c r="E861" i="3"/>
  <c r="M861" i="3" s="1"/>
  <c r="D861" i="3"/>
  <c r="I859" i="3"/>
  <c r="H859" i="3"/>
  <c r="G859" i="3"/>
  <c r="E859" i="3"/>
  <c r="N859" i="3" s="1"/>
  <c r="D859" i="3"/>
  <c r="I858" i="3"/>
  <c r="H858" i="3"/>
  <c r="E858" i="3"/>
  <c r="D858" i="3"/>
  <c r="E260" i="9" s="1"/>
  <c r="I856" i="3"/>
  <c r="H856" i="3"/>
  <c r="E856" i="3"/>
  <c r="D856" i="3"/>
  <c r="I853" i="3"/>
  <c r="H853" i="3"/>
  <c r="G853" i="3"/>
  <c r="E853" i="3"/>
  <c r="O853" i="3" s="1"/>
  <c r="D853" i="3"/>
  <c r="I852" i="3"/>
  <c r="H852" i="3"/>
  <c r="G852" i="3"/>
  <c r="E852" i="3"/>
  <c r="N852" i="3" s="1"/>
  <c r="D852" i="3"/>
  <c r="I851" i="3"/>
  <c r="H851" i="3"/>
  <c r="G851" i="3"/>
  <c r="E851" i="3"/>
  <c r="M851" i="3" s="1"/>
  <c r="D851" i="3"/>
  <c r="I850" i="3"/>
  <c r="H850" i="3"/>
  <c r="E850" i="3"/>
  <c r="M850" i="3" s="1"/>
  <c r="D850" i="3"/>
  <c r="E259" i="9" s="1"/>
  <c r="I841" i="3"/>
  <c r="H841" i="3"/>
  <c r="E841" i="3"/>
  <c r="M841" i="3" s="1"/>
  <c r="M840" i="3" s="1"/>
  <c r="D841" i="3"/>
  <c r="I846" i="3"/>
  <c r="H846" i="3"/>
  <c r="E846" i="3"/>
  <c r="M846" i="3" s="1"/>
  <c r="D846" i="3"/>
  <c r="I845" i="3"/>
  <c r="H845" i="3"/>
  <c r="E845" i="3"/>
  <c r="P845" i="3" s="1"/>
  <c r="D845" i="3"/>
  <c r="I844" i="3"/>
  <c r="H844" i="3"/>
  <c r="E844" i="3"/>
  <c r="O844" i="3" s="1"/>
  <c r="D844" i="3"/>
  <c r="I838" i="3"/>
  <c r="H838" i="3"/>
  <c r="G838" i="3"/>
  <c r="E838" i="3"/>
  <c r="D838" i="3"/>
  <c r="I837" i="3"/>
  <c r="H837" i="3"/>
  <c r="G837" i="3"/>
  <c r="E837" i="3"/>
  <c r="N837" i="3" s="1"/>
  <c r="D837" i="3"/>
  <c r="I836" i="3"/>
  <c r="H836" i="3"/>
  <c r="G836" i="3"/>
  <c r="E836" i="3"/>
  <c r="D836" i="3"/>
  <c r="I835" i="3"/>
  <c r="H835" i="3"/>
  <c r="G835" i="3"/>
  <c r="E835" i="3"/>
  <c r="P835" i="3" s="1"/>
  <c r="D835" i="3"/>
  <c r="I833" i="3"/>
  <c r="H833" i="3"/>
  <c r="E833" i="3"/>
  <c r="M833" i="3" s="1"/>
  <c r="D833" i="3"/>
  <c r="I832" i="3"/>
  <c r="H832" i="3"/>
  <c r="G832" i="3"/>
  <c r="E832" i="3"/>
  <c r="P832" i="3" s="1"/>
  <c r="D832" i="3"/>
  <c r="I831" i="3"/>
  <c r="H831" i="3"/>
  <c r="E831" i="3"/>
  <c r="M831" i="3" s="1"/>
  <c r="D831" i="3"/>
  <c r="E255" i="9" s="1"/>
  <c r="I826" i="3"/>
  <c r="H826" i="3"/>
  <c r="G826" i="3"/>
  <c r="E826" i="3"/>
  <c r="P826" i="3" s="1"/>
  <c r="D826" i="3"/>
  <c r="I825" i="3"/>
  <c r="H825" i="3"/>
  <c r="G825" i="3"/>
  <c r="E825" i="3"/>
  <c r="M825" i="3" s="1"/>
  <c r="D825" i="3"/>
  <c r="I824" i="3"/>
  <c r="H824" i="3"/>
  <c r="G824" i="3"/>
  <c r="E824" i="3"/>
  <c r="N824" i="3" s="1"/>
  <c r="D824" i="3"/>
  <c r="I823" i="3"/>
  <c r="H823" i="3"/>
  <c r="G823" i="3"/>
  <c r="E823" i="3"/>
  <c r="N823" i="3" s="1"/>
  <c r="D823" i="3"/>
  <c r="I822" i="3"/>
  <c r="H822" i="3"/>
  <c r="G822" i="3"/>
  <c r="E822" i="3"/>
  <c r="P822" i="3" s="1"/>
  <c r="D822" i="3"/>
  <c r="I821" i="3"/>
  <c r="H821" i="3"/>
  <c r="E821" i="3"/>
  <c r="M821" i="3" s="1"/>
  <c r="D821" i="3"/>
  <c r="E252" i="9" s="1"/>
  <c r="I817" i="3"/>
  <c r="H817" i="3"/>
  <c r="G817" i="3"/>
  <c r="E817" i="3"/>
  <c r="M817" i="3" s="1"/>
  <c r="D817" i="3"/>
  <c r="I816" i="3"/>
  <c r="H816" i="3"/>
  <c r="G816" i="3"/>
  <c r="E816" i="3"/>
  <c r="N816" i="3" s="1"/>
  <c r="D816" i="3"/>
  <c r="I815" i="3"/>
  <c r="H815" i="3"/>
  <c r="E815" i="3"/>
  <c r="D815" i="3"/>
  <c r="E249" i="9" s="1"/>
  <c r="I813" i="3"/>
  <c r="H813" i="3"/>
  <c r="E813" i="3"/>
  <c r="M813" i="3" s="1"/>
  <c r="D813" i="3"/>
  <c r="I812" i="3"/>
  <c r="H812" i="3"/>
  <c r="E812" i="3"/>
  <c r="P812" i="3" s="1"/>
  <c r="D812" i="3"/>
  <c r="I807" i="3"/>
  <c r="H807" i="3"/>
  <c r="E807" i="3"/>
  <c r="M807" i="3" s="1"/>
  <c r="D807" i="3"/>
  <c r="I805" i="3"/>
  <c r="G805" i="3"/>
  <c r="E805" i="3"/>
  <c r="P805" i="3" s="1"/>
  <c r="D805" i="3"/>
  <c r="I804" i="3"/>
  <c r="E804" i="3"/>
  <c r="M804" i="3" s="1"/>
  <c r="D804" i="3"/>
  <c r="E246" i="9" s="1"/>
  <c r="I802" i="3"/>
  <c r="H802" i="3"/>
  <c r="E802" i="3"/>
  <c r="M802" i="3" s="1"/>
  <c r="D802" i="3"/>
  <c r="I801" i="3"/>
  <c r="H801" i="3"/>
  <c r="H804" i="3" s="1"/>
  <c r="H805" i="3" s="1"/>
  <c r="E801" i="3"/>
  <c r="P801" i="3" s="1"/>
  <c r="D801" i="3"/>
  <c r="I800" i="3"/>
  <c r="H800" i="3"/>
  <c r="E800" i="3"/>
  <c r="O800" i="3" s="1"/>
  <c r="D800" i="3"/>
  <c r="I799" i="3"/>
  <c r="H799" i="3"/>
  <c r="E799" i="3"/>
  <c r="M799" i="3" s="1"/>
  <c r="D799" i="3"/>
  <c r="I794" i="3"/>
  <c r="H794" i="3"/>
  <c r="E794" i="3"/>
  <c r="M794" i="3" s="1"/>
  <c r="D794" i="3"/>
  <c r="I793" i="3"/>
  <c r="H793" i="3"/>
  <c r="E793" i="3"/>
  <c r="P793" i="3" s="1"/>
  <c r="D793" i="3"/>
  <c r="I743" i="3"/>
  <c r="H743" i="3"/>
  <c r="G743" i="3"/>
  <c r="E743" i="3"/>
  <c r="M743" i="3" s="1"/>
  <c r="D743" i="3"/>
  <c r="I742" i="3"/>
  <c r="H742" i="3"/>
  <c r="G742" i="3"/>
  <c r="E742" i="3"/>
  <c r="N742" i="3" s="1"/>
  <c r="D742" i="3"/>
  <c r="I741" i="3"/>
  <c r="H741" i="3"/>
  <c r="G741" i="3"/>
  <c r="E741" i="3"/>
  <c r="N741" i="3" s="1"/>
  <c r="D741" i="3"/>
  <c r="I740" i="3"/>
  <c r="H740" i="3"/>
  <c r="G740" i="3"/>
  <c r="E740" i="3"/>
  <c r="P740" i="3" s="1"/>
  <c r="D740" i="3"/>
  <c r="I739" i="3"/>
  <c r="H739" i="3"/>
  <c r="G739" i="3"/>
  <c r="E739" i="3"/>
  <c r="M739" i="3" s="1"/>
  <c r="D739" i="3"/>
  <c r="I737" i="3"/>
  <c r="H737" i="3"/>
  <c r="G737" i="3"/>
  <c r="E737" i="3"/>
  <c r="N737" i="3" s="1"/>
  <c r="D737" i="3"/>
  <c r="I736" i="3"/>
  <c r="H736" i="3"/>
  <c r="E736" i="3"/>
  <c r="D736" i="3"/>
  <c r="E227" i="9" s="1"/>
  <c r="I734" i="3"/>
  <c r="H734" i="3"/>
  <c r="E734" i="3"/>
  <c r="D734" i="3"/>
  <c r="E226" i="9" s="1"/>
  <c r="I777" i="3"/>
  <c r="G777" i="3"/>
  <c r="E777" i="3"/>
  <c r="D777" i="3"/>
  <c r="I776" i="3"/>
  <c r="G776" i="3"/>
  <c r="E776" i="3"/>
  <c r="N776" i="3" s="1"/>
  <c r="D776" i="3"/>
  <c r="I775" i="3"/>
  <c r="G775" i="3"/>
  <c r="E775" i="3"/>
  <c r="P775" i="3" s="1"/>
  <c r="D775" i="3"/>
  <c r="I774" i="3"/>
  <c r="E774" i="3"/>
  <c r="P774" i="3" s="1"/>
  <c r="D774" i="3"/>
  <c r="E237" i="9" s="1"/>
  <c r="I773" i="3"/>
  <c r="H773" i="3"/>
  <c r="H774" i="3" s="1"/>
  <c r="E773" i="3"/>
  <c r="P773" i="3" s="1"/>
  <c r="D773" i="3"/>
  <c r="I770" i="3"/>
  <c r="G770" i="3"/>
  <c r="E770" i="3"/>
  <c r="P770" i="3" s="1"/>
  <c r="D770" i="3"/>
  <c r="I769" i="3"/>
  <c r="G769" i="3"/>
  <c r="E769" i="3"/>
  <c r="N769" i="3" s="1"/>
  <c r="D769" i="3"/>
  <c r="I768" i="3"/>
  <c r="G768" i="3"/>
  <c r="E768" i="3"/>
  <c r="D768" i="3"/>
  <c r="I767" i="3"/>
  <c r="E767" i="3"/>
  <c r="P767" i="3" s="1"/>
  <c r="D767" i="3"/>
  <c r="E235" i="9" s="1"/>
  <c r="I766" i="3"/>
  <c r="H766" i="3"/>
  <c r="H767" i="3" s="1"/>
  <c r="E766" i="3"/>
  <c r="P766" i="3" s="1"/>
  <c r="D766" i="3"/>
  <c r="I789" i="3"/>
  <c r="H789" i="3"/>
  <c r="E789" i="3"/>
  <c r="M789" i="3" s="1"/>
  <c r="M788" i="3" s="1"/>
  <c r="D789" i="3"/>
  <c r="E241" i="9" s="1"/>
  <c r="I786" i="3"/>
  <c r="H786" i="3"/>
  <c r="E786" i="3"/>
  <c r="M786" i="3" s="1"/>
  <c r="M785" i="3" s="1"/>
  <c r="D786" i="3"/>
  <c r="I783" i="3"/>
  <c r="G783" i="3"/>
  <c r="E783" i="3"/>
  <c r="O783" i="3" s="1"/>
  <c r="D783" i="3"/>
  <c r="I782" i="3"/>
  <c r="G782" i="3"/>
  <c r="E782" i="3"/>
  <c r="N782" i="3" s="1"/>
  <c r="D782" i="3"/>
  <c r="I781" i="3"/>
  <c r="G781" i="3"/>
  <c r="E781" i="3"/>
  <c r="D781" i="3"/>
  <c r="I780" i="3"/>
  <c r="H780" i="3"/>
  <c r="H781" i="3" s="1"/>
  <c r="E780" i="3"/>
  <c r="P780" i="3" s="1"/>
  <c r="D780" i="3"/>
  <c r="E239" i="9" s="1"/>
  <c r="I763" i="3"/>
  <c r="G763" i="3"/>
  <c r="E763" i="3"/>
  <c r="P763" i="3" s="1"/>
  <c r="D763" i="3"/>
  <c r="I762" i="3"/>
  <c r="G762" i="3"/>
  <c r="E762" i="3"/>
  <c r="N762" i="3" s="1"/>
  <c r="D762" i="3"/>
  <c r="I761" i="3"/>
  <c r="G761" i="3"/>
  <c r="E761" i="3"/>
  <c r="D761" i="3"/>
  <c r="I760" i="3"/>
  <c r="H760" i="3"/>
  <c r="H761" i="3" s="1"/>
  <c r="E760" i="3"/>
  <c r="P760" i="3" s="1"/>
  <c r="D760" i="3"/>
  <c r="E233" i="9" s="1"/>
  <c r="I729" i="3"/>
  <c r="J729" i="3" s="1"/>
  <c r="E729" i="3"/>
  <c r="D729" i="3"/>
  <c r="I728" i="3"/>
  <c r="H728" i="3"/>
  <c r="E728" i="3"/>
  <c r="O728" i="3" s="1"/>
  <c r="D728" i="3"/>
  <c r="I727" i="3"/>
  <c r="J727" i="3" s="1"/>
  <c r="E727" i="3"/>
  <c r="D727" i="3"/>
  <c r="E223" i="9" s="1"/>
  <c r="I757" i="3"/>
  <c r="H757" i="3"/>
  <c r="G757" i="3"/>
  <c r="E757" i="3"/>
  <c r="M757" i="3" s="1"/>
  <c r="D757" i="3"/>
  <c r="I756" i="3"/>
  <c r="H756" i="3"/>
  <c r="G756" i="3"/>
  <c r="E756" i="3"/>
  <c r="N756" i="3" s="1"/>
  <c r="D756" i="3"/>
  <c r="I755" i="3"/>
  <c r="H755" i="3"/>
  <c r="G755" i="3"/>
  <c r="E755" i="3"/>
  <c r="N755" i="3" s="1"/>
  <c r="D755" i="3"/>
  <c r="I754" i="3"/>
  <c r="H754" i="3"/>
  <c r="G754" i="3"/>
  <c r="E754" i="3"/>
  <c r="P754" i="3" s="1"/>
  <c r="D754" i="3"/>
  <c r="I753" i="3"/>
  <c r="H753" i="3"/>
  <c r="G753" i="3"/>
  <c r="E753" i="3"/>
  <c r="M753" i="3" s="1"/>
  <c r="D753" i="3"/>
  <c r="I751" i="3"/>
  <c r="H751" i="3"/>
  <c r="G751" i="3"/>
  <c r="E751" i="3"/>
  <c r="M751" i="3" s="1"/>
  <c r="D751" i="3"/>
  <c r="I750" i="3"/>
  <c r="H750" i="3"/>
  <c r="E750" i="3"/>
  <c r="D750" i="3"/>
  <c r="E231" i="9" s="1"/>
  <c r="I748" i="3"/>
  <c r="H748" i="3"/>
  <c r="E748" i="3"/>
  <c r="N748" i="3" s="1"/>
  <c r="D748" i="3"/>
  <c r="E230" i="9" s="1"/>
  <c r="N1077" i="3" l="1"/>
  <c r="Q1126" i="3"/>
  <c r="E259" i="11"/>
  <c r="F214" i="10"/>
  <c r="E270" i="11"/>
  <c r="F225" i="10"/>
  <c r="E265" i="11"/>
  <c r="F220" i="10"/>
  <c r="E263" i="11"/>
  <c r="F218" i="10"/>
  <c r="E269" i="11"/>
  <c r="F224" i="10"/>
  <c r="E271" i="11"/>
  <c r="F226" i="10"/>
  <c r="E266" i="11"/>
  <c r="F221" i="10"/>
  <c r="E272" i="11"/>
  <c r="F227" i="10"/>
  <c r="O1064" i="3"/>
  <c r="O1059" i="3" s="1"/>
  <c r="E268" i="11"/>
  <c r="F223" i="10"/>
  <c r="E267" i="11"/>
  <c r="F222" i="10"/>
  <c r="J1064" i="3"/>
  <c r="J1059" i="3" s="1"/>
  <c r="E273" i="11"/>
  <c r="F228" i="10"/>
  <c r="Q1066" i="3"/>
  <c r="Q1088" i="3"/>
  <c r="Q1086" i="3" s="1"/>
  <c r="C230" i="10"/>
  <c r="L1064" i="3"/>
  <c r="C237" i="10"/>
  <c r="P1059" i="3"/>
  <c r="P1124" i="3"/>
  <c r="J1060" i="3"/>
  <c r="N1076" i="3"/>
  <c r="Q1206" i="3"/>
  <c r="Q1190" i="3" s="1"/>
  <c r="J1190" i="3"/>
  <c r="Q1125" i="3"/>
  <c r="J1171" i="3"/>
  <c r="O1171" i="3" s="1"/>
  <c r="Q1171" i="3" s="1"/>
  <c r="Q1154" i="3"/>
  <c r="H1172" i="3"/>
  <c r="L1172" i="3" s="1"/>
  <c r="K1172" i="3" s="1"/>
  <c r="Q1182" i="3"/>
  <c r="Q1181" i="3" s="1"/>
  <c r="Q1168" i="3"/>
  <c r="Q1188" i="3"/>
  <c r="Q1187" i="3" s="1"/>
  <c r="Q1177" i="3"/>
  <c r="Q1185" i="3"/>
  <c r="Q1184" i="3" s="1"/>
  <c r="Q1148" i="3"/>
  <c r="Q1147" i="3" s="1"/>
  <c r="N1136" i="3"/>
  <c r="N1124" i="3" s="1"/>
  <c r="Q1137" i="3"/>
  <c r="Q1136" i="3" s="1"/>
  <c r="Q1133" i="3"/>
  <c r="Q1141" i="3"/>
  <c r="O1140" i="3"/>
  <c r="O1124" i="3" s="1"/>
  <c r="J1134" i="3"/>
  <c r="L1134" i="3"/>
  <c r="J1145" i="3"/>
  <c r="M1145" i="3" s="1"/>
  <c r="L1145" i="3"/>
  <c r="N1062" i="3"/>
  <c r="N1059" i="3" s="1"/>
  <c r="J1035" i="3"/>
  <c r="O1035" i="3" s="1"/>
  <c r="Q1077" i="3"/>
  <c r="J1053" i="3"/>
  <c r="O1053" i="3" s="1"/>
  <c r="P1060" i="3"/>
  <c r="J986" i="3"/>
  <c r="N986" i="3" s="1"/>
  <c r="J1008" i="3"/>
  <c r="O1060" i="3"/>
  <c r="Q1070" i="3"/>
  <c r="M1059" i="3"/>
  <c r="J1038" i="3"/>
  <c r="O1038" i="3" s="1"/>
  <c r="J1029" i="3"/>
  <c r="L1031" i="3"/>
  <c r="K1031" i="3" s="1"/>
  <c r="J1032" i="3"/>
  <c r="M1032" i="3" s="1"/>
  <c r="J1051" i="3"/>
  <c r="O1051" i="3" s="1"/>
  <c r="J1056" i="3"/>
  <c r="M1056" i="3" s="1"/>
  <c r="J1043" i="3"/>
  <c r="M1043" i="3" s="1"/>
  <c r="J1055" i="3"/>
  <c r="O1055" i="3" s="1"/>
  <c r="J1048" i="3"/>
  <c r="O1048" i="3" s="1"/>
  <c r="J1050" i="3"/>
  <c r="O1050" i="3" s="1"/>
  <c r="J1054" i="3"/>
  <c r="O1054" i="3" s="1"/>
  <c r="J1057" i="3"/>
  <c r="O1057" i="3" s="1"/>
  <c r="J1042" i="3"/>
  <c r="O1042" i="3" s="1"/>
  <c r="L1048" i="3"/>
  <c r="P1048" i="3"/>
  <c r="L1050" i="3"/>
  <c r="K1050" i="3" s="1"/>
  <c r="P1050" i="3"/>
  <c r="N1053" i="3"/>
  <c r="M1054" i="3"/>
  <c r="L1055" i="3"/>
  <c r="K1055" i="3" s="1"/>
  <c r="P1055" i="3"/>
  <c r="O1056" i="3"/>
  <c r="N1057" i="3"/>
  <c r="M1048" i="3"/>
  <c r="M1050" i="3"/>
  <c r="L1051" i="3"/>
  <c r="K1051" i="3" s="1"/>
  <c r="P1051" i="3"/>
  <c r="N1054" i="3"/>
  <c r="M1055" i="3"/>
  <c r="L1056" i="3"/>
  <c r="K1056" i="3" s="1"/>
  <c r="P1056" i="3"/>
  <c r="N1048" i="3"/>
  <c r="N1050" i="3"/>
  <c r="M1051" i="3"/>
  <c r="L1053" i="3"/>
  <c r="K1053" i="3" s="1"/>
  <c r="P1053" i="3"/>
  <c r="L1057" i="3"/>
  <c r="K1057" i="3" s="1"/>
  <c r="P1057" i="3"/>
  <c r="L1054" i="3"/>
  <c r="K1054" i="3" s="1"/>
  <c r="N1029" i="3"/>
  <c r="J1015" i="3"/>
  <c r="O1015" i="3" s="1"/>
  <c r="J1030" i="3"/>
  <c r="O1030" i="3" s="1"/>
  <c r="J1037" i="3"/>
  <c r="O1037" i="3" s="1"/>
  <c r="J1040" i="3"/>
  <c r="O1040" i="3" s="1"/>
  <c r="J1041" i="3"/>
  <c r="O1041" i="3" s="1"/>
  <c r="J1044" i="3"/>
  <c r="O1044" i="3" s="1"/>
  <c r="M1030" i="3"/>
  <c r="O1032" i="3"/>
  <c r="N1030" i="3"/>
  <c r="M1031" i="3"/>
  <c r="L1032" i="3"/>
  <c r="K1032" i="3" s="1"/>
  <c r="P1032" i="3"/>
  <c r="L1035" i="3"/>
  <c r="K1035" i="3" s="1"/>
  <c r="P1035" i="3"/>
  <c r="L1037" i="3"/>
  <c r="K1037" i="3" s="1"/>
  <c r="P1037" i="3"/>
  <c r="N1040" i="3"/>
  <c r="M1041" i="3"/>
  <c r="L1042" i="3"/>
  <c r="K1042" i="3" s="1"/>
  <c r="P1042" i="3"/>
  <c r="O1043" i="3"/>
  <c r="N1044" i="3"/>
  <c r="J1009" i="3"/>
  <c r="O1009" i="3" s="1"/>
  <c r="L1029" i="3"/>
  <c r="P1029" i="3"/>
  <c r="J1031" i="3"/>
  <c r="O1031" i="3" s="1"/>
  <c r="N1031" i="3"/>
  <c r="M1035" i="3"/>
  <c r="M1037" i="3"/>
  <c r="L1038" i="3"/>
  <c r="K1038" i="3" s="1"/>
  <c r="P1038" i="3"/>
  <c r="N1041" i="3"/>
  <c r="M1042" i="3"/>
  <c r="L1043" i="3"/>
  <c r="K1043" i="3" s="1"/>
  <c r="P1043" i="3"/>
  <c r="L1030" i="3"/>
  <c r="K1030" i="3" s="1"/>
  <c r="N1035" i="3"/>
  <c r="N1037" i="3"/>
  <c r="M1038" i="3"/>
  <c r="L1040" i="3"/>
  <c r="K1040" i="3" s="1"/>
  <c r="P1040" i="3"/>
  <c r="L1044" i="3"/>
  <c r="K1044" i="3" s="1"/>
  <c r="P1044" i="3"/>
  <c r="L1041" i="3"/>
  <c r="K1041" i="3" s="1"/>
  <c r="J1010" i="3"/>
  <c r="O1010" i="3" s="1"/>
  <c r="J1011" i="3"/>
  <c r="M1011" i="3" s="1"/>
  <c r="J1017" i="3"/>
  <c r="O1017" i="3" s="1"/>
  <c r="O1011" i="3"/>
  <c r="J1018" i="3"/>
  <c r="O1018" i="3" s="1"/>
  <c r="J1023" i="3"/>
  <c r="M1023" i="3" s="1"/>
  <c r="M1008" i="3"/>
  <c r="L1009" i="3"/>
  <c r="K1009" i="3" s="1"/>
  <c r="P1009" i="3"/>
  <c r="N1011" i="3"/>
  <c r="N1008" i="3"/>
  <c r="M1009" i="3"/>
  <c r="L1010" i="3"/>
  <c r="K1010" i="3" s="1"/>
  <c r="P1010" i="3"/>
  <c r="N1009" i="3"/>
  <c r="M1010" i="3"/>
  <c r="L1011" i="3"/>
  <c r="K1011" i="3" s="1"/>
  <c r="P1011" i="3"/>
  <c r="L1008" i="3"/>
  <c r="L1020" i="3"/>
  <c r="K1020" i="3" s="1"/>
  <c r="J1022" i="3"/>
  <c r="O1022" i="3" s="1"/>
  <c r="L1024" i="3"/>
  <c r="K1024" i="3" s="1"/>
  <c r="P1021" i="3"/>
  <c r="M1020" i="3"/>
  <c r="M1024" i="3"/>
  <c r="P1020" i="3"/>
  <c r="L1021" i="3"/>
  <c r="K1021" i="3" s="1"/>
  <c r="P1024" i="3"/>
  <c r="J961" i="3"/>
  <c r="J962" i="3"/>
  <c r="N962" i="3" s="1"/>
  <c r="J964" i="3"/>
  <c r="O964" i="3" s="1"/>
  <c r="L1015" i="3"/>
  <c r="P1015" i="3"/>
  <c r="L1017" i="3"/>
  <c r="K1017" i="3" s="1"/>
  <c r="P1017" i="3"/>
  <c r="J1020" i="3"/>
  <c r="O1020" i="3" s="1"/>
  <c r="M1021" i="3"/>
  <c r="L1022" i="3"/>
  <c r="K1022" i="3" s="1"/>
  <c r="P1022" i="3"/>
  <c r="O1023" i="3"/>
  <c r="J1024" i="3"/>
  <c r="O1024" i="3" s="1"/>
  <c r="J965" i="3"/>
  <c r="M965" i="3" s="1"/>
  <c r="M1015" i="3"/>
  <c r="M1017" i="3"/>
  <c r="L1018" i="3"/>
  <c r="K1018" i="3" s="1"/>
  <c r="P1018" i="3"/>
  <c r="J1021" i="3"/>
  <c r="O1021" i="3" s="1"/>
  <c r="M1022" i="3"/>
  <c r="L1023" i="3"/>
  <c r="K1023" i="3" s="1"/>
  <c r="P1023" i="3"/>
  <c r="J966" i="3"/>
  <c r="O966" i="3" s="1"/>
  <c r="N1015" i="3"/>
  <c r="N1017" i="3"/>
  <c r="M1018" i="3"/>
  <c r="O961" i="3"/>
  <c r="O965" i="3"/>
  <c r="J987" i="3"/>
  <c r="N987" i="3" s="1"/>
  <c r="J988" i="3"/>
  <c r="N988" i="3" s="1"/>
  <c r="M964" i="3"/>
  <c r="P965" i="3"/>
  <c r="P964" i="3"/>
  <c r="L962" i="3"/>
  <c r="P962" i="3"/>
  <c r="L964" i="3"/>
  <c r="K964" i="3" s="1"/>
  <c r="N966" i="3"/>
  <c r="L961" i="3"/>
  <c r="P961" i="3"/>
  <c r="M962" i="3"/>
  <c r="L965" i="3"/>
  <c r="K965" i="3" s="1"/>
  <c r="M961" i="3"/>
  <c r="N964" i="3"/>
  <c r="L966" i="3"/>
  <c r="K966" i="3" s="1"/>
  <c r="P966" i="3"/>
  <c r="M949" i="3"/>
  <c r="J978" i="3"/>
  <c r="N978" i="3" s="1"/>
  <c r="J1004" i="3"/>
  <c r="J1003" i="3" s="1"/>
  <c r="O986" i="3"/>
  <c r="J982" i="3"/>
  <c r="O982" i="3" s="1"/>
  <c r="M988" i="3"/>
  <c r="L986" i="3"/>
  <c r="P986" i="3"/>
  <c r="P985" i="3" s="1"/>
  <c r="M987" i="3"/>
  <c r="J981" i="3"/>
  <c r="O981" i="3" s="1"/>
  <c r="M986" i="3"/>
  <c r="O988" i="3"/>
  <c r="O987" i="3"/>
  <c r="L988" i="3"/>
  <c r="L987" i="3"/>
  <c r="J977" i="3"/>
  <c r="M977" i="3" s="1"/>
  <c r="P976" i="3"/>
  <c r="M982" i="3"/>
  <c r="L983" i="3"/>
  <c r="K983" i="3" s="1"/>
  <c r="L976" i="3"/>
  <c r="O977" i="3"/>
  <c r="J980" i="3"/>
  <c r="O980" i="3" s="1"/>
  <c r="J976" i="3"/>
  <c r="N976" i="3"/>
  <c r="M980" i="3"/>
  <c r="L981" i="3"/>
  <c r="K981" i="3" s="1"/>
  <c r="P981" i="3"/>
  <c r="J983" i="3"/>
  <c r="M983" i="3" s="1"/>
  <c r="N983" i="3"/>
  <c r="N977" i="3"/>
  <c r="O978" i="3"/>
  <c r="N980" i="3"/>
  <c r="M981" i="3"/>
  <c r="L982" i="3"/>
  <c r="K982" i="3" s="1"/>
  <c r="P982" i="3"/>
  <c r="O983" i="3"/>
  <c r="L978" i="3"/>
  <c r="P978" i="3"/>
  <c r="N981" i="3"/>
  <c r="L977" i="3"/>
  <c r="K977" i="3" s="1"/>
  <c r="L980" i="3"/>
  <c r="K980" i="3" s="1"/>
  <c r="P887" i="3"/>
  <c r="J950" i="3"/>
  <c r="N950" i="3" s="1"/>
  <c r="J941" i="3"/>
  <c r="N941" i="3" s="1"/>
  <c r="N1004" i="3"/>
  <c r="N1003" i="3" s="1"/>
  <c r="O1004" i="3"/>
  <c r="O1003" i="3" s="1"/>
  <c r="L1004" i="3"/>
  <c r="J991" i="3"/>
  <c r="N991" i="3" s="1"/>
  <c r="J942" i="3"/>
  <c r="N942" i="3" s="1"/>
  <c r="J996" i="3"/>
  <c r="P944" i="3"/>
  <c r="N996" i="3"/>
  <c r="N995" i="3" s="1"/>
  <c r="O996" i="3"/>
  <c r="O995" i="3" s="1"/>
  <c r="L996" i="3"/>
  <c r="P993" i="3"/>
  <c r="L993" i="3"/>
  <c r="K993" i="3" s="1"/>
  <c r="J993" i="3"/>
  <c r="O993" i="3" s="1"/>
  <c r="J992" i="3"/>
  <c r="M992" i="3" s="1"/>
  <c r="M990" i="3" s="1"/>
  <c r="N992" i="3"/>
  <c r="N993" i="3"/>
  <c r="J940" i="3"/>
  <c r="N940" i="3" s="1"/>
  <c r="J947" i="3"/>
  <c r="P947" i="3" s="1"/>
  <c r="O991" i="3"/>
  <c r="O992" i="3"/>
  <c r="L991" i="3"/>
  <c r="P991" i="3"/>
  <c r="L992" i="3"/>
  <c r="K992" i="3" s="1"/>
  <c r="M940" i="3"/>
  <c r="J939" i="3"/>
  <c r="N939" i="3" s="1"/>
  <c r="M941" i="3"/>
  <c r="O941" i="3"/>
  <c r="O945" i="3"/>
  <c r="H945" i="3"/>
  <c r="J945" i="3" s="1"/>
  <c r="M945" i="3" s="1"/>
  <c r="L944" i="3"/>
  <c r="K944" i="3" s="1"/>
  <c r="J944" i="3"/>
  <c r="O944" i="3" s="1"/>
  <c r="O939" i="3"/>
  <c r="L940" i="3"/>
  <c r="P940" i="3"/>
  <c r="N944" i="3"/>
  <c r="N947" i="3"/>
  <c r="L939" i="3"/>
  <c r="P939" i="3"/>
  <c r="O942" i="3"/>
  <c r="N945" i="3"/>
  <c r="O947" i="3"/>
  <c r="L942" i="3"/>
  <c r="P942" i="3"/>
  <c r="L947" i="3"/>
  <c r="L941" i="3"/>
  <c r="J951" i="3"/>
  <c r="N951" i="3"/>
  <c r="O950" i="3"/>
  <c r="O951" i="3"/>
  <c r="L950" i="3"/>
  <c r="P950" i="3"/>
  <c r="L951" i="3"/>
  <c r="K951" i="3" s="1"/>
  <c r="O889" i="3"/>
  <c r="M889" i="3"/>
  <c r="J890" i="3"/>
  <c r="M890" i="3" s="1"/>
  <c r="N889" i="3"/>
  <c r="N890" i="3"/>
  <c r="O890" i="3"/>
  <c r="P971" i="3"/>
  <c r="L889" i="3"/>
  <c r="L890" i="3"/>
  <c r="K890" i="3" s="1"/>
  <c r="N969" i="3"/>
  <c r="J969" i="3"/>
  <c r="O969" i="3" s="1"/>
  <c r="J970" i="3"/>
  <c r="O970" i="3" s="1"/>
  <c r="H971" i="3"/>
  <c r="M969" i="3"/>
  <c r="L970" i="3"/>
  <c r="K970" i="3" s="1"/>
  <c r="P970" i="3"/>
  <c r="N972" i="3"/>
  <c r="N970" i="3"/>
  <c r="M971" i="3"/>
  <c r="P972" i="3"/>
  <c r="L969" i="3"/>
  <c r="H919" i="3"/>
  <c r="H920" i="3" s="1"/>
  <c r="L920" i="3" s="1"/>
  <c r="K920" i="3" s="1"/>
  <c r="J918" i="3"/>
  <c r="O918" i="3" s="1"/>
  <c r="O917" i="3"/>
  <c r="M920" i="3"/>
  <c r="J917" i="3"/>
  <c r="J901" i="3"/>
  <c r="O901" i="3" s="1"/>
  <c r="M917" i="3"/>
  <c r="M918" i="3"/>
  <c r="P919" i="3"/>
  <c r="N921" i="3"/>
  <c r="J907" i="3"/>
  <c r="M907" i="3" s="1"/>
  <c r="N918" i="3"/>
  <c r="M919" i="3"/>
  <c r="P920" i="3"/>
  <c r="O921" i="3"/>
  <c r="N919" i="3"/>
  <c r="M927" i="3"/>
  <c r="L917" i="3"/>
  <c r="L918" i="3"/>
  <c r="K918" i="3" s="1"/>
  <c r="H926" i="3"/>
  <c r="J926" i="3" s="1"/>
  <c r="O926" i="3" s="1"/>
  <c r="J925" i="3"/>
  <c r="O925" i="3" s="1"/>
  <c r="O924" i="3"/>
  <c r="J904" i="3"/>
  <c r="O904" i="3" s="1"/>
  <c r="J905" i="3"/>
  <c r="O905" i="3" s="1"/>
  <c r="J908" i="3"/>
  <c r="O908" i="3" s="1"/>
  <c r="J924" i="3"/>
  <c r="J902" i="3"/>
  <c r="O902" i="3" s="1"/>
  <c r="M924" i="3"/>
  <c r="M925" i="3"/>
  <c r="P926" i="3"/>
  <c r="N928" i="3"/>
  <c r="N925" i="3"/>
  <c r="M926" i="3"/>
  <c r="P927" i="3"/>
  <c r="O928" i="3"/>
  <c r="N926" i="3"/>
  <c r="L924" i="3"/>
  <c r="L925" i="3"/>
  <c r="K925" i="3" s="1"/>
  <c r="J899" i="3"/>
  <c r="J906" i="3"/>
  <c r="O906" i="3" s="1"/>
  <c r="L899" i="3"/>
  <c r="P899" i="3"/>
  <c r="L901" i="3"/>
  <c r="K901" i="3" s="1"/>
  <c r="P901" i="3"/>
  <c r="N904" i="3"/>
  <c r="M905" i="3"/>
  <c r="L906" i="3"/>
  <c r="K906" i="3" s="1"/>
  <c r="P906" i="3"/>
  <c r="O907" i="3"/>
  <c r="N908" i="3"/>
  <c r="M999" i="3"/>
  <c r="M899" i="3"/>
  <c r="M901" i="3"/>
  <c r="L902" i="3"/>
  <c r="K902" i="3" s="1"/>
  <c r="P902" i="3"/>
  <c r="N905" i="3"/>
  <c r="M906" i="3"/>
  <c r="L907" i="3"/>
  <c r="K907" i="3" s="1"/>
  <c r="P907" i="3"/>
  <c r="N899" i="3"/>
  <c r="N901" i="3"/>
  <c r="M902" i="3"/>
  <c r="L904" i="3"/>
  <c r="K904" i="3" s="1"/>
  <c r="P904" i="3"/>
  <c r="L908" i="3"/>
  <c r="K908" i="3" s="1"/>
  <c r="P908" i="3"/>
  <c r="L905" i="3"/>
  <c r="K905" i="3" s="1"/>
  <c r="O999" i="3"/>
  <c r="F1001" i="3"/>
  <c r="J1001" i="3" s="1"/>
  <c r="M1001" i="3" s="1"/>
  <c r="J1000" i="3"/>
  <c r="N1000" i="3" s="1"/>
  <c r="O1000" i="3"/>
  <c r="O1001" i="3"/>
  <c r="J999" i="3"/>
  <c r="L1000" i="3"/>
  <c r="P1000" i="3"/>
  <c r="L1001" i="3"/>
  <c r="P1001" i="3"/>
  <c r="L999" i="3"/>
  <c r="J911" i="3"/>
  <c r="O911" i="3" s="1"/>
  <c r="M913" i="3"/>
  <c r="J912" i="3"/>
  <c r="O912" i="3" s="1"/>
  <c r="H913" i="3"/>
  <c r="L913" i="3" s="1"/>
  <c r="K913" i="3" s="1"/>
  <c r="M911" i="3"/>
  <c r="L912" i="3"/>
  <c r="K912" i="3" s="1"/>
  <c r="P912" i="3"/>
  <c r="N914" i="3"/>
  <c r="J931" i="3"/>
  <c r="J930" i="3" s="1"/>
  <c r="N911" i="3"/>
  <c r="M912" i="3"/>
  <c r="P913" i="3"/>
  <c r="O914" i="3"/>
  <c r="N912" i="3"/>
  <c r="L911" i="3"/>
  <c r="J935" i="3"/>
  <c r="P935" i="3" s="1"/>
  <c r="P933" i="3" s="1"/>
  <c r="N931" i="3"/>
  <c r="N930" i="3" s="1"/>
  <c r="O931" i="3"/>
  <c r="O930" i="3" s="1"/>
  <c r="O934" i="3"/>
  <c r="J895" i="3"/>
  <c r="M895" i="3" s="1"/>
  <c r="J934" i="3"/>
  <c r="M935" i="3"/>
  <c r="M934" i="3"/>
  <c r="N935" i="3"/>
  <c r="O935" i="3"/>
  <c r="L934" i="3"/>
  <c r="L935" i="3"/>
  <c r="K935" i="3" s="1"/>
  <c r="J893" i="3"/>
  <c r="O893" i="3" s="1"/>
  <c r="J894" i="3"/>
  <c r="O894" i="3" s="1"/>
  <c r="J869" i="3"/>
  <c r="O869" i="3" s="1"/>
  <c r="N893" i="3"/>
  <c r="L893" i="3"/>
  <c r="P893" i="3"/>
  <c r="N895" i="3"/>
  <c r="J957" i="3"/>
  <c r="M957" i="3" s="1"/>
  <c r="M893" i="3"/>
  <c r="L894" i="3"/>
  <c r="K894" i="3" s="1"/>
  <c r="P894" i="3"/>
  <c r="O895" i="3"/>
  <c r="M894" i="3"/>
  <c r="L895" i="3"/>
  <c r="K895" i="3" s="1"/>
  <c r="P895" i="3"/>
  <c r="L871" i="3"/>
  <c r="K871" i="3" s="1"/>
  <c r="J954" i="3"/>
  <c r="O954" i="3" s="1"/>
  <c r="J858" i="3"/>
  <c r="O858" i="3" s="1"/>
  <c r="J863" i="3"/>
  <c r="O863" i="3" s="1"/>
  <c r="M954" i="3"/>
  <c r="H955" i="3"/>
  <c r="J955" i="3" s="1"/>
  <c r="O955" i="3" s="1"/>
  <c r="N957" i="3"/>
  <c r="J875" i="3"/>
  <c r="O875" i="3" s="1"/>
  <c r="J877" i="3"/>
  <c r="O877" i="3" s="1"/>
  <c r="N954" i="3"/>
  <c r="M955" i="3"/>
  <c r="H956" i="3"/>
  <c r="J956" i="3" s="1"/>
  <c r="O956" i="3" s="1"/>
  <c r="P956" i="3"/>
  <c r="O957" i="3"/>
  <c r="N955" i="3"/>
  <c r="M956" i="3"/>
  <c r="L957" i="3"/>
  <c r="K957" i="3" s="1"/>
  <c r="P957" i="3"/>
  <c r="J880" i="3"/>
  <c r="O880" i="3" s="1"/>
  <c r="J884" i="3"/>
  <c r="O884" i="3" s="1"/>
  <c r="L954" i="3"/>
  <c r="J883" i="3"/>
  <c r="M883" i="3" s="1"/>
  <c r="J870" i="3"/>
  <c r="O870" i="3" s="1"/>
  <c r="J853" i="3"/>
  <c r="M853" i="3" s="1"/>
  <c r="J856" i="3"/>
  <c r="O856" i="3" s="1"/>
  <c r="P871" i="3"/>
  <c r="J872" i="3"/>
  <c r="M872" i="3" s="1"/>
  <c r="J837" i="3"/>
  <c r="O837" i="3" s="1"/>
  <c r="J841" i="3"/>
  <c r="J840" i="3" s="1"/>
  <c r="J850" i="3"/>
  <c r="O850" i="3" s="1"/>
  <c r="M881" i="3"/>
  <c r="J882" i="3"/>
  <c r="O882" i="3" s="1"/>
  <c r="O883" i="3"/>
  <c r="O872" i="3"/>
  <c r="P872" i="3"/>
  <c r="J878" i="3"/>
  <c r="O878" i="3" s="1"/>
  <c r="J881" i="3"/>
  <c r="O881" i="3" s="1"/>
  <c r="P882" i="3"/>
  <c r="N870" i="3"/>
  <c r="L872" i="3"/>
  <c r="K872" i="3" s="1"/>
  <c r="L875" i="3"/>
  <c r="K875" i="3" s="1"/>
  <c r="P875" i="3"/>
  <c r="L877" i="3"/>
  <c r="K877" i="3" s="1"/>
  <c r="N880" i="3"/>
  <c r="L882" i="3"/>
  <c r="K882" i="3" s="1"/>
  <c r="N884" i="3"/>
  <c r="J844" i="3"/>
  <c r="N844" i="3" s="1"/>
  <c r="L869" i="3"/>
  <c r="P869" i="3"/>
  <c r="J871" i="3"/>
  <c r="N871" i="3"/>
  <c r="M875" i="3"/>
  <c r="M877" i="3"/>
  <c r="L878" i="3"/>
  <c r="K878" i="3" s="1"/>
  <c r="P878" i="3"/>
  <c r="N881" i="3"/>
  <c r="M882" i="3"/>
  <c r="L883" i="3"/>
  <c r="K883" i="3" s="1"/>
  <c r="P883" i="3"/>
  <c r="J861" i="3"/>
  <c r="O861" i="3" s="1"/>
  <c r="M869" i="3"/>
  <c r="L870" i="3"/>
  <c r="K870" i="3" s="1"/>
  <c r="P870" i="3"/>
  <c r="N875" i="3"/>
  <c r="N877" i="3"/>
  <c r="M878" i="3"/>
  <c r="L880" i="3"/>
  <c r="K880" i="3" s="1"/>
  <c r="P880" i="3"/>
  <c r="L884" i="3"/>
  <c r="K884" i="3" s="1"/>
  <c r="P884" i="3"/>
  <c r="L881" i="3"/>
  <c r="K881" i="3" s="1"/>
  <c r="J845" i="3"/>
  <c r="N845" i="3" s="1"/>
  <c r="P851" i="3"/>
  <c r="L852" i="3"/>
  <c r="K852" i="3" s="1"/>
  <c r="J862" i="3"/>
  <c r="O862" i="3" s="1"/>
  <c r="J864" i="3"/>
  <c r="M864" i="3" s="1"/>
  <c r="L865" i="3"/>
  <c r="K865" i="3" s="1"/>
  <c r="J859" i="3"/>
  <c r="O859" i="3" s="1"/>
  <c r="N850" i="3"/>
  <c r="L851" i="3"/>
  <c r="K851" i="3" s="1"/>
  <c r="P852" i="3"/>
  <c r="P865" i="3"/>
  <c r="J851" i="3"/>
  <c r="O851" i="3" s="1"/>
  <c r="N851" i="3"/>
  <c r="M852" i="3"/>
  <c r="L853" i="3"/>
  <c r="K853" i="3" s="1"/>
  <c r="P853" i="3"/>
  <c r="L856" i="3"/>
  <c r="K856" i="3" s="1"/>
  <c r="P856" i="3"/>
  <c r="L858" i="3"/>
  <c r="K858" i="3" s="1"/>
  <c r="P858" i="3"/>
  <c r="N861" i="3"/>
  <c r="M862" i="3"/>
  <c r="L863" i="3"/>
  <c r="K863" i="3" s="1"/>
  <c r="P863" i="3"/>
  <c r="O864" i="3"/>
  <c r="J865" i="3"/>
  <c r="O865" i="3" s="1"/>
  <c r="N865" i="3"/>
  <c r="L850" i="3"/>
  <c r="P850" i="3"/>
  <c r="J852" i="3"/>
  <c r="O852" i="3" s="1"/>
  <c r="M856" i="3"/>
  <c r="M858" i="3"/>
  <c r="L859" i="3"/>
  <c r="K859" i="3" s="1"/>
  <c r="P859" i="3"/>
  <c r="N862" i="3"/>
  <c r="M863" i="3"/>
  <c r="L864" i="3"/>
  <c r="K864" i="3" s="1"/>
  <c r="P864" i="3"/>
  <c r="M844" i="3"/>
  <c r="N853" i="3"/>
  <c r="N856" i="3"/>
  <c r="N858" i="3"/>
  <c r="M859" i="3"/>
  <c r="L861" i="3"/>
  <c r="K861" i="3" s="1"/>
  <c r="P861" i="3"/>
  <c r="N863" i="3"/>
  <c r="L862" i="3"/>
  <c r="K862" i="3" s="1"/>
  <c r="O841" i="3"/>
  <c r="O840" i="3" s="1"/>
  <c r="L841" i="3"/>
  <c r="P841" i="3"/>
  <c r="P840" i="3" s="1"/>
  <c r="J833" i="3"/>
  <c r="N833" i="3" s="1"/>
  <c r="M845" i="3"/>
  <c r="J846" i="3"/>
  <c r="N846" i="3" s="1"/>
  <c r="O845" i="3"/>
  <c r="L844" i="3"/>
  <c r="P844" i="3"/>
  <c r="J831" i="3"/>
  <c r="J832" i="3"/>
  <c r="M832" i="3" s="1"/>
  <c r="J836" i="3"/>
  <c r="O846" i="3"/>
  <c r="L846" i="3"/>
  <c r="P846" i="3"/>
  <c r="J838" i="3"/>
  <c r="M838" i="3" s="1"/>
  <c r="L845" i="3"/>
  <c r="O832" i="3"/>
  <c r="J835" i="3"/>
  <c r="O835" i="3" s="1"/>
  <c r="O836" i="3"/>
  <c r="N831" i="3"/>
  <c r="M835" i="3"/>
  <c r="L836" i="3"/>
  <c r="K836" i="3" s="1"/>
  <c r="P836" i="3"/>
  <c r="N838" i="3"/>
  <c r="N832" i="3"/>
  <c r="O833" i="3"/>
  <c r="N835" i="3"/>
  <c r="M836" i="3"/>
  <c r="L837" i="3"/>
  <c r="K837" i="3" s="1"/>
  <c r="P837" i="3"/>
  <c r="O838" i="3"/>
  <c r="L831" i="3"/>
  <c r="K831" i="3" s="1"/>
  <c r="P831" i="3"/>
  <c r="L833" i="3"/>
  <c r="P833" i="3"/>
  <c r="N836" i="3"/>
  <c r="M837" i="3"/>
  <c r="L838" i="3"/>
  <c r="K838" i="3" s="1"/>
  <c r="P838" i="3"/>
  <c r="L832" i="3"/>
  <c r="K832" i="3" s="1"/>
  <c r="L835" i="3"/>
  <c r="K835" i="3" s="1"/>
  <c r="J815" i="3"/>
  <c r="O815" i="3" s="1"/>
  <c r="J821" i="3"/>
  <c r="O821" i="3" s="1"/>
  <c r="P823" i="3"/>
  <c r="J825" i="3"/>
  <c r="M822" i="3"/>
  <c r="J812" i="3"/>
  <c r="N812" i="3" s="1"/>
  <c r="J823" i="3"/>
  <c r="M823" i="3" s="1"/>
  <c r="M826" i="3"/>
  <c r="N821" i="3"/>
  <c r="L822" i="3"/>
  <c r="K822" i="3" s="1"/>
  <c r="J826" i="3"/>
  <c r="O826" i="3" s="1"/>
  <c r="O823" i="3"/>
  <c r="J824" i="3"/>
  <c r="O824" i="3" s="1"/>
  <c r="L823" i="3"/>
  <c r="K823" i="3" s="1"/>
  <c r="N825" i="3"/>
  <c r="J822" i="3"/>
  <c r="O822" i="3" s="1"/>
  <c r="N822" i="3"/>
  <c r="L824" i="3"/>
  <c r="K824" i="3" s="1"/>
  <c r="P824" i="3"/>
  <c r="O825" i="3"/>
  <c r="N826" i="3"/>
  <c r="M812" i="3"/>
  <c r="L821" i="3"/>
  <c r="P821" i="3"/>
  <c r="M824" i="3"/>
  <c r="L825" i="3"/>
  <c r="K825" i="3" s="1"/>
  <c r="P825" i="3"/>
  <c r="O813" i="3"/>
  <c r="L826" i="3"/>
  <c r="K826" i="3" s="1"/>
  <c r="N815" i="3"/>
  <c r="O812" i="3"/>
  <c r="J813" i="3"/>
  <c r="N813" i="3" s="1"/>
  <c r="J816" i="3"/>
  <c r="M816" i="3" s="1"/>
  <c r="L817" i="3"/>
  <c r="K817" i="3" s="1"/>
  <c r="P817" i="3"/>
  <c r="J794" i="3"/>
  <c r="P794" i="3" s="1"/>
  <c r="P792" i="3" s="1"/>
  <c r="J799" i="3"/>
  <c r="J800" i="3"/>
  <c r="N800" i="3" s="1"/>
  <c r="J801" i="3"/>
  <c r="N801" i="3" s="1"/>
  <c r="J805" i="3"/>
  <c r="M805" i="3" s="1"/>
  <c r="L813" i="3"/>
  <c r="P813" i="3"/>
  <c r="L815" i="3"/>
  <c r="P815" i="3"/>
  <c r="O816" i="3"/>
  <c r="J817" i="3"/>
  <c r="O817" i="3" s="1"/>
  <c r="N817" i="3"/>
  <c r="L812" i="3"/>
  <c r="M815" i="3"/>
  <c r="L816" i="3"/>
  <c r="K816" i="3" s="1"/>
  <c r="P816" i="3"/>
  <c r="M801" i="3"/>
  <c r="O801" i="3"/>
  <c r="J802" i="3"/>
  <c r="N802" i="3" s="1"/>
  <c r="P804" i="3"/>
  <c r="J807" i="3"/>
  <c r="P807" i="3" s="1"/>
  <c r="O805" i="3"/>
  <c r="O799" i="3"/>
  <c r="L800" i="3"/>
  <c r="P800" i="3"/>
  <c r="J804" i="3"/>
  <c r="O804" i="3" s="1"/>
  <c r="N804" i="3"/>
  <c r="N807" i="3"/>
  <c r="L799" i="3"/>
  <c r="P799" i="3"/>
  <c r="M800" i="3"/>
  <c r="O802" i="3"/>
  <c r="N805" i="3"/>
  <c r="O807" i="3"/>
  <c r="L802" i="3"/>
  <c r="P802" i="3"/>
  <c r="L804" i="3"/>
  <c r="K804" i="3" s="1"/>
  <c r="L807" i="3"/>
  <c r="L797" i="3" s="1"/>
  <c r="C174" i="10" s="1"/>
  <c r="M793" i="3"/>
  <c r="M792" i="3" s="1"/>
  <c r="L801" i="3"/>
  <c r="L805" i="3"/>
  <c r="K805" i="3" s="1"/>
  <c r="J734" i="3"/>
  <c r="O734" i="3" s="1"/>
  <c r="J737" i="3"/>
  <c r="O737" i="3" s="1"/>
  <c r="J742" i="3"/>
  <c r="M742" i="3" s="1"/>
  <c r="O793" i="3"/>
  <c r="J793" i="3"/>
  <c r="N794" i="3"/>
  <c r="O794" i="3"/>
  <c r="L793" i="3"/>
  <c r="L794" i="3"/>
  <c r="J780" i="3"/>
  <c r="O780" i="3" s="1"/>
  <c r="J786" i="3"/>
  <c r="J736" i="3"/>
  <c r="O736" i="3" s="1"/>
  <c r="J739" i="3"/>
  <c r="O739" i="3" s="1"/>
  <c r="J740" i="3"/>
  <c r="O740" i="3" s="1"/>
  <c r="J743" i="3"/>
  <c r="O743" i="3" s="1"/>
  <c r="J741" i="3"/>
  <c r="O741" i="3" s="1"/>
  <c r="L734" i="3"/>
  <c r="P734" i="3"/>
  <c r="L736" i="3"/>
  <c r="K736" i="3" s="1"/>
  <c r="P736" i="3"/>
  <c r="N739" i="3"/>
  <c r="M740" i="3"/>
  <c r="L741" i="3"/>
  <c r="K741" i="3" s="1"/>
  <c r="P741" i="3"/>
  <c r="O742" i="3"/>
  <c r="N743" i="3"/>
  <c r="M734" i="3"/>
  <c r="M736" i="3"/>
  <c r="L737" i="3"/>
  <c r="K737" i="3" s="1"/>
  <c r="P737" i="3"/>
  <c r="N740" i="3"/>
  <c r="M741" i="3"/>
  <c r="L742" i="3"/>
  <c r="K742" i="3" s="1"/>
  <c r="P742" i="3"/>
  <c r="N734" i="3"/>
  <c r="N736" i="3"/>
  <c r="M737" i="3"/>
  <c r="L739" i="3"/>
  <c r="K739" i="3" s="1"/>
  <c r="P739" i="3"/>
  <c r="L743" i="3"/>
  <c r="K743" i="3" s="1"/>
  <c r="P743" i="3"/>
  <c r="L740" i="3"/>
  <c r="K740" i="3" s="1"/>
  <c r="M773" i="3"/>
  <c r="O773" i="3"/>
  <c r="M774" i="3"/>
  <c r="M776" i="3"/>
  <c r="J774" i="3"/>
  <c r="O774" i="3" s="1"/>
  <c r="H775" i="3"/>
  <c r="N777" i="3"/>
  <c r="M769" i="3"/>
  <c r="N774" i="3"/>
  <c r="M775" i="3"/>
  <c r="P776" i="3"/>
  <c r="O777" i="3"/>
  <c r="J773" i="3"/>
  <c r="N775" i="3"/>
  <c r="P777" i="3"/>
  <c r="L773" i="3"/>
  <c r="L774" i="3"/>
  <c r="H768" i="3"/>
  <c r="H769" i="3" s="1"/>
  <c r="J767" i="3"/>
  <c r="O767" i="3" s="1"/>
  <c r="J766" i="3"/>
  <c r="O766" i="3"/>
  <c r="J789" i="3"/>
  <c r="M766" i="3"/>
  <c r="M767" i="3"/>
  <c r="P768" i="3"/>
  <c r="N770" i="3"/>
  <c r="N767" i="3"/>
  <c r="M768" i="3"/>
  <c r="P769" i="3"/>
  <c r="O770" i="3"/>
  <c r="N768" i="3"/>
  <c r="L766" i="3"/>
  <c r="L767" i="3"/>
  <c r="N789" i="3"/>
  <c r="N788" i="3" s="1"/>
  <c r="O789" i="3"/>
  <c r="O788" i="3" s="1"/>
  <c r="N786" i="3"/>
  <c r="N785" i="3" s="1"/>
  <c r="O786" i="3"/>
  <c r="O785" i="3" s="1"/>
  <c r="J781" i="3"/>
  <c r="O781" i="3" s="1"/>
  <c r="H782" i="3"/>
  <c r="L782" i="3" s="1"/>
  <c r="K782" i="3" s="1"/>
  <c r="M780" i="3"/>
  <c r="L781" i="3"/>
  <c r="K781" i="3" s="1"/>
  <c r="P781" i="3"/>
  <c r="N783" i="3"/>
  <c r="N780" i="3"/>
  <c r="M781" i="3"/>
  <c r="P782" i="3"/>
  <c r="N781" i="3"/>
  <c r="M782" i="3"/>
  <c r="P783" i="3"/>
  <c r="P729" i="3"/>
  <c r="L780" i="3"/>
  <c r="J760" i="3"/>
  <c r="O760" i="3" s="1"/>
  <c r="M762" i="3"/>
  <c r="J761" i="3"/>
  <c r="O761" i="3" s="1"/>
  <c r="H762" i="3"/>
  <c r="L762" i="3" s="1"/>
  <c r="K762" i="3" s="1"/>
  <c r="M760" i="3"/>
  <c r="L761" i="3"/>
  <c r="K761" i="3" s="1"/>
  <c r="P761" i="3"/>
  <c r="N763" i="3"/>
  <c r="N760" i="3"/>
  <c r="M761" i="3"/>
  <c r="P762" i="3"/>
  <c r="O763" i="3"/>
  <c r="N761" i="3"/>
  <c r="L760" i="3"/>
  <c r="J728" i="3"/>
  <c r="M728" i="3" s="1"/>
  <c r="O727" i="3"/>
  <c r="J756" i="3"/>
  <c r="M756" i="3" s="1"/>
  <c r="J753" i="3"/>
  <c r="O753" i="3" s="1"/>
  <c r="P728" i="3"/>
  <c r="M729" i="3"/>
  <c r="J754" i="3"/>
  <c r="O754" i="3" s="1"/>
  <c r="J757" i="3"/>
  <c r="O757" i="3" s="1"/>
  <c r="M727" i="3"/>
  <c r="N729" i="3"/>
  <c r="L727" i="3"/>
  <c r="P727" i="3"/>
  <c r="L728" i="3"/>
  <c r="K728" i="3" s="1"/>
  <c r="J748" i="3"/>
  <c r="J750" i="3"/>
  <c r="O750" i="3" s="1"/>
  <c r="J755" i="3"/>
  <c r="O755" i="3" s="1"/>
  <c r="N727" i="3"/>
  <c r="N728" i="3"/>
  <c r="O729" i="3"/>
  <c r="J751" i="3"/>
  <c r="O751" i="3" s="1"/>
  <c r="L729" i="3"/>
  <c r="K729" i="3" s="1"/>
  <c r="N751" i="3"/>
  <c r="L748" i="3"/>
  <c r="P748" i="3"/>
  <c r="L750" i="3"/>
  <c r="K750" i="3" s="1"/>
  <c r="P750" i="3"/>
  <c r="N753" i="3"/>
  <c r="M754" i="3"/>
  <c r="L755" i="3"/>
  <c r="K755" i="3" s="1"/>
  <c r="P755" i="3"/>
  <c r="O756" i="3"/>
  <c r="N757" i="3"/>
  <c r="M748" i="3"/>
  <c r="M750" i="3"/>
  <c r="L751" i="3"/>
  <c r="K751" i="3" s="1"/>
  <c r="P751" i="3"/>
  <c r="N754" i="3"/>
  <c r="M755" i="3"/>
  <c r="L756" i="3"/>
  <c r="K756" i="3" s="1"/>
  <c r="P756" i="3"/>
  <c r="N750" i="3"/>
  <c r="L753" i="3"/>
  <c r="K753" i="3" s="1"/>
  <c r="P753" i="3"/>
  <c r="L757" i="3"/>
  <c r="K757" i="3" s="1"/>
  <c r="P757" i="3"/>
  <c r="L754" i="3"/>
  <c r="K754" i="3" s="1"/>
  <c r="Q1064" i="3" l="1"/>
  <c r="E258" i="11" s="1"/>
  <c r="E288" i="11"/>
  <c r="F243" i="10"/>
  <c r="E282" i="11"/>
  <c r="F237" i="10"/>
  <c r="E289" i="11"/>
  <c r="F244" i="10"/>
  <c r="E261" i="11"/>
  <c r="F216" i="10"/>
  <c r="E279" i="11"/>
  <c r="F234" i="10"/>
  <c r="E287" i="11"/>
  <c r="F242" i="10"/>
  <c r="E286" i="11"/>
  <c r="F241" i="10"/>
  <c r="E275" i="11"/>
  <c r="F230" i="10"/>
  <c r="E262" i="11"/>
  <c r="F217" i="10"/>
  <c r="E277" i="11"/>
  <c r="F232" i="10"/>
  <c r="E285" i="11"/>
  <c r="F240" i="10"/>
  <c r="L959" i="3"/>
  <c r="C197" i="10" s="1"/>
  <c r="K748" i="3"/>
  <c r="L746" i="3"/>
  <c r="K727" i="3"/>
  <c r="L725" i="3"/>
  <c r="C160" i="10" s="1"/>
  <c r="K893" i="3"/>
  <c r="L892" i="3"/>
  <c r="C187" i="10" s="1"/>
  <c r="K1015" i="3"/>
  <c r="L1013" i="3"/>
  <c r="C207" i="10" s="1"/>
  <c r="K1029" i="3"/>
  <c r="L1027" i="3"/>
  <c r="K780" i="3"/>
  <c r="K734" i="3"/>
  <c r="L732" i="3"/>
  <c r="C162" i="10" s="1"/>
  <c r="K794" i="3"/>
  <c r="L792" i="3"/>
  <c r="C172" i="10" s="1"/>
  <c r="K954" i="3"/>
  <c r="K911" i="3"/>
  <c r="K899" i="3"/>
  <c r="L897" i="3"/>
  <c r="C188" i="10" s="1"/>
  <c r="K1008" i="3"/>
  <c r="L1007" i="3"/>
  <c r="K1145" i="3"/>
  <c r="L1140" i="3"/>
  <c r="C233" i="10" s="1"/>
  <c r="L1059" i="3"/>
  <c r="C211" i="10" s="1"/>
  <c r="C213" i="10"/>
  <c r="K869" i="3"/>
  <c r="L867" i="3"/>
  <c r="C184" i="10" s="1"/>
  <c r="K969" i="3"/>
  <c r="K1048" i="3"/>
  <c r="L1046" i="3"/>
  <c r="C210" i="10" s="1"/>
  <c r="L1167" i="3"/>
  <c r="K760" i="3"/>
  <c r="K767" i="3"/>
  <c r="K774" i="3"/>
  <c r="K815" i="3"/>
  <c r="L810" i="3"/>
  <c r="C176" i="10" s="1"/>
  <c r="K821" i="3"/>
  <c r="L820" i="3"/>
  <c r="C178" i="10" s="1"/>
  <c r="K850" i="3"/>
  <c r="L848" i="3"/>
  <c r="C183" i="10" s="1"/>
  <c r="K889" i="3"/>
  <c r="L887" i="3"/>
  <c r="C186" i="10" s="1"/>
  <c r="K976" i="3"/>
  <c r="L974" i="3"/>
  <c r="C199" i="10" s="1"/>
  <c r="K1134" i="3"/>
  <c r="L1130" i="3"/>
  <c r="P746" i="3"/>
  <c r="P786" i="3"/>
  <c r="P785" i="3" s="1"/>
  <c r="J785" i="3"/>
  <c r="O1008" i="3"/>
  <c r="O1007" i="3" s="1"/>
  <c r="Q1076" i="3"/>
  <c r="N746" i="3"/>
  <c r="O748" i="3"/>
  <c r="Q748" i="3" s="1"/>
  <c r="M746" i="3"/>
  <c r="P789" i="3"/>
  <c r="P788" i="3" s="1"/>
  <c r="J788" i="3"/>
  <c r="O831" i="3"/>
  <c r="O829" i="3" s="1"/>
  <c r="O1029" i="3"/>
  <c r="O1027" i="3" s="1"/>
  <c r="N1060" i="3"/>
  <c r="J1172" i="3"/>
  <c r="M1172" i="3" s="1"/>
  <c r="Q1172" i="3" s="1"/>
  <c r="Q1167" i="3" s="1"/>
  <c r="O1167" i="3"/>
  <c r="Q1062" i="3"/>
  <c r="L768" i="3"/>
  <c r="K768" i="3" s="1"/>
  <c r="J768" i="3"/>
  <c r="O768" i="3" s="1"/>
  <c r="Q768" i="3" s="1"/>
  <c r="J1140" i="3"/>
  <c r="Q1145" i="3"/>
  <c r="Q1140" i="3" s="1"/>
  <c r="M1140" i="3"/>
  <c r="M1134" i="3"/>
  <c r="J1130" i="3"/>
  <c r="J949" i="3"/>
  <c r="Q1042" i="3"/>
  <c r="Q1032" i="3"/>
  <c r="Q1024" i="3"/>
  <c r="N1007" i="3"/>
  <c r="Q1043" i="3"/>
  <c r="Q1056" i="3"/>
  <c r="Q1053" i="3"/>
  <c r="Q1057" i="3"/>
  <c r="J1046" i="3"/>
  <c r="J1026" i="3" s="1"/>
  <c r="J1027" i="3"/>
  <c r="N1046" i="3"/>
  <c r="N1026" i="3" s="1"/>
  <c r="P1046" i="3"/>
  <c r="P1026" i="3" s="1"/>
  <c r="O1046" i="3"/>
  <c r="Q1048" i="3"/>
  <c r="M1046" i="3"/>
  <c r="M1026" i="3" s="1"/>
  <c r="Q1030" i="3"/>
  <c r="Q1054" i="3"/>
  <c r="Q1038" i="3"/>
  <c r="J1007" i="3"/>
  <c r="Q1055" i="3"/>
  <c r="Q1050" i="3"/>
  <c r="P1027" i="3"/>
  <c r="N1027" i="3"/>
  <c r="Q1051" i="3"/>
  <c r="M1027" i="3"/>
  <c r="Q1044" i="3"/>
  <c r="Q1040" i="3"/>
  <c r="P1007" i="3"/>
  <c r="Q1037" i="3"/>
  <c r="M1007" i="3"/>
  <c r="Q1035" i="3"/>
  <c r="Q1041" i="3"/>
  <c r="Q1031" i="3"/>
  <c r="P951" i="3"/>
  <c r="P949" i="3" s="1"/>
  <c r="Q1018" i="3"/>
  <c r="Q1011" i="3"/>
  <c r="O1013" i="3"/>
  <c r="Q1010" i="3"/>
  <c r="N1013" i="3"/>
  <c r="N1006" i="3" s="1"/>
  <c r="Q1022" i="3"/>
  <c r="P1013" i="3"/>
  <c r="P1006" i="3" s="1"/>
  <c r="Q1009" i="3"/>
  <c r="M1013" i="3"/>
  <c r="M1006" i="3" s="1"/>
  <c r="J1013" i="3"/>
  <c r="J1006" i="3" s="1"/>
  <c r="P1004" i="3"/>
  <c r="P1003" i="3" s="1"/>
  <c r="Q1017" i="3"/>
  <c r="Q1020" i="3"/>
  <c r="J959" i="3"/>
  <c r="M985" i="3"/>
  <c r="Q964" i="3"/>
  <c r="Q1023" i="3"/>
  <c r="Q965" i="3"/>
  <c r="J985" i="3"/>
  <c r="N961" i="3"/>
  <c r="N959" i="3" s="1"/>
  <c r="Q1021" i="3"/>
  <c r="O985" i="3"/>
  <c r="Q1015" i="3"/>
  <c r="M959" i="3"/>
  <c r="P959" i="3"/>
  <c r="O959" i="3"/>
  <c r="Q966" i="3"/>
  <c r="N985" i="3"/>
  <c r="Q962" i="3"/>
  <c r="Q986" i="3"/>
  <c r="M974" i="3"/>
  <c r="Q988" i="3"/>
  <c r="N974" i="3"/>
  <c r="P974" i="3"/>
  <c r="Q983" i="3"/>
  <c r="O976" i="3"/>
  <c r="O974" i="3" s="1"/>
  <c r="J974" i="3"/>
  <c r="Q987" i="3"/>
  <c r="Q980" i="3"/>
  <c r="Q982" i="3"/>
  <c r="Q978" i="3"/>
  <c r="Q981" i="3"/>
  <c r="Q977" i="3"/>
  <c r="Q940" i="3"/>
  <c r="P990" i="3"/>
  <c r="P996" i="3"/>
  <c r="P995" i="3" s="1"/>
  <c r="J995" i="3"/>
  <c r="O990" i="3"/>
  <c r="Q941" i="3"/>
  <c r="Q991" i="3"/>
  <c r="N990" i="3"/>
  <c r="Q993" i="3"/>
  <c r="J990" i="3"/>
  <c r="P937" i="3"/>
  <c r="Q944" i="3"/>
  <c r="O937" i="3"/>
  <c r="Q992" i="3"/>
  <c r="M937" i="3"/>
  <c r="Q947" i="3"/>
  <c r="Q939" i="3"/>
  <c r="N937" i="3"/>
  <c r="J937" i="3"/>
  <c r="M887" i="3"/>
  <c r="Q942" i="3"/>
  <c r="N887" i="3"/>
  <c r="Q945" i="3"/>
  <c r="O887" i="3"/>
  <c r="N949" i="3"/>
  <c r="O949" i="3"/>
  <c r="L945" i="3"/>
  <c r="K945" i="3" s="1"/>
  <c r="Q950" i="3"/>
  <c r="J887" i="3"/>
  <c r="Q889" i="3"/>
  <c r="P968" i="3"/>
  <c r="P916" i="3"/>
  <c r="Q890" i="3"/>
  <c r="N968" i="3"/>
  <c r="J919" i="3"/>
  <c r="O919" i="3" s="1"/>
  <c r="Q919" i="3" s="1"/>
  <c r="Q970" i="3"/>
  <c r="Q969" i="3"/>
  <c r="L919" i="3"/>
  <c r="K919" i="3" s="1"/>
  <c r="J971" i="3"/>
  <c r="O971" i="3" s="1"/>
  <c r="Q971" i="3" s="1"/>
  <c r="H972" i="3"/>
  <c r="L971" i="3"/>
  <c r="K971" i="3" s="1"/>
  <c r="P923" i="3"/>
  <c r="N917" i="3"/>
  <c r="N916" i="3" s="1"/>
  <c r="Q902" i="3"/>
  <c r="L926" i="3"/>
  <c r="K926" i="3" s="1"/>
  <c r="H927" i="3"/>
  <c r="L927" i="3" s="1"/>
  <c r="K927" i="3" s="1"/>
  <c r="N924" i="3"/>
  <c r="N923" i="3" s="1"/>
  <c r="N897" i="3"/>
  <c r="J897" i="3"/>
  <c r="Q918" i="3"/>
  <c r="J920" i="3"/>
  <c r="O920" i="3" s="1"/>
  <c r="Q920" i="3" s="1"/>
  <c r="H921" i="3"/>
  <c r="Q925" i="3"/>
  <c r="P897" i="3"/>
  <c r="M897" i="3"/>
  <c r="O899" i="3"/>
  <c r="O897" i="3" s="1"/>
  <c r="Q926" i="3"/>
  <c r="P998" i="3"/>
  <c r="Q908" i="3"/>
  <c r="Q904" i="3"/>
  <c r="P910" i="3"/>
  <c r="N999" i="3"/>
  <c r="J998" i="3"/>
  <c r="Q901" i="3"/>
  <c r="O998" i="3"/>
  <c r="Q907" i="3"/>
  <c r="M998" i="3"/>
  <c r="Q906" i="3"/>
  <c r="Q905" i="3"/>
  <c r="K1001" i="3"/>
  <c r="Q1000" i="3"/>
  <c r="N910" i="3"/>
  <c r="P931" i="3"/>
  <c r="P930" i="3" s="1"/>
  <c r="Q1001" i="3"/>
  <c r="Q911" i="3"/>
  <c r="J913" i="3"/>
  <c r="O913" i="3" s="1"/>
  <c r="Q913" i="3" s="1"/>
  <c r="H914" i="3"/>
  <c r="Q912" i="3"/>
  <c r="P953" i="3"/>
  <c r="O892" i="3"/>
  <c r="N934" i="3"/>
  <c r="N933" i="3" s="1"/>
  <c r="J933" i="3"/>
  <c r="M933" i="3"/>
  <c r="Q935" i="3"/>
  <c r="O933" i="3"/>
  <c r="J892" i="3"/>
  <c r="Q893" i="3"/>
  <c r="M892" i="3"/>
  <c r="N892" i="3"/>
  <c r="P892" i="3"/>
  <c r="N867" i="3"/>
  <c r="P867" i="3"/>
  <c r="M867" i="3"/>
  <c r="O953" i="3"/>
  <c r="M953" i="3"/>
  <c r="N953" i="3"/>
  <c r="Q895" i="3"/>
  <c r="J953" i="3"/>
  <c r="Q894" i="3"/>
  <c r="N841" i="3"/>
  <c r="N840" i="3" s="1"/>
  <c r="Q954" i="3"/>
  <c r="L955" i="3"/>
  <c r="K955" i="3" s="1"/>
  <c r="Q956" i="3"/>
  <c r="Q863" i="3"/>
  <c r="L956" i="3"/>
  <c r="K956" i="3" s="1"/>
  <c r="Q957" i="3"/>
  <c r="Q955" i="3"/>
  <c r="J867" i="3"/>
  <c r="Q869" i="3"/>
  <c r="Q882" i="3"/>
  <c r="Q872" i="3"/>
  <c r="O871" i="3"/>
  <c r="Q871" i="3" s="1"/>
  <c r="J843" i="3"/>
  <c r="J828" i="3" s="1"/>
  <c r="Q850" i="3"/>
  <c r="Q878" i="3"/>
  <c r="Q881" i="3"/>
  <c r="Q870" i="3"/>
  <c r="Q875" i="3"/>
  <c r="Q884" i="3"/>
  <c r="M848" i="3"/>
  <c r="Q880" i="3"/>
  <c r="P848" i="3"/>
  <c r="N848" i="3"/>
  <c r="Q883" i="3"/>
  <c r="Q877" i="3"/>
  <c r="J848" i="3"/>
  <c r="O848" i="3"/>
  <c r="Q864" i="3"/>
  <c r="Q861" i="3"/>
  <c r="Q865" i="3"/>
  <c r="Q859" i="3"/>
  <c r="Q851" i="3"/>
  <c r="Q845" i="3"/>
  <c r="Q856" i="3"/>
  <c r="Q852" i="3"/>
  <c r="N843" i="3"/>
  <c r="Q844" i="3"/>
  <c r="P843" i="3"/>
  <c r="P828" i="3" s="1"/>
  <c r="M843" i="3"/>
  <c r="M828" i="3" s="1"/>
  <c r="Q853" i="3"/>
  <c r="Q858" i="3"/>
  <c r="Q862" i="3"/>
  <c r="O843" i="3"/>
  <c r="M829" i="3"/>
  <c r="Q846" i="3"/>
  <c r="N829" i="3"/>
  <c r="J829" i="3"/>
  <c r="Q833" i="3"/>
  <c r="P829" i="3"/>
  <c r="Q837" i="3"/>
  <c r="Q836" i="3"/>
  <c r="Q835" i="3"/>
  <c r="M820" i="3"/>
  <c r="Q832" i="3"/>
  <c r="Q838" i="3"/>
  <c r="J820" i="3"/>
  <c r="Q823" i="3"/>
  <c r="Q801" i="3"/>
  <c r="Q812" i="3"/>
  <c r="P820" i="3"/>
  <c r="N820" i="3"/>
  <c r="Q821" i="3"/>
  <c r="O820" i="3"/>
  <c r="Q826" i="3"/>
  <c r="Q825" i="3"/>
  <c r="N810" i="3"/>
  <c r="Q800" i="3"/>
  <c r="Q813" i="3"/>
  <c r="Q824" i="3"/>
  <c r="Q822" i="3"/>
  <c r="M810" i="3"/>
  <c r="O810" i="3"/>
  <c r="J810" i="3"/>
  <c r="P810" i="3"/>
  <c r="Q817" i="3"/>
  <c r="Q815" i="3"/>
  <c r="Q816" i="3"/>
  <c r="J797" i="3"/>
  <c r="O797" i="3"/>
  <c r="M797" i="3"/>
  <c r="P797" i="3"/>
  <c r="Q804" i="3"/>
  <c r="N799" i="3"/>
  <c r="N797" i="3" s="1"/>
  <c r="Q807" i="3"/>
  <c r="Q802" i="3"/>
  <c r="Q805" i="3"/>
  <c r="Q794" i="3"/>
  <c r="N732" i="3"/>
  <c r="Q741" i="3"/>
  <c r="P732" i="3"/>
  <c r="N793" i="3"/>
  <c r="J792" i="3"/>
  <c r="O792" i="3"/>
  <c r="M732" i="3"/>
  <c r="O732" i="3"/>
  <c r="J732" i="3"/>
  <c r="Q743" i="3"/>
  <c r="Q739" i="3"/>
  <c r="Q742" i="3"/>
  <c r="Q737" i="3"/>
  <c r="Q734" i="3"/>
  <c r="Q740" i="3"/>
  <c r="Q736" i="3"/>
  <c r="P765" i="3"/>
  <c r="P772" i="3"/>
  <c r="N773" i="3"/>
  <c r="Q774" i="3"/>
  <c r="J775" i="3"/>
  <c r="O775" i="3" s="1"/>
  <c r="Q775" i="3" s="1"/>
  <c r="H776" i="3"/>
  <c r="L775" i="3"/>
  <c r="K775" i="3" s="1"/>
  <c r="N766" i="3"/>
  <c r="N765" i="3" s="1"/>
  <c r="Q767" i="3"/>
  <c r="J769" i="3"/>
  <c r="O769" i="3" s="1"/>
  <c r="Q769" i="3" s="1"/>
  <c r="H770" i="3"/>
  <c r="P779" i="3"/>
  <c r="L769" i="3"/>
  <c r="K769" i="3" s="1"/>
  <c r="N779" i="3"/>
  <c r="P759" i="3"/>
  <c r="J782" i="3"/>
  <c r="O782" i="3" s="1"/>
  <c r="Q782" i="3" s="1"/>
  <c r="H783" i="3"/>
  <c r="Q781" i="3"/>
  <c r="Q780" i="3"/>
  <c r="N759" i="3"/>
  <c r="Q761" i="3"/>
  <c r="J762" i="3"/>
  <c r="O762" i="3" s="1"/>
  <c r="Q762" i="3" s="1"/>
  <c r="H763" i="3"/>
  <c r="P725" i="3"/>
  <c r="Q760" i="3"/>
  <c r="J725" i="3"/>
  <c r="M725" i="3"/>
  <c r="N725" i="3"/>
  <c r="J746" i="3"/>
  <c r="O725" i="3"/>
  <c r="Q729" i="3"/>
  <c r="Q755" i="3"/>
  <c r="Q727" i="3"/>
  <c r="Q750" i="3"/>
  <c r="Q753" i="3"/>
  <c r="Q728" i="3"/>
  <c r="Q751" i="3"/>
  <c r="Q757" i="3"/>
  <c r="Q756" i="3"/>
  <c r="Q754" i="3"/>
  <c r="Q841" i="3" l="1"/>
  <c r="Q840" i="3" s="1"/>
  <c r="J1124" i="3"/>
  <c r="F213" i="10"/>
  <c r="Q831" i="3"/>
  <c r="E283" i="11"/>
  <c r="F238" i="10"/>
  <c r="E278" i="11"/>
  <c r="F233" i="10"/>
  <c r="E226" i="11"/>
  <c r="F181" i="10"/>
  <c r="Q1008" i="3"/>
  <c r="F215" i="10"/>
  <c r="Q789" i="3"/>
  <c r="Q788" i="3" s="1"/>
  <c r="C231" i="10"/>
  <c r="L1124" i="3"/>
  <c r="C229" i="10" s="1"/>
  <c r="L953" i="3"/>
  <c r="C196" i="10" s="1"/>
  <c r="C209" i="10"/>
  <c r="L1026" i="3"/>
  <c r="C208" i="10" s="1"/>
  <c r="Q786" i="3"/>
  <c r="Q785" i="3" s="1"/>
  <c r="C206" i="10"/>
  <c r="L1006" i="3"/>
  <c r="C205" i="10" s="1"/>
  <c r="C164" i="10"/>
  <c r="C238" i="10"/>
  <c r="L1153" i="3"/>
  <c r="C236" i="10" s="1"/>
  <c r="P886" i="3"/>
  <c r="P745" i="3"/>
  <c r="N828" i="3"/>
  <c r="Q1029" i="3"/>
  <c r="Q1027" i="3" s="1"/>
  <c r="O746" i="3"/>
  <c r="O1006" i="3"/>
  <c r="Q1060" i="3"/>
  <c r="Q1059" i="3"/>
  <c r="O828" i="3"/>
  <c r="Q746" i="3"/>
  <c r="O1026" i="3"/>
  <c r="J1167" i="3"/>
  <c r="M1167" i="3"/>
  <c r="Q1134" i="3"/>
  <c r="Q1130" i="3" s="1"/>
  <c r="M1130" i="3"/>
  <c r="M1124" i="3" s="1"/>
  <c r="Q951" i="3"/>
  <c r="Q949" i="3" s="1"/>
  <c r="Q1046" i="3"/>
  <c r="Q1013" i="3"/>
  <c r="Q1007" i="3"/>
  <c r="Q1004" i="3"/>
  <c r="Q1003" i="3" s="1"/>
  <c r="Q961" i="3"/>
  <c r="Q959" i="3" s="1"/>
  <c r="Q976" i="3"/>
  <c r="Q974" i="3" s="1"/>
  <c r="Q996" i="3"/>
  <c r="Q995" i="3" s="1"/>
  <c r="Q985" i="3"/>
  <c r="Q990" i="3"/>
  <c r="Q937" i="3"/>
  <c r="Q887" i="3"/>
  <c r="Q924" i="3"/>
  <c r="O968" i="3"/>
  <c r="J927" i="3"/>
  <c r="O927" i="3" s="1"/>
  <c r="Q927" i="3" s="1"/>
  <c r="H928" i="3"/>
  <c r="L928" i="3" s="1"/>
  <c r="K928" i="3" s="1"/>
  <c r="Q917" i="3"/>
  <c r="J972" i="3"/>
  <c r="M972" i="3" s="1"/>
  <c r="L972" i="3"/>
  <c r="K972" i="3" s="1"/>
  <c r="O916" i="3"/>
  <c r="L921" i="3"/>
  <c r="K921" i="3" s="1"/>
  <c r="J921" i="3"/>
  <c r="M921" i="3" s="1"/>
  <c r="Q899" i="3"/>
  <c r="Q897" i="3" s="1"/>
  <c r="Q999" i="3"/>
  <c r="Q998" i="3" s="1"/>
  <c r="N998" i="3"/>
  <c r="N886" i="3" s="1"/>
  <c r="Q931" i="3"/>
  <c r="Q930" i="3" s="1"/>
  <c r="O910" i="3"/>
  <c r="L914" i="3"/>
  <c r="J914" i="3"/>
  <c r="M914" i="3" s="1"/>
  <c r="Q934" i="3"/>
  <c r="Q933" i="3" s="1"/>
  <c r="Q892" i="3"/>
  <c r="O867" i="3"/>
  <c r="Q867" i="3"/>
  <c r="Q953" i="3"/>
  <c r="Q848" i="3"/>
  <c r="Q843" i="3"/>
  <c r="Q829" i="3"/>
  <c r="Q820" i="3"/>
  <c r="Q810" i="3"/>
  <c r="Q799" i="3"/>
  <c r="Q797" i="3" s="1"/>
  <c r="Q732" i="3"/>
  <c r="N792" i="3"/>
  <c r="Q793" i="3"/>
  <c r="Q792" i="3" s="1"/>
  <c r="Q773" i="3"/>
  <c r="N772" i="3"/>
  <c r="N745" i="3" s="1"/>
  <c r="J776" i="3"/>
  <c r="O776" i="3" s="1"/>
  <c r="Q776" i="3" s="1"/>
  <c r="H777" i="3"/>
  <c r="L776" i="3"/>
  <c r="K776" i="3" s="1"/>
  <c r="Q766" i="3"/>
  <c r="O765" i="3"/>
  <c r="L770" i="3"/>
  <c r="K770" i="3" s="1"/>
  <c r="J770" i="3"/>
  <c r="M770" i="3" s="1"/>
  <c r="O779" i="3"/>
  <c r="J783" i="3"/>
  <c r="M783" i="3" s="1"/>
  <c r="L783" i="3"/>
  <c r="O759" i="3"/>
  <c r="L763" i="3"/>
  <c r="J763" i="3"/>
  <c r="M763" i="3" s="1"/>
  <c r="Q725" i="3"/>
  <c r="L374" i="3"/>
  <c r="C77" i="10" s="1"/>
  <c r="L371" i="3"/>
  <c r="C76" i="10" s="1"/>
  <c r="L367" i="3"/>
  <c r="C74" i="10" s="1"/>
  <c r="L364" i="3"/>
  <c r="C73" i="10" s="1"/>
  <c r="J665" i="3"/>
  <c r="G355" i="3"/>
  <c r="G344" i="3"/>
  <c r="K37" i="3"/>
  <c r="K31" i="3"/>
  <c r="K28" i="3"/>
  <c r="K27" i="3"/>
  <c r="K24" i="3"/>
  <c r="K23" i="3"/>
  <c r="K22" i="3"/>
  <c r="H112" i="3"/>
  <c r="S720" i="3"/>
  <c r="H631" i="3"/>
  <c r="H632" i="3" s="1"/>
  <c r="H633" i="3" s="1"/>
  <c r="H634" i="3" s="1"/>
  <c r="H639" i="3"/>
  <c r="H625" i="3"/>
  <c r="H626" i="3" s="1"/>
  <c r="H627" i="3" s="1"/>
  <c r="H628" i="3" s="1"/>
  <c r="H629" i="3" s="1"/>
  <c r="H623" i="3"/>
  <c r="H622" i="3"/>
  <c r="H620" i="3"/>
  <c r="H613" i="3"/>
  <c r="H614" i="3" s="1"/>
  <c r="H615" i="3" s="1"/>
  <c r="H616" i="3" s="1"/>
  <c r="H607" i="3"/>
  <c r="H608" i="3" s="1"/>
  <c r="H609" i="3" s="1"/>
  <c r="H610" i="3" s="1"/>
  <c r="H602" i="3"/>
  <c r="H603" i="3" s="1"/>
  <c r="H604" i="3" s="1"/>
  <c r="H582" i="3"/>
  <c r="H585" i="3"/>
  <c r="H579" i="3"/>
  <c r="H576" i="3"/>
  <c r="H573" i="3"/>
  <c r="H557" i="3"/>
  <c r="H556" i="3"/>
  <c r="H555" i="3"/>
  <c r="F554" i="3"/>
  <c r="H552" i="3"/>
  <c r="H551" i="3"/>
  <c r="H549" i="3"/>
  <c r="H548" i="3"/>
  <c r="H547" i="3"/>
  <c r="H546" i="3"/>
  <c r="F538" i="3"/>
  <c r="F530" i="3"/>
  <c r="F531" i="3" s="1"/>
  <c r="H527" i="3"/>
  <c r="H526" i="3"/>
  <c r="H523" i="3"/>
  <c r="H522" i="3"/>
  <c r="H521" i="3"/>
  <c r="H520" i="3"/>
  <c r="H517" i="3"/>
  <c r="H516" i="3"/>
  <c r="H515" i="3"/>
  <c r="H514" i="3"/>
  <c r="H511" i="3"/>
  <c r="H510" i="3"/>
  <c r="H509" i="3"/>
  <c r="H506" i="3"/>
  <c r="H505" i="3"/>
  <c r="H504" i="3"/>
  <c r="H499" i="3"/>
  <c r="H501" i="3"/>
  <c r="H500" i="3"/>
  <c r="H496" i="3"/>
  <c r="H495" i="3"/>
  <c r="H494" i="3"/>
  <c r="H493" i="3"/>
  <c r="H491" i="3"/>
  <c r="H490" i="3"/>
  <c r="H489" i="3"/>
  <c r="H481" i="3"/>
  <c r="H482" i="3" s="1"/>
  <c r="H483" i="3" s="1"/>
  <c r="H478" i="3"/>
  <c r="H476" i="3"/>
  <c r="H477" i="3" s="1"/>
  <c r="H473" i="3"/>
  <c r="H471" i="3"/>
  <c r="H472" i="3" s="1"/>
  <c r="I467" i="3"/>
  <c r="I466" i="3"/>
  <c r="I465" i="3"/>
  <c r="F465" i="3"/>
  <c r="F466" i="3" s="1"/>
  <c r="F459" i="3"/>
  <c r="F460" i="3" s="1"/>
  <c r="F461" i="3" s="1"/>
  <c r="F447" i="3"/>
  <c r="F428" i="3"/>
  <c r="F438" i="3"/>
  <c r="F439" i="3" s="1"/>
  <c r="F440" i="3" s="1"/>
  <c r="F441" i="3" s="1"/>
  <c r="H423" i="3"/>
  <c r="H422" i="3"/>
  <c r="H421" i="3"/>
  <c r="H419" i="3"/>
  <c r="H418" i="3"/>
  <c r="H414" i="3"/>
  <c r="H413" i="3"/>
  <c r="H412" i="3"/>
  <c r="H410" i="3"/>
  <c r="H409" i="3"/>
  <c r="H405" i="3"/>
  <c r="H404" i="3"/>
  <c r="H403" i="3"/>
  <c r="H400" i="3"/>
  <c r="H401" i="3" s="1"/>
  <c r="H396" i="3"/>
  <c r="H395" i="3"/>
  <c r="H394" i="3"/>
  <c r="H392" i="3"/>
  <c r="H391" i="3"/>
  <c r="H375" i="3"/>
  <c r="H372" i="3"/>
  <c r="H368" i="3"/>
  <c r="H365" i="3"/>
  <c r="H358" i="3"/>
  <c r="H359" i="3" s="1"/>
  <c r="H360" i="3" s="1"/>
  <c r="H355" i="3"/>
  <c r="H350" i="3"/>
  <c r="H353" i="3" s="1"/>
  <c r="H349" i="3"/>
  <c r="H348" i="3"/>
  <c r="H344" i="3"/>
  <c r="H339" i="3"/>
  <c r="H338" i="3"/>
  <c r="H341" i="3" s="1"/>
  <c r="H342" i="3" s="1"/>
  <c r="H337" i="3"/>
  <c r="H336" i="3"/>
  <c r="H332" i="3"/>
  <c r="H327" i="3"/>
  <c r="H326" i="3"/>
  <c r="H329" i="3" s="1"/>
  <c r="H330" i="3" s="1"/>
  <c r="H325" i="3"/>
  <c r="H324" i="3"/>
  <c r="H320" i="3"/>
  <c r="H315" i="3"/>
  <c r="H314" i="3"/>
  <c r="H317" i="3" s="1"/>
  <c r="H318" i="3" s="1"/>
  <c r="H313" i="3"/>
  <c r="H312" i="3"/>
  <c r="H307" i="3"/>
  <c r="H302" i="3"/>
  <c r="H301" i="3"/>
  <c r="H305" i="3" s="1"/>
  <c r="H300" i="3"/>
  <c r="H299" i="3"/>
  <c r="H295" i="3"/>
  <c r="H294" i="3"/>
  <c r="H291" i="3"/>
  <c r="H290" i="3"/>
  <c r="H287" i="3"/>
  <c r="H286" i="3"/>
  <c r="H283" i="3"/>
  <c r="H282" i="3"/>
  <c r="H274" i="3"/>
  <c r="H275" i="3" s="1"/>
  <c r="H276" i="3" s="1"/>
  <c r="H277" i="3" s="1"/>
  <c r="H267" i="3"/>
  <c r="H268" i="3" s="1"/>
  <c r="H269" i="3" s="1"/>
  <c r="H270" i="3" s="1"/>
  <c r="H271" i="3" s="1"/>
  <c r="H260" i="3"/>
  <c r="H261" i="3" s="1"/>
  <c r="H262" i="3" s="1"/>
  <c r="H263" i="3" s="1"/>
  <c r="H264" i="3" s="1"/>
  <c r="H253" i="3"/>
  <c r="H254" i="3" s="1"/>
  <c r="H255" i="3" s="1"/>
  <c r="H256" i="3" s="1"/>
  <c r="H257" i="3" s="1"/>
  <c r="H245" i="3"/>
  <c r="H246" i="3" s="1"/>
  <c r="H247" i="3" s="1"/>
  <c r="H248" i="3" s="1"/>
  <c r="H249" i="3" s="1"/>
  <c r="H238" i="3"/>
  <c r="H239" i="3" s="1"/>
  <c r="H240" i="3" s="1"/>
  <c r="H241" i="3" s="1"/>
  <c r="H242" i="3" s="1"/>
  <c r="H231" i="3"/>
  <c r="H232" i="3" s="1"/>
  <c r="H233" i="3" s="1"/>
  <c r="H234" i="3" s="1"/>
  <c r="H235" i="3" s="1"/>
  <c r="H223" i="3"/>
  <c r="H224" i="3" s="1"/>
  <c r="H225" i="3" s="1"/>
  <c r="H226" i="3" s="1"/>
  <c r="H227" i="3" s="1"/>
  <c r="H216" i="3"/>
  <c r="H217" i="3" s="1"/>
  <c r="H218" i="3" s="1"/>
  <c r="H219" i="3" s="1"/>
  <c r="H220" i="3" s="1"/>
  <c r="H208" i="3"/>
  <c r="H209" i="3" s="1"/>
  <c r="H210" i="3" s="1"/>
  <c r="H211" i="3" s="1"/>
  <c r="H212" i="3" s="1"/>
  <c r="H201" i="3"/>
  <c r="H202" i="3" s="1"/>
  <c r="H203" i="3" s="1"/>
  <c r="H204" i="3" s="1"/>
  <c r="H205" i="3" s="1"/>
  <c r="H193" i="3"/>
  <c r="H194" i="3" s="1"/>
  <c r="H195" i="3" s="1"/>
  <c r="H196" i="3" s="1"/>
  <c r="H197" i="3" s="1"/>
  <c r="H186" i="3"/>
  <c r="H187" i="3" s="1"/>
  <c r="H188" i="3" s="1"/>
  <c r="H189" i="3" s="1"/>
  <c r="H190" i="3" s="1"/>
  <c r="H179" i="3"/>
  <c r="H180" i="3" s="1"/>
  <c r="H181" i="3" s="1"/>
  <c r="H182" i="3" s="1"/>
  <c r="H175" i="3"/>
  <c r="H172" i="3"/>
  <c r="H171" i="3"/>
  <c r="H170" i="3"/>
  <c r="H169" i="3"/>
  <c r="H168" i="3"/>
  <c r="H166" i="3"/>
  <c r="H165" i="3"/>
  <c r="H163" i="3"/>
  <c r="H160" i="3"/>
  <c r="H159" i="3"/>
  <c r="H158" i="3"/>
  <c r="H157" i="3"/>
  <c r="H153" i="3"/>
  <c r="H152" i="3"/>
  <c r="H151" i="3"/>
  <c r="H150" i="3"/>
  <c r="L134" i="3"/>
  <c r="K134" i="3" s="1"/>
  <c r="H147" i="3"/>
  <c r="H146" i="3"/>
  <c r="H145" i="3"/>
  <c r="H144" i="3"/>
  <c r="H143" i="3"/>
  <c r="H141" i="3"/>
  <c r="H140" i="3"/>
  <c r="H138" i="3"/>
  <c r="H132" i="3"/>
  <c r="H131" i="3"/>
  <c r="H130" i="3"/>
  <c r="H129" i="3"/>
  <c r="H128" i="3"/>
  <c r="H127" i="3"/>
  <c r="H124" i="3"/>
  <c r="H123" i="3"/>
  <c r="H122" i="3"/>
  <c r="H121" i="3"/>
  <c r="H115" i="3"/>
  <c r="H106" i="3"/>
  <c r="H105" i="3"/>
  <c r="H104" i="3"/>
  <c r="H103" i="3"/>
  <c r="H79" i="3"/>
  <c r="H78" i="3"/>
  <c r="H77" i="3"/>
  <c r="H76" i="3"/>
  <c r="H100" i="3"/>
  <c r="H99" i="3"/>
  <c r="H98" i="3"/>
  <c r="H88" i="3"/>
  <c r="H84" i="3"/>
  <c r="H83" i="3"/>
  <c r="H73" i="3"/>
  <c r="H72" i="3"/>
  <c r="H71" i="3"/>
  <c r="H66" i="3"/>
  <c r="H51" i="3"/>
  <c r="H50" i="3"/>
  <c r="H49" i="3"/>
  <c r="G342" i="3"/>
  <c r="G330" i="3"/>
  <c r="G318" i="3"/>
  <c r="G305" i="3"/>
  <c r="E720" i="3"/>
  <c r="L720" i="3" s="1"/>
  <c r="D720" i="3"/>
  <c r="E221" i="9" s="1"/>
  <c r="E717" i="3"/>
  <c r="L717" i="3" s="1"/>
  <c r="D717" i="3"/>
  <c r="E219" i="9" s="1"/>
  <c r="E714" i="3"/>
  <c r="L714" i="3" s="1"/>
  <c r="D714" i="3"/>
  <c r="E217" i="9" s="1"/>
  <c r="E711" i="3"/>
  <c r="L711" i="3" s="1"/>
  <c r="D711" i="3"/>
  <c r="E215" i="9" s="1"/>
  <c r="E710" i="3"/>
  <c r="L710" i="3" s="1"/>
  <c r="D710" i="3"/>
  <c r="E214" i="9" s="1"/>
  <c r="E707" i="3"/>
  <c r="L707" i="3" s="1"/>
  <c r="D707" i="3"/>
  <c r="E212" i="9" s="1"/>
  <c r="E704" i="3"/>
  <c r="L704" i="3" s="1"/>
  <c r="D704" i="3"/>
  <c r="E210" i="9" s="1"/>
  <c r="E698" i="3"/>
  <c r="L698" i="3" s="1"/>
  <c r="D698" i="3"/>
  <c r="E694" i="3"/>
  <c r="L694" i="3" s="1"/>
  <c r="D694" i="3"/>
  <c r="E693" i="3"/>
  <c r="L693" i="3" s="1"/>
  <c r="D693" i="3"/>
  <c r="E692" i="3"/>
  <c r="L692" i="3" s="1"/>
  <c r="D692" i="3"/>
  <c r="E691" i="3"/>
  <c r="L691" i="3" s="1"/>
  <c r="D691" i="3"/>
  <c r="E688" i="3"/>
  <c r="L688" i="3" s="1"/>
  <c r="D688" i="3"/>
  <c r="E687" i="3"/>
  <c r="L687" i="3" s="1"/>
  <c r="D687" i="3"/>
  <c r="E684" i="3"/>
  <c r="L684" i="3" s="1"/>
  <c r="D684" i="3"/>
  <c r="E683" i="3"/>
  <c r="L683" i="3" s="1"/>
  <c r="D683" i="3"/>
  <c r="E682" i="3"/>
  <c r="L682" i="3" s="1"/>
  <c r="D682" i="3"/>
  <c r="E681" i="3"/>
  <c r="L681" i="3" s="1"/>
  <c r="D681" i="3"/>
  <c r="E678" i="3"/>
  <c r="L678" i="3" s="1"/>
  <c r="D678" i="3"/>
  <c r="E677" i="3"/>
  <c r="L677" i="3" s="1"/>
  <c r="D677" i="3"/>
  <c r="E676" i="3"/>
  <c r="L676" i="3" s="1"/>
  <c r="D676" i="3"/>
  <c r="E675" i="3"/>
  <c r="L675" i="3" s="1"/>
  <c r="D675" i="3"/>
  <c r="E671" i="3"/>
  <c r="L671" i="3" s="1"/>
  <c r="D671" i="3"/>
  <c r="E668" i="3"/>
  <c r="L668" i="3" s="1"/>
  <c r="D668" i="3"/>
  <c r="E667" i="3"/>
  <c r="L667" i="3" s="1"/>
  <c r="D667" i="3"/>
  <c r="E666" i="3"/>
  <c r="L666" i="3" s="1"/>
  <c r="D666" i="3"/>
  <c r="E665" i="3"/>
  <c r="L665" i="3" s="1"/>
  <c r="D665" i="3"/>
  <c r="E661" i="3"/>
  <c r="L661" i="3" s="1"/>
  <c r="L660" i="3" s="1"/>
  <c r="C142" i="10" s="1"/>
  <c r="D661" i="3"/>
  <c r="E658" i="3"/>
  <c r="L658" i="3" s="1"/>
  <c r="L657" i="3" s="1"/>
  <c r="D658" i="3"/>
  <c r="E655" i="3"/>
  <c r="L655" i="3" s="1"/>
  <c r="L654" i="3" s="1"/>
  <c r="C140" i="10" s="1"/>
  <c r="D655" i="3"/>
  <c r="E652" i="3"/>
  <c r="L652" i="3" s="1"/>
  <c r="L651" i="3" s="1"/>
  <c r="C139" i="10" s="1"/>
  <c r="D652" i="3"/>
  <c r="E649" i="3"/>
  <c r="L649" i="3" s="1"/>
  <c r="L648" i="3" s="1"/>
  <c r="C138" i="10" s="1"/>
  <c r="D649" i="3"/>
  <c r="E646" i="3"/>
  <c r="L646" i="3" s="1"/>
  <c r="L645" i="3" s="1"/>
  <c r="C137" i="10" s="1"/>
  <c r="D646" i="3"/>
  <c r="E642" i="3"/>
  <c r="L642" i="3" s="1"/>
  <c r="D642" i="3"/>
  <c r="E639" i="3"/>
  <c r="D639" i="3"/>
  <c r="E634" i="3"/>
  <c r="D634" i="3"/>
  <c r="E633" i="3"/>
  <c r="D633" i="3"/>
  <c r="E632" i="3"/>
  <c r="D632" i="3"/>
  <c r="E631" i="3"/>
  <c r="D631" i="3"/>
  <c r="E186" i="9" s="1"/>
  <c r="E629" i="3"/>
  <c r="D629" i="3"/>
  <c r="E628" i="3"/>
  <c r="D628" i="3"/>
  <c r="E627" i="3"/>
  <c r="D627" i="3"/>
  <c r="E626" i="3"/>
  <c r="D626" i="3"/>
  <c r="E625" i="3"/>
  <c r="D625" i="3"/>
  <c r="E623" i="3"/>
  <c r="D623" i="3"/>
  <c r="E622" i="3"/>
  <c r="D622" i="3"/>
  <c r="E185" i="9" s="1"/>
  <c r="E620" i="3"/>
  <c r="D620" i="3"/>
  <c r="E616" i="3"/>
  <c r="D616" i="3"/>
  <c r="E615" i="3"/>
  <c r="D615" i="3"/>
  <c r="E614" i="3"/>
  <c r="D614" i="3"/>
  <c r="E613" i="3"/>
  <c r="D613" i="3"/>
  <c r="E183" i="9" s="1"/>
  <c r="E610" i="3"/>
  <c r="D610" i="3"/>
  <c r="E609" i="3"/>
  <c r="D609" i="3"/>
  <c r="E608" i="3"/>
  <c r="D608" i="3"/>
  <c r="E607" i="3"/>
  <c r="D607" i="3"/>
  <c r="E181" i="9" s="1"/>
  <c r="E604" i="3"/>
  <c r="D604" i="3"/>
  <c r="E603" i="3"/>
  <c r="D603" i="3"/>
  <c r="E602" i="3"/>
  <c r="D602" i="3"/>
  <c r="E179" i="9" s="1"/>
  <c r="E599" i="3"/>
  <c r="L599" i="3" s="1"/>
  <c r="K599" i="3" s="1"/>
  <c r="D599" i="3"/>
  <c r="E598" i="3"/>
  <c r="L598" i="3" s="1"/>
  <c r="K598" i="3" s="1"/>
  <c r="D598" i="3"/>
  <c r="E591" i="3"/>
  <c r="L591" i="3" s="1"/>
  <c r="K591" i="3" s="1"/>
  <c r="D591" i="3"/>
  <c r="E590" i="3"/>
  <c r="L590" i="3" s="1"/>
  <c r="D590" i="3"/>
  <c r="E589" i="3"/>
  <c r="L589" i="3" s="1"/>
  <c r="D589" i="3"/>
  <c r="E585" i="3"/>
  <c r="D585" i="3"/>
  <c r="E582" i="3"/>
  <c r="D582" i="3"/>
  <c r="E579" i="3"/>
  <c r="D579" i="3"/>
  <c r="E576" i="3"/>
  <c r="D576" i="3"/>
  <c r="E573" i="3"/>
  <c r="D573" i="3"/>
  <c r="E568" i="3"/>
  <c r="L568" i="3" s="1"/>
  <c r="D568" i="3"/>
  <c r="E562" i="3"/>
  <c r="L562" i="3" s="1"/>
  <c r="L560" i="3" s="1"/>
  <c r="D562" i="3"/>
  <c r="E561" i="3"/>
  <c r="L561" i="3" s="1"/>
  <c r="D561" i="3"/>
  <c r="E558" i="3"/>
  <c r="L558" i="3" s="1"/>
  <c r="K558" i="3" s="1"/>
  <c r="D558" i="3"/>
  <c r="E557" i="3"/>
  <c r="D557" i="3"/>
  <c r="E556" i="3"/>
  <c r="D556" i="3"/>
  <c r="E555" i="3"/>
  <c r="D555" i="3"/>
  <c r="E554" i="3"/>
  <c r="L554" i="3" s="1"/>
  <c r="D554" i="3"/>
  <c r="E552" i="3"/>
  <c r="D552" i="3"/>
  <c r="E551" i="3"/>
  <c r="D551" i="3"/>
  <c r="E161" i="9" s="1"/>
  <c r="E549" i="3"/>
  <c r="L549" i="3" s="1"/>
  <c r="D549" i="3"/>
  <c r="E548" i="3"/>
  <c r="L548" i="3" s="1"/>
  <c r="D548" i="3"/>
  <c r="E547" i="3"/>
  <c r="L547" i="3" s="1"/>
  <c r="D547" i="3"/>
  <c r="E546" i="3"/>
  <c r="L546" i="3" s="1"/>
  <c r="D546" i="3"/>
  <c r="E542" i="3"/>
  <c r="L542" i="3" s="1"/>
  <c r="L537" i="3" s="1"/>
  <c r="D542" i="3"/>
  <c r="E541" i="3"/>
  <c r="L541" i="3" s="1"/>
  <c r="D541" i="3"/>
  <c r="E540" i="3"/>
  <c r="L540" i="3" s="1"/>
  <c r="D540" i="3"/>
  <c r="E539" i="3"/>
  <c r="L539" i="3" s="1"/>
  <c r="D539" i="3"/>
  <c r="E538" i="3"/>
  <c r="L538" i="3" s="1"/>
  <c r="D538" i="3"/>
  <c r="E535" i="3"/>
  <c r="L535" i="3" s="1"/>
  <c r="D535" i="3"/>
  <c r="E534" i="3"/>
  <c r="L534" i="3" s="1"/>
  <c r="D534" i="3"/>
  <c r="E533" i="3"/>
  <c r="L533" i="3" s="1"/>
  <c r="D533" i="3"/>
  <c r="E532" i="3"/>
  <c r="L532" i="3" s="1"/>
  <c r="D532" i="3"/>
  <c r="E531" i="3"/>
  <c r="L531" i="3" s="1"/>
  <c r="D531" i="3"/>
  <c r="E530" i="3"/>
  <c r="L530" i="3" s="1"/>
  <c r="D530" i="3"/>
  <c r="E527" i="3"/>
  <c r="D527" i="3"/>
  <c r="E526" i="3"/>
  <c r="D526" i="3"/>
  <c r="E523" i="3"/>
  <c r="D523" i="3"/>
  <c r="E522" i="3"/>
  <c r="D522" i="3"/>
  <c r="E521" i="3"/>
  <c r="L521" i="3" s="1"/>
  <c r="D521" i="3"/>
  <c r="E520" i="3"/>
  <c r="L520" i="3" s="1"/>
  <c r="D520" i="3"/>
  <c r="E517" i="3"/>
  <c r="D517" i="3"/>
  <c r="E516" i="3"/>
  <c r="D516" i="3"/>
  <c r="E515" i="3"/>
  <c r="L515" i="3" s="1"/>
  <c r="D515" i="3"/>
  <c r="E514" i="3"/>
  <c r="L514" i="3" s="1"/>
  <c r="D514" i="3"/>
  <c r="E511" i="3"/>
  <c r="L511" i="3" s="1"/>
  <c r="D511" i="3"/>
  <c r="E510" i="3"/>
  <c r="L510" i="3" s="1"/>
  <c r="D510" i="3"/>
  <c r="E509" i="3"/>
  <c r="L509" i="3" s="1"/>
  <c r="D509" i="3"/>
  <c r="E506" i="3"/>
  <c r="L506" i="3" s="1"/>
  <c r="D506" i="3"/>
  <c r="E505" i="3"/>
  <c r="L505" i="3" s="1"/>
  <c r="D505" i="3"/>
  <c r="E504" i="3"/>
  <c r="L504" i="3" s="1"/>
  <c r="D504" i="3"/>
  <c r="E501" i="3"/>
  <c r="L501" i="3" s="1"/>
  <c r="D501" i="3"/>
  <c r="E500" i="3"/>
  <c r="L500" i="3" s="1"/>
  <c r="D500" i="3"/>
  <c r="E499" i="3"/>
  <c r="L499" i="3" s="1"/>
  <c r="D499" i="3"/>
  <c r="E496" i="3"/>
  <c r="D496" i="3"/>
  <c r="E495" i="3"/>
  <c r="D495" i="3"/>
  <c r="E494" i="3"/>
  <c r="D494" i="3"/>
  <c r="E493" i="3"/>
  <c r="D493" i="3"/>
  <c r="E491" i="3"/>
  <c r="L491" i="3" s="1"/>
  <c r="D491" i="3"/>
  <c r="E490" i="3"/>
  <c r="D490" i="3"/>
  <c r="E489" i="3"/>
  <c r="D489" i="3"/>
  <c r="E151" i="9" s="1"/>
  <c r="E483" i="3"/>
  <c r="D483" i="3"/>
  <c r="E482" i="3"/>
  <c r="D482" i="3"/>
  <c r="E148" i="9" s="1"/>
  <c r="E481" i="3"/>
  <c r="L481" i="3" s="1"/>
  <c r="D481" i="3"/>
  <c r="E478" i="3"/>
  <c r="D478" i="3"/>
  <c r="E477" i="3"/>
  <c r="D477" i="3"/>
  <c r="E146" i="9" s="1"/>
  <c r="E476" i="3"/>
  <c r="L476" i="3" s="1"/>
  <c r="D476" i="3"/>
  <c r="E473" i="3"/>
  <c r="D473" i="3"/>
  <c r="E472" i="3"/>
  <c r="D472" i="3"/>
  <c r="E144" i="9" s="1"/>
  <c r="E471" i="3"/>
  <c r="L471" i="3" s="1"/>
  <c r="D471" i="3"/>
  <c r="E467" i="3"/>
  <c r="L467" i="3" s="1"/>
  <c r="L464" i="3" s="1"/>
  <c r="C96" i="10" s="1"/>
  <c r="D467" i="3"/>
  <c r="E466" i="3"/>
  <c r="L466" i="3" s="1"/>
  <c r="D466" i="3"/>
  <c r="E465" i="3"/>
  <c r="L465" i="3" s="1"/>
  <c r="D465" i="3"/>
  <c r="E461" i="3"/>
  <c r="L461" i="3" s="1"/>
  <c r="L458" i="3" s="1"/>
  <c r="D461" i="3"/>
  <c r="E460" i="3"/>
  <c r="L460" i="3" s="1"/>
  <c r="D460" i="3"/>
  <c r="E459" i="3"/>
  <c r="L459" i="3" s="1"/>
  <c r="D459" i="3"/>
  <c r="E454" i="3"/>
  <c r="L454" i="3" s="1"/>
  <c r="D454" i="3"/>
  <c r="E453" i="3"/>
  <c r="L453" i="3" s="1"/>
  <c r="D453" i="3"/>
  <c r="E452" i="3"/>
  <c r="L452" i="3" s="1"/>
  <c r="D452" i="3"/>
  <c r="E451" i="3"/>
  <c r="L451" i="3" s="1"/>
  <c r="D451" i="3"/>
  <c r="E450" i="3"/>
  <c r="L450" i="3" s="1"/>
  <c r="D450" i="3"/>
  <c r="E449" i="3"/>
  <c r="L449" i="3" s="1"/>
  <c r="D449" i="3"/>
  <c r="E448" i="3"/>
  <c r="L448" i="3" s="1"/>
  <c r="D448" i="3"/>
  <c r="E447" i="3"/>
  <c r="L447" i="3" s="1"/>
  <c r="D447" i="3"/>
  <c r="E444" i="3"/>
  <c r="L444" i="3" s="1"/>
  <c r="D444" i="3"/>
  <c r="E443" i="3"/>
  <c r="L443" i="3" s="1"/>
  <c r="D443" i="3"/>
  <c r="E442" i="3"/>
  <c r="L442" i="3" s="1"/>
  <c r="D442" i="3"/>
  <c r="E441" i="3"/>
  <c r="L441" i="3" s="1"/>
  <c r="D441" i="3"/>
  <c r="E440" i="3"/>
  <c r="L440" i="3" s="1"/>
  <c r="D440" i="3"/>
  <c r="E439" i="3"/>
  <c r="L439" i="3" s="1"/>
  <c r="D439" i="3"/>
  <c r="E438" i="3"/>
  <c r="L438" i="3" s="1"/>
  <c r="D438" i="3"/>
  <c r="E435" i="3"/>
  <c r="L435" i="3" s="1"/>
  <c r="D435" i="3"/>
  <c r="E434" i="3"/>
  <c r="N434" i="3" s="1"/>
  <c r="D434" i="3"/>
  <c r="E433" i="3"/>
  <c r="L433" i="3" s="1"/>
  <c r="D433" i="3"/>
  <c r="E432" i="3"/>
  <c r="L432" i="3" s="1"/>
  <c r="D432" i="3"/>
  <c r="E431" i="3"/>
  <c r="L431" i="3" s="1"/>
  <c r="D431" i="3"/>
  <c r="E430" i="3"/>
  <c r="L430" i="3" s="1"/>
  <c r="D430" i="3"/>
  <c r="E429" i="3"/>
  <c r="L429" i="3" s="1"/>
  <c r="D429" i="3"/>
  <c r="E428" i="3"/>
  <c r="L428" i="3" s="1"/>
  <c r="D428" i="3"/>
  <c r="E423" i="3"/>
  <c r="D423" i="3"/>
  <c r="E422" i="3"/>
  <c r="D422" i="3"/>
  <c r="E421" i="3"/>
  <c r="D421" i="3"/>
  <c r="E131" i="9" s="1"/>
  <c r="E419" i="3"/>
  <c r="L419" i="3" s="1"/>
  <c r="D419" i="3"/>
  <c r="E418" i="3"/>
  <c r="L418" i="3" s="1"/>
  <c r="D418" i="3"/>
  <c r="E414" i="3"/>
  <c r="D414" i="3"/>
  <c r="E413" i="3"/>
  <c r="D413" i="3"/>
  <c r="E412" i="3"/>
  <c r="D412" i="3"/>
  <c r="E129" i="9" s="1"/>
  <c r="E410" i="3"/>
  <c r="L410" i="3" s="1"/>
  <c r="D410" i="3"/>
  <c r="E409" i="3"/>
  <c r="L409" i="3" s="1"/>
  <c r="D409" i="3"/>
  <c r="E405" i="3"/>
  <c r="D405" i="3"/>
  <c r="E404" i="3"/>
  <c r="D404" i="3"/>
  <c r="E403" i="3"/>
  <c r="D403" i="3"/>
  <c r="E127" i="9" s="1"/>
  <c r="E401" i="3"/>
  <c r="L401" i="3" s="1"/>
  <c r="D401" i="3"/>
  <c r="E400" i="3"/>
  <c r="L400" i="3" s="1"/>
  <c r="D400" i="3"/>
  <c r="E396" i="3"/>
  <c r="D396" i="3"/>
  <c r="E395" i="3"/>
  <c r="D395" i="3"/>
  <c r="E394" i="3"/>
  <c r="D394" i="3"/>
  <c r="E125" i="9" s="1"/>
  <c r="E392" i="3"/>
  <c r="L392" i="3" s="1"/>
  <c r="D392" i="3"/>
  <c r="E391" i="3"/>
  <c r="L391" i="3" s="1"/>
  <c r="D391" i="3"/>
  <c r="E385" i="3"/>
  <c r="L385" i="3" s="1"/>
  <c r="K385" i="3" s="1"/>
  <c r="D385" i="3"/>
  <c r="E384" i="3"/>
  <c r="L384" i="3" s="1"/>
  <c r="K384" i="3" s="1"/>
  <c r="D384" i="3"/>
  <c r="E383" i="3"/>
  <c r="L383" i="3" s="1"/>
  <c r="D383" i="3"/>
  <c r="E382" i="3"/>
  <c r="L382" i="3" s="1"/>
  <c r="D382" i="3"/>
  <c r="E379" i="3"/>
  <c r="L379" i="3" s="1"/>
  <c r="L378" i="3" s="1"/>
  <c r="D379" i="3"/>
  <c r="E375" i="3"/>
  <c r="D375" i="3"/>
  <c r="E372" i="3"/>
  <c r="D372" i="3"/>
  <c r="E368" i="3"/>
  <c r="D368" i="3"/>
  <c r="E365" i="3"/>
  <c r="D365" i="3"/>
  <c r="E360" i="3"/>
  <c r="D360" i="3"/>
  <c r="E359" i="3"/>
  <c r="D359" i="3"/>
  <c r="E358" i="3"/>
  <c r="L358" i="3" s="1"/>
  <c r="D358" i="3"/>
  <c r="E355" i="3"/>
  <c r="D355" i="3"/>
  <c r="E353" i="3"/>
  <c r="L353" i="3" s="1"/>
  <c r="K353" i="3" s="1"/>
  <c r="D353" i="3"/>
  <c r="E352" i="3"/>
  <c r="D352" i="3"/>
  <c r="E350" i="3"/>
  <c r="L350" i="3" s="1"/>
  <c r="D350" i="3"/>
  <c r="E349" i="3"/>
  <c r="L349" i="3" s="1"/>
  <c r="D349" i="3"/>
  <c r="E348" i="3"/>
  <c r="L348" i="3" s="1"/>
  <c r="D348" i="3"/>
  <c r="E344" i="3"/>
  <c r="D344" i="3"/>
  <c r="E342" i="3"/>
  <c r="D342" i="3"/>
  <c r="E341" i="3"/>
  <c r="D341" i="3"/>
  <c r="E109" i="9" s="1"/>
  <c r="E339" i="3"/>
  <c r="L339" i="3" s="1"/>
  <c r="D339" i="3"/>
  <c r="E338" i="3"/>
  <c r="L338" i="3" s="1"/>
  <c r="D338" i="3"/>
  <c r="E337" i="3"/>
  <c r="L337" i="3" s="1"/>
  <c r="D337" i="3"/>
  <c r="E336" i="3"/>
  <c r="L336" i="3" s="1"/>
  <c r="D336" i="3"/>
  <c r="E332" i="3"/>
  <c r="L332" i="3" s="1"/>
  <c r="D332" i="3"/>
  <c r="E330" i="3"/>
  <c r="D330" i="3"/>
  <c r="E329" i="3"/>
  <c r="D329" i="3"/>
  <c r="E107" i="9" s="1"/>
  <c r="E327" i="3"/>
  <c r="L327" i="3" s="1"/>
  <c r="D327" i="3"/>
  <c r="E326" i="3"/>
  <c r="L326" i="3" s="1"/>
  <c r="D326" i="3"/>
  <c r="E325" i="3"/>
  <c r="L325" i="3" s="1"/>
  <c r="D325" i="3"/>
  <c r="E324" i="3"/>
  <c r="L324" i="3" s="1"/>
  <c r="D324" i="3"/>
  <c r="E320" i="3"/>
  <c r="D320" i="3"/>
  <c r="E318" i="3"/>
  <c r="D318" i="3"/>
  <c r="E317" i="3"/>
  <c r="D317" i="3"/>
  <c r="E105" i="9" s="1"/>
  <c r="E315" i="3"/>
  <c r="L315" i="3" s="1"/>
  <c r="D315" i="3"/>
  <c r="E314" i="3"/>
  <c r="L314" i="3" s="1"/>
  <c r="D314" i="3"/>
  <c r="E313" i="3"/>
  <c r="L313" i="3" s="1"/>
  <c r="D313" i="3"/>
  <c r="E312" i="3"/>
  <c r="L312" i="3" s="1"/>
  <c r="D312" i="3"/>
  <c r="E307" i="3"/>
  <c r="O307" i="3" s="1"/>
  <c r="D307" i="3"/>
  <c r="E305" i="3"/>
  <c r="D305" i="3"/>
  <c r="E304" i="3"/>
  <c r="D304" i="3"/>
  <c r="E102" i="9" s="1"/>
  <c r="E302" i="3"/>
  <c r="L302" i="3" s="1"/>
  <c r="D302" i="3"/>
  <c r="E301" i="3"/>
  <c r="P301" i="3" s="1"/>
  <c r="D301" i="3"/>
  <c r="E300" i="3"/>
  <c r="L300" i="3" s="1"/>
  <c r="D300" i="3"/>
  <c r="E299" i="3"/>
  <c r="L299" i="3" s="1"/>
  <c r="D299" i="3"/>
  <c r="E295" i="3"/>
  <c r="D295" i="3"/>
  <c r="E294" i="3"/>
  <c r="L294" i="3" s="1"/>
  <c r="D294" i="3"/>
  <c r="E291" i="3"/>
  <c r="D291" i="3"/>
  <c r="E290" i="3"/>
  <c r="P290" i="3" s="1"/>
  <c r="D290" i="3"/>
  <c r="E287" i="3"/>
  <c r="D287" i="3"/>
  <c r="E286" i="3"/>
  <c r="P286" i="3" s="1"/>
  <c r="D286" i="3"/>
  <c r="E283" i="3"/>
  <c r="D283" i="3"/>
  <c r="E282" i="3"/>
  <c r="L282" i="3" s="1"/>
  <c r="D282" i="3"/>
  <c r="E277" i="3"/>
  <c r="D277" i="3"/>
  <c r="E276" i="3"/>
  <c r="D276" i="3"/>
  <c r="E275" i="3"/>
  <c r="D275" i="3"/>
  <c r="E274" i="3"/>
  <c r="D274" i="3"/>
  <c r="E94" i="9" s="1"/>
  <c r="E271" i="3"/>
  <c r="D271" i="3"/>
  <c r="E270" i="3"/>
  <c r="D270" i="3"/>
  <c r="E269" i="3"/>
  <c r="D269" i="3"/>
  <c r="E268" i="3"/>
  <c r="L268" i="3" s="1"/>
  <c r="K268" i="3" s="1"/>
  <c r="D268" i="3"/>
  <c r="E92" i="9" s="1"/>
  <c r="E267" i="3"/>
  <c r="L267" i="3" s="1"/>
  <c r="D267" i="3"/>
  <c r="E264" i="3"/>
  <c r="D264" i="3"/>
  <c r="E263" i="3"/>
  <c r="D263" i="3"/>
  <c r="E262" i="3"/>
  <c r="D262" i="3"/>
  <c r="E261" i="3"/>
  <c r="D261" i="3"/>
  <c r="E90" i="9" s="1"/>
  <c r="E260" i="3"/>
  <c r="L260" i="3" s="1"/>
  <c r="D260" i="3"/>
  <c r="E257" i="3"/>
  <c r="D257" i="3"/>
  <c r="E256" i="3"/>
  <c r="D256" i="3"/>
  <c r="E255" i="3"/>
  <c r="D255" i="3"/>
  <c r="E254" i="3"/>
  <c r="D254" i="3"/>
  <c r="E88" i="9" s="1"/>
  <c r="E253" i="3"/>
  <c r="L253" i="3" s="1"/>
  <c r="D253" i="3"/>
  <c r="E249" i="3"/>
  <c r="D249" i="3"/>
  <c r="E248" i="3"/>
  <c r="D248" i="3"/>
  <c r="E247" i="3"/>
  <c r="D247" i="3"/>
  <c r="E246" i="3"/>
  <c r="D246" i="3"/>
  <c r="E85" i="9" s="1"/>
  <c r="E245" i="3"/>
  <c r="L245" i="3" s="1"/>
  <c r="D245" i="3"/>
  <c r="E242" i="3"/>
  <c r="D242" i="3"/>
  <c r="E241" i="3"/>
  <c r="D241" i="3"/>
  <c r="E240" i="3"/>
  <c r="D240" i="3"/>
  <c r="E239" i="3"/>
  <c r="L239" i="3" s="1"/>
  <c r="D239" i="3"/>
  <c r="E83" i="9" s="1"/>
  <c r="E238" i="3"/>
  <c r="L238" i="3" s="1"/>
  <c r="D238" i="3"/>
  <c r="E235" i="3"/>
  <c r="D235" i="3"/>
  <c r="E234" i="3"/>
  <c r="D234" i="3"/>
  <c r="E233" i="3"/>
  <c r="D233" i="3"/>
  <c r="E232" i="3"/>
  <c r="D232" i="3"/>
  <c r="E81" i="9" s="1"/>
  <c r="E231" i="3"/>
  <c r="L231" i="3" s="1"/>
  <c r="D231" i="3"/>
  <c r="E227" i="3"/>
  <c r="D227" i="3"/>
  <c r="E226" i="3"/>
  <c r="D226" i="3"/>
  <c r="E225" i="3"/>
  <c r="D225" i="3"/>
  <c r="E224" i="3"/>
  <c r="D224" i="3"/>
  <c r="E78" i="9" s="1"/>
  <c r="E223" i="3"/>
  <c r="L223" i="3" s="1"/>
  <c r="D223" i="3"/>
  <c r="E220" i="3"/>
  <c r="D220" i="3"/>
  <c r="E219" i="3"/>
  <c r="D219" i="3"/>
  <c r="E218" i="3"/>
  <c r="D218" i="3"/>
  <c r="E217" i="3"/>
  <c r="D217" i="3"/>
  <c r="E76" i="9" s="1"/>
  <c r="E216" i="3"/>
  <c r="L216" i="3" s="1"/>
  <c r="D216" i="3"/>
  <c r="E212" i="3"/>
  <c r="D212" i="3"/>
  <c r="E211" i="3"/>
  <c r="D211" i="3"/>
  <c r="E210" i="3"/>
  <c r="D210" i="3"/>
  <c r="E209" i="3"/>
  <c r="L209" i="3" s="1"/>
  <c r="K209" i="3" s="1"/>
  <c r="D209" i="3"/>
  <c r="E73" i="9" s="1"/>
  <c r="E208" i="3"/>
  <c r="L208" i="3" s="1"/>
  <c r="D208" i="3"/>
  <c r="E205" i="3"/>
  <c r="D205" i="3"/>
  <c r="E204" i="3"/>
  <c r="D204" i="3"/>
  <c r="E203" i="3"/>
  <c r="M203" i="3" s="1"/>
  <c r="D203" i="3"/>
  <c r="E202" i="3"/>
  <c r="D202" i="3"/>
  <c r="E71" i="9" s="1"/>
  <c r="E201" i="3"/>
  <c r="P201" i="3" s="1"/>
  <c r="D201" i="3"/>
  <c r="E197" i="3"/>
  <c r="D197" i="3"/>
  <c r="E196" i="3"/>
  <c r="D196" i="3"/>
  <c r="E195" i="3"/>
  <c r="D195" i="3"/>
  <c r="E194" i="3"/>
  <c r="P194" i="3" s="1"/>
  <c r="D194" i="3"/>
  <c r="E68" i="9" s="1"/>
  <c r="E193" i="3"/>
  <c r="L193" i="3" s="1"/>
  <c r="D193" i="3"/>
  <c r="E190" i="3"/>
  <c r="D190" i="3"/>
  <c r="E189" i="3"/>
  <c r="D189" i="3"/>
  <c r="E188" i="3"/>
  <c r="D188" i="3"/>
  <c r="E187" i="3"/>
  <c r="D187" i="3"/>
  <c r="E66" i="9" s="1"/>
  <c r="E186" i="3"/>
  <c r="O186" i="3" s="1"/>
  <c r="D186" i="3"/>
  <c r="E182" i="3"/>
  <c r="D182" i="3"/>
  <c r="E181" i="3"/>
  <c r="D181" i="3"/>
  <c r="E180" i="3"/>
  <c r="D180" i="3"/>
  <c r="E179" i="3"/>
  <c r="L179" i="3" s="1"/>
  <c r="K179" i="3" s="1"/>
  <c r="D179" i="3"/>
  <c r="E63" i="9" s="1"/>
  <c r="E175" i="3"/>
  <c r="D175" i="3"/>
  <c r="E172" i="3"/>
  <c r="D172" i="3"/>
  <c r="E171" i="3"/>
  <c r="D171" i="3"/>
  <c r="E170" i="3"/>
  <c r="D170" i="3"/>
  <c r="E169" i="3"/>
  <c r="D169" i="3"/>
  <c r="E168" i="3"/>
  <c r="D168" i="3"/>
  <c r="E166" i="3"/>
  <c r="D166" i="3"/>
  <c r="E165" i="3"/>
  <c r="L165" i="3" s="1"/>
  <c r="K165" i="3" s="1"/>
  <c r="D165" i="3"/>
  <c r="E59" i="9" s="1"/>
  <c r="E163" i="3"/>
  <c r="D163" i="3"/>
  <c r="E160" i="3"/>
  <c r="D160" i="3"/>
  <c r="E159" i="3"/>
  <c r="D159" i="3"/>
  <c r="E158" i="3"/>
  <c r="D158" i="3"/>
  <c r="E157" i="3"/>
  <c r="D157" i="3"/>
  <c r="E58" i="9" s="1"/>
  <c r="E153" i="3"/>
  <c r="D153" i="3"/>
  <c r="E152" i="3"/>
  <c r="D152" i="3"/>
  <c r="E151" i="3"/>
  <c r="D151" i="3"/>
  <c r="E150" i="3"/>
  <c r="D150" i="3"/>
  <c r="E56" i="9" s="1"/>
  <c r="E147" i="3"/>
  <c r="D147" i="3"/>
  <c r="E146" i="3"/>
  <c r="D146" i="3"/>
  <c r="E145" i="3"/>
  <c r="D145" i="3"/>
  <c r="E144" i="3"/>
  <c r="D144" i="3"/>
  <c r="E143" i="3"/>
  <c r="D143" i="3"/>
  <c r="E141" i="3"/>
  <c r="D141" i="3"/>
  <c r="E140" i="3"/>
  <c r="D140" i="3"/>
  <c r="E54" i="9" s="1"/>
  <c r="E138" i="3"/>
  <c r="D138" i="3"/>
  <c r="E53" i="9" s="1"/>
  <c r="E134" i="3"/>
  <c r="M134" i="3" s="1"/>
  <c r="D134" i="3"/>
  <c r="E132" i="3"/>
  <c r="D132" i="3"/>
  <c r="E131" i="3"/>
  <c r="D131" i="3"/>
  <c r="E130" i="3"/>
  <c r="D130" i="3"/>
  <c r="E129" i="3"/>
  <c r="D129" i="3"/>
  <c r="E128" i="3"/>
  <c r="D128" i="3"/>
  <c r="E127" i="3"/>
  <c r="L127" i="3" s="1"/>
  <c r="D127" i="3"/>
  <c r="E51" i="9" s="1"/>
  <c r="E124" i="3"/>
  <c r="D124" i="3"/>
  <c r="E123" i="3"/>
  <c r="D123" i="3"/>
  <c r="E122" i="3"/>
  <c r="D122" i="3"/>
  <c r="E121" i="3"/>
  <c r="L121" i="3" s="1"/>
  <c r="K121" i="3" s="1"/>
  <c r="D121" i="3"/>
  <c r="E49" i="9" s="1"/>
  <c r="E118" i="3"/>
  <c r="D118" i="3"/>
  <c r="E117" i="3"/>
  <c r="D117" i="3"/>
  <c r="E116" i="3"/>
  <c r="D116" i="3"/>
  <c r="E115" i="3"/>
  <c r="D115" i="3"/>
  <c r="E47" i="9" s="1"/>
  <c r="E112" i="3"/>
  <c r="D112" i="3"/>
  <c r="E111" i="3"/>
  <c r="D111" i="3"/>
  <c r="E110" i="3"/>
  <c r="D110" i="3"/>
  <c r="E45" i="9" s="1"/>
  <c r="E106" i="3"/>
  <c r="O106" i="3" s="1"/>
  <c r="D106" i="3"/>
  <c r="E105" i="3"/>
  <c r="D105" i="3"/>
  <c r="E104" i="3"/>
  <c r="D104" i="3"/>
  <c r="E103" i="3"/>
  <c r="D103" i="3"/>
  <c r="E42" i="9" s="1"/>
  <c r="E100" i="3"/>
  <c r="O100" i="3" s="1"/>
  <c r="D100" i="3"/>
  <c r="E99" i="3"/>
  <c r="D99" i="3"/>
  <c r="E40" i="9" s="1"/>
  <c r="E98" i="3"/>
  <c r="L98" i="3" s="1"/>
  <c r="D98" i="3"/>
  <c r="E95" i="3"/>
  <c r="D95" i="3"/>
  <c r="E92" i="3"/>
  <c r="O92" i="3" s="1"/>
  <c r="D92" i="3"/>
  <c r="E89" i="3"/>
  <c r="L89" i="3" s="1"/>
  <c r="D89" i="3"/>
  <c r="E88" i="3"/>
  <c r="L88" i="3" s="1"/>
  <c r="D88" i="3"/>
  <c r="E87" i="3"/>
  <c r="L87" i="3" s="1"/>
  <c r="D87" i="3"/>
  <c r="E36" i="9" s="1"/>
  <c r="E84" i="3"/>
  <c r="O84" i="3" s="1"/>
  <c r="D84" i="3"/>
  <c r="E83" i="3"/>
  <c r="D83" i="3"/>
  <c r="E82" i="3"/>
  <c r="L82" i="3" s="1"/>
  <c r="K82" i="3" s="1"/>
  <c r="D82" i="3"/>
  <c r="E34" i="9" s="1"/>
  <c r="E79" i="3"/>
  <c r="D79" i="3"/>
  <c r="E78" i="3"/>
  <c r="D78" i="3"/>
  <c r="E77" i="3"/>
  <c r="D77" i="3"/>
  <c r="E32" i="9" s="1"/>
  <c r="E76" i="3"/>
  <c r="D76" i="3"/>
  <c r="E73" i="3"/>
  <c r="D73" i="3"/>
  <c r="E72" i="3"/>
  <c r="O72" i="3" s="1"/>
  <c r="D72" i="3"/>
  <c r="E71" i="3"/>
  <c r="D71" i="3"/>
  <c r="E30" i="9" s="1"/>
  <c r="E67" i="3"/>
  <c r="L67" i="3" s="1"/>
  <c r="K67" i="3" s="1"/>
  <c r="D67" i="3"/>
  <c r="E66" i="3"/>
  <c r="D66" i="3"/>
  <c r="E65" i="3"/>
  <c r="L65" i="3" s="1"/>
  <c r="K65" i="3" s="1"/>
  <c r="D65" i="3"/>
  <c r="E28" i="9" s="1"/>
  <c r="E60" i="3"/>
  <c r="L60" i="3" s="1"/>
  <c r="L57" i="3" s="1"/>
  <c r="C18" i="10" s="1"/>
  <c r="D60" i="3"/>
  <c r="E59" i="3"/>
  <c r="D59" i="3"/>
  <c r="E53" i="3"/>
  <c r="L53" i="3" s="1"/>
  <c r="K53" i="3" s="1"/>
  <c r="D53" i="3"/>
  <c r="E51" i="3"/>
  <c r="O51" i="3" s="1"/>
  <c r="D51" i="3"/>
  <c r="E50" i="3"/>
  <c r="L50" i="3" s="1"/>
  <c r="K50" i="3" s="1"/>
  <c r="D50" i="3"/>
  <c r="E22" i="9" s="1"/>
  <c r="E49" i="3"/>
  <c r="L49" i="3" s="1"/>
  <c r="D49" i="3"/>
  <c r="E48" i="3"/>
  <c r="L48" i="3" s="1"/>
  <c r="D48" i="3"/>
  <c r="E21" i="9" s="1"/>
  <c r="E43" i="3"/>
  <c r="O43" i="3" s="1"/>
  <c r="D43" i="3"/>
  <c r="E40" i="3"/>
  <c r="D40" i="3"/>
  <c r="E37" i="3"/>
  <c r="D37" i="3"/>
  <c r="E34" i="3"/>
  <c r="D34" i="3"/>
  <c r="E31" i="3"/>
  <c r="O31" i="3" s="1"/>
  <c r="D31" i="3"/>
  <c r="E28" i="3"/>
  <c r="D28" i="3"/>
  <c r="E13" i="9" s="1"/>
  <c r="E27" i="3"/>
  <c r="D27" i="3"/>
  <c r="E12" i="9" s="1"/>
  <c r="E24" i="3"/>
  <c r="D24" i="3"/>
  <c r="E10" i="9" s="1"/>
  <c r="E23" i="3"/>
  <c r="O23" i="3" s="1"/>
  <c r="D23" i="3"/>
  <c r="E9" i="9" s="1"/>
  <c r="E22" i="3"/>
  <c r="D22" i="3"/>
  <c r="E8" i="9" s="1"/>
  <c r="E19" i="3"/>
  <c r="D19" i="3"/>
  <c r="E6" i="9" s="1"/>
  <c r="E18" i="3"/>
  <c r="D18" i="3"/>
  <c r="E5" i="9" s="1"/>
  <c r="D6" i="3"/>
  <c r="E6" i="3"/>
  <c r="D7" i="3"/>
  <c r="E7" i="3"/>
  <c r="N7" i="3" s="1"/>
  <c r="D8" i="3"/>
  <c r="E8" i="3"/>
  <c r="D9" i="3"/>
  <c r="E9" i="3"/>
  <c r="N9" i="3" s="1"/>
  <c r="D10" i="3"/>
  <c r="E10" i="3"/>
  <c r="D11" i="3"/>
  <c r="E11" i="3"/>
  <c r="M11" i="3" s="1"/>
  <c r="D12" i="3"/>
  <c r="E12" i="3"/>
  <c r="D13" i="3"/>
  <c r="E13" i="3"/>
  <c r="L13" i="3" s="1"/>
  <c r="K13" i="3" s="1"/>
  <c r="D14" i="3"/>
  <c r="E14" i="3"/>
  <c r="L14" i="3" s="1"/>
  <c r="K14" i="3" s="1"/>
  <c r="D15" i="3"/>
  <c r="E15" i="3"/>
  <c r="L15" i="3" s="1"/>
  <c r="K15" i="3" s="1"/>
  <c r="D5" i="3"/>
  <c r="E5" i="3"/>
  <c r="I37" i="3"/>
  <c r="I43" i="3"/>
  <c r="I59" i="3"/>
  <c r="I720" i="3"/>
  <c r="I717" i="3"/>
  <c r="I714" i="3"/>
  <c r="I711" i="3"/>
  <c r="I710" i="3"/>
  <c r="I707" i="3"/>
  <c r="I704" i="3"/>
  <c r="I698" i="3"/>
  <c r="I694" i="3"/>
  <c r="I693" i="3"/>
  <c r="I692" i="3"/>
  <c r="I691" i="3"/>
  <c r="I688" i="3"/>
  <c r="I687" i="3"/>
  <c r="I684" i="3"/>
  <c r="I683" i="3"/>
  <c r="I682" i="3"/>
  <c r="I681" i="3"/>
  <c r="I678" i="3"/>
  <c r="I677" i="3"/>
  <c r="I676" i="3"/>
  <c r="I675" i="3"/>
  <c r="I671" i="3"/>
  <c r="I668" i="3"/>
  <c r="I667" i="3"/>
  <c r="I666" i="3"/>
  <c r="I665" i="3"/>
  <c r="I661" i="3"/>
  <c r="I658" i="3"/>
  <c r="I655" i="3"/>
  <c r="I652" i="3"/>
  <c r="I649" i="3"/>
  <c r="I646" i="3"/>
  <c r="I642" i="3"/>
  <c r="I639" i="3"/>
  <c r="I634" i="3"/>
  <c r="I633" i="3"/>
  <c r="I632" i="3"/>
  <c r="I631" i="3"/>
  <c r="I629" i="3"/>
  <c r="I628" i="3"/>
  <c r="I627" i="3"/>
  <c r="I626" i="3"/>
  <c r="I625" i="3"/>
  <c r="I623" i="3"/>
  <c r="I622" i="3"/>
  <c r="I620" i="3"/>
  <c r="I616" i="3"/>
  <c r="I615" i="3"/>
  <c r="I614" i="3"/>
  <c r="I613" i="3"/>
  <c r="I610" i="3"/>
  <c r="I609" i="3"/>
  <c r="I608" i="3"/>
  <c r="I607" i="3"/>
  <c r="I604" i="3"/>
  <c r="I603" i="3"/>
  <c r="I602" i="3"/>
  <c r="I599" i="3"/>
  <c r="I598" i="3"/>
  <c r="I591" i="3"/>
  <c r="I590" i="3"/>
  <c r="I589" i="3"/>
  <c r="I585" i="3"/>
  <c r="I582" i="3"/>
  <c r="I579" i="3"/>
  <c r="I576" i="3"/>
  <c r="I573" i="3"/>
  <c r="I568" i="3"/>
  <c r="I562" i="3"/>
  <c r="I561" i="3"/>
  <c r="I558" i="3"/>
  <c r="I557" i="3"/>
  <c r="I556" i="3"/>
  <c r="I555" i="3"/>
  <c r="I554" i="3"/>
  <c r="I552" i="3"/>
  <c r="I551" i="3"/>
  <c r="I549" i="3"/>
  <c r="I548" i="3"/>
  <c r="I547" i="3"/>
  <c r="I546" i="3"/>
  <c r="I542" i="3"/>
  <c r="I541" i="3"/>
  <c r="I540" i="3"/>
  <c r="I539" i="3"/>
  <c r="I538" i="3"/>
  <c r="I535" i="3"/>
  <c r="I534" i="3"/>
  <c r="I533" i="3"/>
  <c r="I532" i="3"/>
  <c r="I531" i="3"/>
  <c r="I530" i="3"/>
  <c r="I527" i="3"/>
  <c r="I526" i="3"/>
  <c r="I523" i="3"/>
  <c r="I522" i="3"/>
  <c r="I521" i="3"/>
  <c r="I520" i="3"/>
  <c r="I517" i="3"/>
  <c r="I516" i="3"/>
  <c r="I515" i="3"/>
  <c r="I514" i="3"/>
  <c r="I511" i="3"/>
  <c r="I510" i="3"/>
  <c r="I509" i="3"/>
  <c r="I506" i="3"/>
  <c r="I505" i="3"/>
  <c r="I504" i="3"/>
  <c r="I501" i="3"/>
  <c r="I500" i="3"/>
  <c r="I499" i="3"/>
  <c r="I496" i="3"/>
  <c r="I495" i="3"/>
  <c r="I494" i="3"/>
  <c r="I493" i="3"/>
  <c r="I491" i="3"/>
  <c r="I490" i="3"/>
  <c r="I489" i="3"/>
  <c r="I483" i="3"/>
  <c r="I482" i="3"/>
  <c r="I481" i="3"/>
  <c r="I478" i="3"/>
  <c r="I477" i="3"/>
  <c r="I476" i="3"/>
  <c r="I473" i="3"/>
  <c r="I472" i="3"/>
  <c r="I471" i="3"/>
  <c r="I461" i="3"/>
  <c r="I460" i="3"/>
  <c r="I459" i="3"/>
  <c r="I454" i="3"/>
  <c r="I453" i="3"/>
  <c r="I452" i="3"/>
  <c r="I451" i="3"/>
  <c r="I450" i="3"/>
  <c r="I449" i="3"/>
  <c r="I448" i="3"/>
  <c r="I447" i="3"/>
  <c r="I444" i="3"/>
  <c r="I443" i="3"/>
  <c r="I442" i="3"/>
  <c r="I441" i="3"/>
  <c r="I440" i="3"/>
  <c r="I439" i="3"/>
  <c r="I438" i="3"/>
  <c r="I435" i="3"/>
  <c r="I434" i="3"/>
  <c r="I433" i="3"/>
  <c r="I432" i="3"/>
  <c r="I431" i="3"/>
  <c r="I430" i="3"/>
  <c r="I429" i="3"/>
  <c r="I428" i="3"/>
  <c r="I423" i="3"/>
  <c r="I422" i="3"/>
  <c r="I421" i="3"/>
  <c r="I419" i="3"/>
  <c r="I418" i="3"/>
  <c r="I414" i="3"/>
  <c r="I413" i="3"/>
  <c r="I412" i="3"/>
  <c r="I410" i="3"/>
  <c r="I409" i="3"/>
  <c r="I405" i="3"/>
  <c r="I404" i="3"/>
  <c r="I403" i="3"/>
  <c r="I401" i="3"/>
  <c r="I400" i="3"/>
  <c r="I396" i="3"/>
  <c r="I395" i="3"/>
  <c r="I394" i="3"/>
  <c r="I392" i="3"/>
  <c r="I391" i="3"/>
  <c r="I385" i="3"/>
  <c r="I384" i="3"/>
  <c r="I383" i="3"/>
  <c r="I382" i="3"/>
  <c r="I379" i="3"/>
  <c r="I375" i="3"/>
  <c r="I372" i="3"/>
  <c r="I368" i="3"/>
  <c r="I365" i="3"/>
  <c r="I360" i="3"/>
  <c r="I359" i="3"/>
  <c r="I358" i="3"/>
  <c r="I355" i="3"/>
  <c r="I353" i="3"/>
  <c r="I352" i="3"/>
  <c r="I350" i="3"/>
  <c r="I349" i="3"/>
  <c r="I348" i="3"/>
  <c r="I344" i="3"/>
  <c r="I342" i="3"/>
  <c r="I341" i="3"/>
  <c r="I337" i="3"/>
  <c r="I338" i="3"/>
  <c r="I339" i="3"/>
  <c r="I336" i="3"/>
  <c r="I332" i="3"/>
  <c r="I330" i="3"/>
  <c r="I329" i="3"/>
  <c r="I327" i="3"/>
  <c r="I326" i="3"/>
  <c r="I325" i="3"/>
  <c r="I324" i="3"/>
  <c r="I320" i="3"/>
  <c r="I318" i="3"/>
  <c r="I317" i="3"/>
  <c r="I315" i="3"/>
  <c r="I314" i="3"/>
  <c r="I313" i="3"/>
  <c r="I312" i="3"/>
  <c r="I307" i="3"/>
  <c r="I305" i="3"/>
  <c r="I304" i="3"/>
  <c r="I302" i="3"/>
  <c r="I301" i="3"/>
  <c r="I300" i="3"/>
  <c r="I299" i="3"/>
  <c r="I295" i="3"/>
  <c r="I294" i="3"/>
  <c r="I291" i="3"/>
  <c r="I290" i="3"/>
  <c r="I287" i="3"/>
  <c r="I286" i="3"/>
  <c r="I283" i="3"/>
  <c r="I282" i="3"/>
  <c r="I277" i="3"/>
  <c r="I276" i="3"/>
  <c r="I275" i="3"/>
  <c r="I274" i="3"/>
  <c r="I271" i="3"/>
  <c r="I270" i="3"/>
  <c r="I269" i="3"/>
  <c r="I268" i="3"/>
  <c r="I267" i="3"/>
  <c r="I264" i="3"/>
  <c r="I263" i="3"/>
  <c r="I262" i="3"/>
  <c r="I261" i="3"/>
  <c r="I260" i="3"/>
  <c r="I257" i="3"/>
  <c r="I256" i="3"/>
  <c r="I255" i="3"/>
  <c r="I254" i="3"/>
  <c r="I253" i="3"/>
  <c r="I249" i="3"/>
  <c r="I248" i="3"/>
  <c r="I247" i="3"/>
  <c r="I246" i="3"/>
  <c r="I245" i="3"/>
  <c r="I242" i="3"/>
  <c r="I241" i="3"/>
  <c r="I240" i="3"/>
  <c r="I239" i="3"/>
  <c r="I238" i="3"/>
  <c r="I235" i="3"/>
  <c r="I234" i="3"/>
  <c r="I233" i="3"/>
  <c r="I232" i="3"/>
  <c r="I231" i="3"/>
  <c r="I227" i="3"/>
  <c r="I226" i="3"/>
  <c r="I225" i="3"/>
  <c r="I224" i="3"/>
  <c r="I223" i="3"/>
  <c r="I220" i="3"/>
  <c r="I219" i="3"/>
  <c r="I218" i="3"/>
  <c r="I217" i="3"/>
  <c r="I216" i="3"/>
  <c r="I212" i="3"/>
  <c r="I211" i="3"/>
  <c r="I210" i="3"/>
  <c r="I209" i="3"/>
  <c r="I208" i="3"/>
  <c r="I205" i="3"/>
  <c r="I204" i="3"/>
  <c r="I203" i="3"/>
  <c r="I202" i="3"/>
  <c r="I201" i="3"/>
  <c r="I197" i="3"/>
  <c r="I196" i="3"/>
  <c r="I195" i="3"/>
  <c r="I194" i="3"/>
  <c r="I193" i="3"/>
  <c r="I190" i="3"/>
  <c r="I189" i="3"/>
  <c r="I188" i="3"/>
  <c r="I187" i="3"/>
  <c r="I186" i="3"/>
  <c r="I182" i="3"/>
  <c r="I181" i="3"/>
  <c r="I180" i="3"/>
  <c r="I179" i="3"/>
  <c r="I175" i="3"/>
  <c r="I171" i="3"/>
  <c r="I172" i="3"/>
  <c r="I170" i="3"/>
  <c r="I169" i="3"/>
  <c r="I168" i="3"/>
  <c r="I166" i="3"/>
  <c r="I165" i="3"/>
  <c r="I163" i="3"/>
  <c r="I160" i="3"/>
  <c r="I159" i="3"/>
  <c r="I158" i="3"/>
  <c r="I157" i="3"/>
  <c r="I153" i="3"/>
  <c r="I152" i="3"/>
  <c r="I151" i="3"/>
  <c r="I150" i="3"/>
  <c r="I146" i="3"/>
  <c r="I147" i="3"/>
  <c r="I145" i="3"/>
  <c r="I144" i="3"/>
  <c r="I143" i="3"/>
  <c r="I141" i="3"/>
  <c r="I140" i="3"/>
  <c r="I138" i="3"/>
  <c r="I134" i="3"/>
  <c r="I132" i="3"/>
  <c r="I131" i="3"/>
  <c r="I130" i="3"/>
  <c r="I129" i="3"/>
  <c r="I128" i="3"/>
  <c r="I127" i="3"/>
  <c r="I124" i="3"/>
  <c r="I123" i="3"/>
  <c r="I122" i="3"/>
  <c r="I121" i="3"/>
  <c r="I118" i="3"/>
  <c r="I117" i="3"/>
  <c r="I116" i="3"/>
  <c r="I115" i="3"/>
  <c r="I112" i="3"/>
  <c r="I111" i="3"/>
  <c r="I110" i="3"/>
  <c r="I106" i="3"/>
  <c r="I105" i="3"/>
  <c r="I104" i="3"/>
  <c r="I103" i="3"/>
  <c r="I100" i="3"/>
  <c r="I99" i="3"/>
  <c r="I98" i="3"/>
  <c r="I95" i="3"/>
  <c r="I92" i="3"/>
  <c r="I89" i="3"/>
  <c r="I88" i="3"/>
  <c r="I87" i="3"/>
  <c r="I83" i="3"/>
  <c r="I84" i="3"/>
  <c r="I82" i="3"/>
  <c r="I79" i="3"/>
  <c r="I78" i="3"/>
  <c r="I77" i="3"/>
  <c r="I76" i="3"/>
  <c r="I72" i="3"/>
  <c r="I73" i="3"/>
  <c r="I71" i="3"/>
  <c r="I67" i="3"/>
  <c r="I66" i="3"/>
  <c r="I65" i="3"/>
  <c r="I60" i="3"/>
  <c r="I53" i="3"/>
  <c r="I51" i="3"/>
  <c r="I50" i="3"/>
  <c r="I49" i="3"/>
  <c r="I48" i="3"/>
  <c r="I40" i="3"/>
  <c r="I34" i="3"/>
  <c r="I31" i="3"/>
  <c r="I28" i="3"/>
  <c r="I27" i="3"/>
  <c r="I24" i="3"/>
  <c r="I23" i="3"/>
  <c r="I22" i="3"/>
  <c r="I19" i="3"/>
  <c r="I18" i="3"/>
  <c r="I6" i="3"/>
  <c r="I7" i="3"/>
  <c r="I8" i="3"/>
  <c r="I9" i="3"/>
  <c r="I10" i="3"/>
  <c r="I11" i="3"/>
  <c r="I12" i="3"/>
  <c r="I13" i="3"/>
  <c r="I14" i="3"/>
  <c r="I15" i="3"/>
  <c r="I5" i="3"/>
  <c r="L138" i="3" l="1"/>
  <c r="K138" i="3" s="1"/>
  <c r="E219" i="11"/>
  <c r="F174" i="10"/>
  <c r="E227" i="11"/>
  <c r="F182" i="10"/>
  <c r="E245" i="11"/>
  <c r="F203" i="10"/>
  <c r="E231" i="11"/>
  <c r="F186" i="10"/>
  <c r="E244" i="11"/>
  <c r="F202" i="10"/>
  <c r="E251" i="11"/>
  <c r="F206" i="10"/>
  <c r="E257" i="11"/>
  <c r="F212" i="10"/>
  <c r="E212" i="11"/>
  <c r="F169" i="10"/>
  <c r="E205" i="11"/>
  <c r="F160" i="10"/>
  <c r="E217" i="11"/>
  <c r="F172" i="10"/>
  <c r="E221" i="11"/>
  <c r="F176" i="10"/>
  <c r="E228" i="11"/>
  <c r="F183" i="10"/>
  <c r="E232" i="11"/>
  <c r="F187" i="10"/>
  <c r="E233" i="11"/>
  <c r="F188" i="10"/>
  <c r="E239" i="11"/>
  <c r="F194" i="10"/>
  <c r="E247" i="11"/>
  <c r="F199" i="10"/>
  <c r="E252" i="11"/>
  <c r="F207" i="10"/>
  <c r="E276" i="11"/>
  <c r="F231" i="10"/>
  <c r="E207" i="11"/>
  <c r="F164" i="10"/>
  <c r="E223" i="11"/>
  <c r="F178" i="10"/>
  <c r="E241" i="11"/>
  <c r="F196" i="10"/>
  <c r="E238" i="11"/>
  <c r="F193" i="10"/>
  <c r="E237" i="11"/>
  <c r="F192" i="10"/>
  <c r="E249" i="11"/>
  <c r="F201" i="10"/>
  <c r="E242" i="11"/>
  <c r="F197" i="10"/>
  <c r="E255" i="11"/>
  <c r="F210" i="10"/>
  <c r="E213" i="11"/>
  <c r="E215" i="11"/>
  <c r="F162" i="10"/>
  <c r="E225" i="11"/>
  <c r="F180" i="10"/>
  <c r="E229" i="11"/>
  <c r="F184" i="10"/>
  <c r="E248" i="11"/>
  <c r="F200" i="10"/>
  <c r="E243" i="11"/>
  <c r="F204" i="10"/>
  <c r="E240" i="11"/>
  <c r="F195" i="10"/>
  <c r="F211" i="10"/>
  <c r="E254" i="11"/>
  <c r="F209" i="10"/>
  <c r="F170" i="10"/>
  <c r="K914" i="3"/>
  <c r="L910" i="3"/>
  <c r="C189" i="10" s="1"/>
  <c r="L916" i="3"/>
  <c r="C190" i="10" s="1"/>
  <c r="K239" i="3"/>
  <c r="K783" i="3"/>
  <c r="L779" i="3"/>
  <c r="C168" i="10" s="1"/>
  <c r="L765" i="3"/>
  <c r="C166" i="10" s="1"/>
  <c r="L968" i="3"/>
  <c r="C198" i="10" s="1"/>
  <c r="K763" i="3"/>
  <c r="L759" i="3"/>
  <c r="L923" i="3"/>
  <c r="C191" i="10" s="1"/>
  <c r="C79" i="10"/>
  <c r="C112" i="10"/>
  <c r="C135" i="10"/>
  <c r="C110" i="10"/>
  <c r="C141" i="10"/>
  <c r="C94" i="10"/>
  <c r="Q1026" i="3"/>
  <c r="Q1006" i="3"/>
  <c r="Q828" i="3"/>
  <c r="Q1124" i="3"/>
  <c r="L71" i="3"/>
  <c r="K71" i="3" s="1"/>
  <c r="L99" i="3"/>
  <c r="K99" i="3" s="1"/>
  <c r="L246" i="3"/>
  <c r="K246" i="3" s="1"/>
  <c r="L187" i="3"/>
  <c r="K187" i="3" s="1"/>
  <c r="L217" i="3"/>
  <c r="K217" i="3" s="1"/>
  <c r="O923" i="3"/>
  <c r="O886" i="3" s="1"/>
  <c r="J928" i="3"/>
  <c r="M928" i="3" s="1"/>
  <c r="Q928" i="3" s="1"/>
  <c r="Q923" i="3" s="1"/>
  <c r="J968" i="3"/>
  <c r="Q972" i="3"/>
  <c r="Q968" i="3" s="1"/>
  <c r="M968" i="3"/>
  <c r="Q921" i="3"/>
  <c r="Q916" i="3" s="1"/>
  <c r="M916" i="3"/>
  <c r="J916" i="3"/>
  <c r="J910" i="3"/>
  <c r="Q914" i="3"/>
  <c r="Q910" i="3" s="1"/>
  <c r="M910" i="3"/>
  <c r="L115" i="3"/>
  <c r="K115" i="3" s="1"/>
  <c r="L140" i="3"/>
  <c r="K140" i="3" s="1"/>
  <c r="O772" i="3"/>
  <c r="O745" i="3" s="1"/>
  <c r="J530" i="3"/>
  <c r="L274" i="3"/>
  <c r="K274" i="3" s="1"/>
  <c r="J777" i="3"/>
  <c r="M777" i="3" s="1"/>
  <c r="L777" i="3"/>
  <c r="K777" i="3" s="1"/>
  <c r="J765" i="3"/>
  <c r="Q770" i="3"/>
  <c r="Q765" i="3" s="1"/>
  <c r="M765" i="3"/>
  <c r="J779" i="3"/>
  <c r="Q783" i="3"/>
  <c r="Q779" i="3" s="1"/>
  <c r="M779" i="3"/>
  <c r="Q763" i="3"/>
  <c r="Q759" i="3" s="1"/>
  <c r="M759" i="3"/>
  <c r="J759" i="3"/>
  <c r="L224" i="3"/>
  <c r="K224" i="3" s="1"/>
  <c r="L318" i="3"/>
  <c r="K318" i="3" s="1"/>
  <c r="L329" i="3"/>
  <c r="L360" i="3"/>
  <c r="K360" i="3" s="1"/>
  <c r="L412" i="3"/>
  <c r="K412" i="3" s="1"/>
  <c r="L489" i="3"/>
  <c r="K489" i="3" s="1"/>
  <c r="L526" i="3"/>
  <c r="L607" i="3"/>
  <c r="K607" i="3" s="1"/>
  <c r="L555" i="3"/>
  <c r="K555" i="3" s="1"/>
  <c r="L576" i="3"/>
  <c r="L103" i="3"/>
  <c r="K103" i="3" s="1"/>
  <c r="L394" i="3"/>
  <c r="K394" i="3" s="1"/>
  <c r="L516" i="3"/>
  <c r="K516" i="3" s="1"/>
  <c r="L522" i="3"/>
  <c r="K522" i="3" s="1"/>
  <c r="K530" i="3"/>
  <c r="L254" i="3"/>
  <c r="K254" i="3" s="1"/>
  <c r="L261" i="3"/>
  <c r="K261" i="3" s="1"/>
  <c r="L283" i="3"/>
  <c r="L291" i="3"/>
  <c r="K291" i="3" s="1"/>
  <c r="L150" i="3"/>
  <c r="K150" i="3" s="1"/>
  <c r="L157" i="3"/>
  <c r="K157" i="3" s="1"/>
  <c r="L163" i="3"/>
  <c r="K163" i="3" s="1"/>
  <c r="L287" i="3"/>
  <c r="L295" i="3"/>
  <c r="K295" i="3" s="1"/>
  <c r="L317" i="3"/>
  <c r="L344" i="3"/>
  <c r="L355" i="3"/>
  <c r="L403" i="3"/>
  <c r="K403" i="3" s="1"/>
  <c r="L557" i="3"/>
  <c r="K557" i="3" s="1"/>
  <c r="L437" i="3"/>
  <c r="C90" i="10" s="1"/>
  <c r="L446" i="3"/>
  <c r="L66" i="3"/>
  <c r="K66" i="3" s="1"/>
  <c r="L77" i="3"/>
  <c r="K77" i="3" s="1"/>
  <c r="L83" i="3"/>
  <c r="K83" i="3" s="1"/>
  <c r="L588" i="3"/>
  <c r="L602" i="3"/>
  <c r="L596" i="3"/>
  <c r="C127" i="10" s="1"/>
  <c r="L381" i="3"/>
  <c r="C80" i="10" s="1"/>
  <c r="L529" i="3"/>
  <c r="C109" i="10" s="1"/>
  <c r="L202" i="3"/>
  <c r="L232" i="3"/>
  <c r="L330" i="3"/>
  <c r="K330" i="3" s="1"/>
  <c r="L359" i="3"/>
  <c r="L357" i="3" s="1"/>
  <c r="L585" i="3"/>
  <c r="L584" i="3" s="1"/>
  <c r="L305" i="3"/>
  <c r="K305" i="3" s="1"/>
  <c r="L320" i="3"/>
  <c r="L341" i="3"/>
  <c r="L421" i="3"/>
  <c r="L342" i="3"/>
  <c r="K342" i="3" s="1"/>
  <c r="L472" i="3"/>
  <c r="L482" i="3"/>
  <c r="L582" i="3"/>
  <c r="L581" i="3" s="1"/>
  <c r="L613" i="3"/>
  <c r="L620" i="3"/>
  <c r="L639" i="3"/>
  <c r="L638" i="3" s="1"/>
  <c r="L86" i="3"/>
  <c r="K89" i="3"/>
  <c r="K461" i="3"/>
  <c r="L477" i="3"/>
  <c r="K60" i="3"/>
  <c r="H118" i="3"/>
  <c r="H116" i="3"/>
  <c r="K127" i="3"/>
  <c r="L631" i="3"/>
  <c r="K631" i="3" s="1"/>
  <c r="L517" i="3"/>
  <c r="K517" i="3" s="1"/>
  <c r="L523" i="3"/>
  <c r="K523" i="3" s="1"/>
  <c r="L527" i="3"/>
  <c r="L525" i="3" s="1"/>
  <c r="L551" i="3"/>
  <c r="L556" i="3"/>
  <c r="K556" i="3" s="1"/>
  <c r="L573" i="3"/>
  <c r="L579" i="3"/>
  <c r="L578" i="3" s="1"/>
  <c r="L622" i="3"/>
  <c r="K622" i="3" s="1"/>
  <c r="L301" i="3"/>
  <c r="L434" i="3"/>
  <c r="L427" i="3" s="1"/>
  <c r="C89" i="10" s="1"/>
  <c r="L84" i="3"/>
  <c r="L194" i="3"/>
  <c r="L201" i="3"/>
  <c r="L4" i="3"/>
  <c r="L286" i="3"/>
  <c r="L186" i="3"/>
  <c r="L290" i="3"/>
  <c r="L307" i="3"/>
  <c r="H110" i="3"/>
  <c r="L110" i="3" s="1"/>
  <c r="K110" i="3" s="1"/>
  <c r="H111" i="3"/>
  <c r="J461" i="3"/>
  <c r="J538" i="3"/>
  <c r="J428" i="3"/>
  <c r="F429" i="3"/>
  <c r="F430" i="3" s="1"/>
  <c r="F431" i="3" s="1"/>
  <c r="J431" i="3" s="1"/>
  <c r="J447" i="3"/>
  <c r="J531" i="3"/>
  <c r="H117" i="3"/>
  <c r="N134" i="3"/>
  <c r="H352" i="3"/>
  <c r="L352" i="3" s="1"/>
  <c r="F448" i="3"/>
  <c r="H304" i="3"/>
  <c r="L304" i="3" s="1"/>
  <c r="J438" i="3"/>
  <c r="F532" i="3"/>
  <c r="F539" i="3"/>
  <c r="P134" i="3"/>
  <c r="J439" i="3"/>
  <c r="J459" i="3"/>
  <c r="J460" i="3"/>
  <c r="F467" i="3"/>
  <c r="J467" i="3" s="1"/>
  <c r="J466" i="3"/>
  <c r="J465" i="3"/>
  <c r="J441" i="3"/>
  <c r="F442" i="3"/>
  <c r="K442" i="3" s="1"/>
  <c r="J440" i="3"/>
  <c r="N18" i="3"/>
  <c r="M18" i="3"/>
  <c r="N22" i="3"/>
  <c r="P22" i="3"/>
  <c r="N24" i="3"/>
  <c r="P24" i="3"/>
  <c r="N28" i="3"/>
  <c r="P28" i="3"/>
  <c r="N34" i="3"/>
  <c r="M34" i="3"/>
  <c r="N40" i="3"/>
  <c r="P40" i="3"/>
  <c r="M48" i="3"/>
  <c r="P48" i="3"/>
  <c r="N50" i="3"/>
  <c r="M50" i="3"/>
  <c r="P50" i="3"/>
  <c r="N53" i="3"/>
  <c r="P53" i="3"/>
  <c r="N60" i="3"/>
  <c r="P60" i="3"/>
  <c r="N66" i="3"/>
  <c r="P66" i="3"/>
  <c r="N71" i="3"/>
  <c r="M71" i="3"/>
  <c r="P71" i="3"/>
  <c r="N73" i="3"/>
  <c r="M73" i="3"/>
  <c r="P73" i="3"/>
  <c r="N77" i="3"/>
  <c r="M77" i="3"/>
  <c r="P77" i="3"/>
  <c r="N79" i="3"/>
  <c r="P79" i="3"/>
  <c r="N83" i="3"/>
  <c r="M83" i="3"/>
  <c r="P83" i="3"/>
  <c r="M87" i="3"/>
  <c r="P87" i="3"/>
  <c r="N89" i="3"/>
  <c r="P89" i="3"/>
  <c r="M95" i="3"/>
  <c r="P95" i="3"/>
  <c r="N99" i="3"/>
  <c r="M99" i="3"/>
  <c r="P99" i="3"/>
  <c r="N103" i="3"/>
  <c r="M103" i="3"/>
  <c r="P103" i="3"/>
  <c r="N105" i="3"/>
  <c r="P105" i="3"/>
  <c r="N110" i="3"/>
  <c r="M110" i="3"/>
  <c r="P110" i="3"/>
  <c r="N112" i="3"/>
  <c r="P112" i="3"/>
  <c r="N116" i="3"/>
  <c r="M116" i="3"/>
  <c r="P116" i="3"/>
  <c r="N118" i="3"/>
  <c r="P118" i="3"/>
  <c r="N122" i="3"/>
  <c r="M122" i="3"/>
  <c r="P122" i="3"/>
  <c r="N124" i="3"/>
  <c r="P124" i="3"/>
  <c r="N128" i="3"/>
  <c r="M128" i="3"/>
  <c r="P128" i="3"/>
  <c r="N130" i="3"/>
  <c r="M130" i="3"/>
  <c r="P130" i="3"/>
  <c r="N132" i="3"/>
  <c r="M132" i="3"/>
  <c r="P132" i="3"/>
  <c r="N138" i="3"/>
  <c r="M138" i="3"/>
  <c r="P138" i="3"/>
  <c r="N141" i="3"/>
  <c r="M141" i="3"/>
  <c r="P141" i="3"/>
  <c r="N144" i="3"/>
  <c r="M144" i="3"/>
  <c r="P144" i="3"/>
  <c r="N146" i="3"/>
  <c r="P146" i="3"/>
  <c r="N150" i="3"/>
  <c r="M150" i="3"/>
  <c r="P150" i="3"/>
  <c r="N152" i="3"/>
  <c r="M152" i="3"/>
  <c r="P152" i="3"/>
  <c r="N157" i="3"/>
  <c r="M157" i="3"/>
  <c r="P157" i="3"/>
  <c r="N159" i="3"/>
  <c r="M159" i="3"/>
  <c r="P159" i="3"/>
  <c r="N163" i="3"/>
  <c r="M163" i="3"/>
  <c r="P163" i="3"/>
  <c r="N166" i="3"/>
  <c r="M166" i="3"/>
  <c r="P166" i="3"/>
  <c r="N169" i="3"/>
  <c r="M169" i="3"/>
  <c r="P169" i="3"/>
  <c r="N171" i="3"/>
  <c r="P171" i="3"/>
  <c r="N175" i="3"/>
  <c r="M175" i="3"/>
  <c r="N180" i="3"/>
  <c r="M180" i="3"/>
  <c r="P180" i="3"/>
  <c r="N182" i="3"/>
  <c r="P182" i="3"/>
  <c r="N187" i="3"/>
  <c r="M187" i="3"/>
  <c r="P187" i="3"/>
  <c r="N189" i="3"/>
  <c r="P189" i="3"/>
  <c r="M189" i="3"/>
  <c r="M193" i="3"/>
  <c r="P193" i="3"/>
  <c r="N195" i="3"/>
  <c r="P195" i="3"/>
  <c r="M195" i="3"/>
  <c r="N197" i="3"/>
  <c r="P197" i="3"/>
  <c r="N202" i="3"/>
  <c r="P202" i="3"/>
  <c r="M202" i="3"/>
  <c r="N204" i="3"/>
  <c r="M204" i="3"/>
  <c r="O208" i="3"/>
  <c r="M208" i="3"/>
  <c r="N210" i="3"/>
  <c r="M210" i="3"/>
  <c r="O212" i="3"/>
  <c r="N212" i="3"/>
  <c r="N217" i="3"/>
  <c r="M217" i="3"/>
  <c r="N219" i="3"/>
  <c r="M219" i="3"/>
  <c r="O223" i="3"/>
  <c r="M223" i="3"/>
  <c r="N225" i="3"/>
  <c r="M225" i="3"/>
  <c r="O227" i="3"/>
  <c r="N227" i="3"/>
  <c r="N232" i="3"/>
  <c r="M232" i="3"/>
  <c r="N234" i="3"/>
  <c r="M234" i="3"/>
  <c r="O238" i="3"/>
  <c r="M238" i="3"/>
  <c r="N240" i="3"/>
  <c r="M240" i="3"/>
  <c r="O242" i="3"/>
  <c r="N242" i="3"/>
  <c r="N246" i="3"/>
  <c r="M246" i="3"/>
  <c r="N248" i="3"/>
  <c r="M248" i="3"/>
  <c r="O253" i="3"/>
  <c r="M253" i="3"/>
  <c r="N255" i="3"/>
  <c r="M255" i="3"/>
  <c r="O257" i="3"/>
  <c r="N257" i="3"/>
  <c r="N261" i="3"/>
  <c r="M261" i="3"/>
  <c r="N263" i="3"/>
  <c r="M263" i="3"/>
  <c r="O267" i="3"/>
  <c r="M267" i="3"/>
  <c r="N269" i="3"/>
  <c r="M269" i="3"/>
  <c r="O271" i="3"/>
  <c r="N271" i="3"/>
  <c r="P275" i="3"/>
  <c r="N275" i="3"/>
  <c r="M275" i="3"/>
  <c r="O277" i="3"/>
  <c r="N277" i="3"/>
  <c r="P277" i="3"/>
  <c r="O283" i="3"/>
  <c r="N283" i="3"/>
  <c r="M283" i="3"/>
  <c r="O287" i="3"/>
  <c r="N287" i="3"/>
  <c r="M287" i="3"/>
  <c r="O291" i="3"/>
  <c r="N291" i="3"/>
  <c r="M291" i="3"/>
  <c r="O295" i="3"/>
  <c r="N295" i="3"/>
  <c r="M295" i="3"/>
  <c r="O300" i="3"/>
  <c r="P300" i="3"/>
  <c r="M300" i="3"/>
  <c r="M302" i="3"/>
  <c r="P302" i="3"/>
  <c r="O302" i="3"/>
  <c r="P305" i="3"/>
  <c r="O305" i="3"/>
  <c r="N305" i="3"/>
  <c r="M312" i="3"/>
  <c r="P312" i="3"/>
  <c r="O312" i="3"/>
  <c r="M314" i="3"/>
  <c r="P314" i="3"/>
  <c r="O314" i="3"/>
  <c r="N317" i="3"/>
  <c r="M317" i="3"/>
  <c r="P317" i="3"/>
  <c r="N320" i="3"/>
  <c r="M320" i="3"/>
  <c r="M325" i="3"/>
  <c r="P325" i="3"/>
  <c r="O325" i="3"/>
  <c r="M327" i="3"/>
  <c r="P327" i="3"/>
  <c r="O327" i="3"/>
  <c r="N330" i="3"/>
  <c r="P330" i="3"/>
  <c r="O330" i="3"/>
  <c r="M336" i="3"/>
  <c r="P336" i="3"/>
  <c r="M338" i="3"/>
  <c r="P338" i="3"/>
  <c r="O338" i="3"/>
  <c r="N341" i="3"/>
  <c r="M341" i="3"/>
  <c r="P341" i="3"/>
  <c r="N344" i="3"/>
  <c r="M344" i="3"/>
  <c r="O344" i="3"/>
  <c r="M349" i="3"/>
  <c r="P349" i="3"/>
  <c r="N352" i="3"/>
  <c r="M352" i="3"/>
  <c r="P352" i="3"/>
  <c r="N355" i="3"/>
  <c r="M355" i="3"/>
  <c r="O355" i="3"/>
  <c r="N359" i="3"/>
  <c r="P359" i="3"/>
  <c r="O359" i="3"/>
  <c r="N365" i="3"/>
  <c r="M365" i="3"/>
  <c r="N372" i="3"/>
  <c r="M372" i="3"/>
  <c r="O372" i="3"/>
  <c r="N379" i="3"/>
  <c r="M379" i="3"/>
  <c r="O379" i="3"/>
  <c r="M383" i="3"/>
  <c r="P383" i="3"/>
  <c r="O383" i="3"/>
  <c r="N385" i="3"/>
  <c r="P385" i="3"/>
  <c r="M392" i="3"/>
  <c r="P392" i="3"/>
  <c r="O392" i="3"/>
  <c r="N395" i="3"/>
  <c r="P395" i="3"/>
  <c r="O395" i="3"/>
  <c r="M400" i="3"/>
  <c r="P400" i="3"/>
  <c r="O400" i="3"/>
  <c r="N403" i="3"/>
  <c r="M403" i="3"/>
  <c r="P403" i="3"/>
  <c r="N405" i="3"/>
  <c r="M405" i="3"/>
  <c r="P405" i="3"/>
  <c r="M410" i="3"/>
  <c r="P410" i="3"/>
  <c r="O410" i="3"/>
  <c r="N413" i="3"/>
  <c r="P413" i="3"/>
  <c r="O413" i="3"/>
  <c r="M418" i="3"/>
  <c r="P418" i="3"/>
  <c r="N421" i="3"/>
  <c r="M421" i="3"/>
  <c r="P421" i="3"/>
  <c r="N423" i="3"/>
  <c r="M423" i="3"/>
  <c r="P423" i="3"/>
  <c r="P429" i="3"/>
  <c r="N429" i="3"/>
  <c r="M429" i="3"/>
  <c r="P431" i="3"/>
  <c r="O431" i="3"/>
  <c r="N431" i="3"/>
  <c r="P433" i="3"/>
  <c r="O433" i="3"/>
  <c r="N433" i="3"/>
  <c r="P435" i="3"/>
  <c r="N435" i="3"/>
  <c r="M435" i="3"/>
  <c r="P439" i="3"/>
  <c r="O439" i="3"/>
  <c r="M439" i="3"/>
  <c r="P441" i="3"/>
  <c r="O441" i="3"/>
  <c r="M441" i="3"/>
  <c r="P443" i="3"/>
  <c r="O443" i="3"/>
  <c r="N443" i="3"/>
  <c r="P447" i="3"/>
  <c r="O447" i="3"/>
  <c r="M447" i="3"/>
  <c r="P449" i="3"/>
  <c r="O449" i="3"/>
  <c r="M449" i="3"/>
  <c r="P451" i="3"/>
  <c r="O451" i="3"/>
  <c r="N451" i="3"/>
  <c r="P453" i="3"/>
  <c r="O453" i="3"/>
  <c r="N453" i="3"/>
  <c r="P459" i="3"/>
  <c r="O459" i="3"/>
  <c r="M459" i="3"/>
  <c r="P461" i="3"/>
  <c r="O461" i="3"/>
  <c r="N461" i="3"/>
  <c r="P466" i="3"/>
  <c r="O466" i="3"/>
  <c r="M466" i="3"/>
  <c r="P471" i="3"/>
  <c r="O471" i="3"/>
  <c r="M471" i="3"/>
  <c r="P473" i="3"/>
  <c r="O473" i="3"/>
  <c r="N473" i="3"/>
  <c r="P477" i="3"/>
  <c r="N477" i="3"/>
  <c r="M477" i="3"/>
  <c r="P481" i="3"/>
  <c r="O481" i="3"/>
  <c r="M481" i="3"/>
  <c r="P483" i="3"/>
  <c r="O483" i="3"/>
  <c r="N483" i="3"/>
  <c r="P490" i="3"/>
  <c r="O490" i="3"/>
  <c r="N490" i="3"/>
  <c r="P493" i="3"/>
  <c r="N493" i="3"/>
  <c r="M493" i="3"/>
  <c r="P495" i="3"/>
  <c r="N495" i="3"/>
  <c r="M495" i="3"/>
  <c r="P499" i="3"/>
  <c r="O499" i="3"/>
  <c r="M499" i="3"/>
  <c r="P501" i="3"/>
  <c r="O501" i="3"/>
  <c r="M501" i="3"/>
  <c r="P505" i="3"/>
  <c r="O505" i="3"/>
  <c r="M505" i="3"/>
  <c r="P509" i="3"/>
  <c r="O509" i="3"/>
  <c r="M509" i="3"/>
  <c r="M511" i="3"/>
  <c r="P511" i="3"/>
  <c r="O511" i="3"/>
  <c r="M515" i="3"/>
  <c r="P515" i="3"/>
  <c r="O515" i="3"/>
  <c r="N517" i="3"/>
  <c r="P517" i="3"/>
  <c r="O517" i="3"/>
  <c r="M521" i="3"/>
  <c r="P521" i="3"/>
  <c r="O521" i="3"/>
  <c r="O22" i="3"/>
  <c r="O28" i="3"/>
  <c r="O40" i="3"/>
  <c r="O60" i="3"/>
  <c r="O89" i="3"/>
  <c r="O105" i="3"/>
  <c r="O112" i="3"/>
  <c r="O118" i="3"/>
  <c r="O124" i="3"/>
  <c r="O193" i="3"/>
  <c r="P210" i="3"/>
  <c r="P223" i="3"/>
  <c r="P234" i="3"/>
  <c r="P246" i="3"/>
  <c r="P257" i="3"/>
  <c r="P269" i="3"/>
  <c r="O349" i="3"/>
  <c r="O418" i="3"/>
  <c r="O5" i="3"/>
  <c r="N5" i="3"/>
  <c r="M5" i="3"/>
  <c r="N14" i="3"/>
  <c r="O14" i="3"/>
  <c r="P14" i="3"/>
  <c r="N12" i="3"/>
  <c r="P12" i="3"/>
  <c r="N10" i="3"/>
  <c r="P10" i="3"/>
  <c r="P8" i="3"/>
  <c r="M8" i="3"/>
  <c r="P6" i="3"/>
  <c r="M6" i="3"/>
  <c r="M10" i="3"/>
  <c r="N6" i="3"/>
  <c r="O146" i="3"/>
  <c r="O171" i="3"/>
  <c r="P212" i="3"/>
  <c r="P225" i="3"/>
  <c r="P238" i="3"/>
  <c r="P248" i="3"/>
  <c r="P261" i="3"/>
  <c r="P271" i="3"/>
  <c r="O365" i="3"/>
  <c r="N19" i="3"/>
  <c r="M19" i="3"/>
  <c r="N23" i="3"/>
  <c r="P23" i="3"/>
  <c r="N27" i="3"/>
  <c r="P27" i="3"/>
  <c r="N31" i="3"/>
  <c r="P31" i="3"/>
  <c r="N37" i="3"/>
  <c r="M37" i="3"/>
  <c r="M43" i="3"/>
  <c r="P43" i="3"/>
  <c r="M49" i="3"/>
  <c r="P49" i="3"/>
  <c r="N51" i="3"/>
  <c r="P51" i="3"/>
  <c r="M59" i="3"/>
  <c r="P59" i="3"/>
  <c r="N65" i="3"/>
  <c r="M65" i="3"/>
  <c r="P65" i="3"/>
  <c r="N67" i="3"/>
  <c r="M67" i="3"/>
  <c r="N72" i="3"/>
  <c r="P72" i="3"/>
  <c r="N76" i="3"/>
  <c r="M76" i="3"/>
  <c r="N78" i="3"/>
  <c r="M78" i="3"/>
  <c r="P78" i="3"/>
  <c r="N82" i="3"/>
  <c r="M82" i="3"/>
  <c r="P82" i="3"/>
  <c r="N84" i="3"/>
  <c r="P84" i="3"/>
  <c r="M88" i="3"/>
  <c r="P88" i="3"/>
  <c r="M92" i="3"/>
  <c r="P92" i="3"/>
  <c r="N98" i="3"/>
  <c r="M98" i="3"/>
  <c r="N100" i="3"/>
  <c r="P100" i="3"/>
  <c r="N104" i="3"/>
  <c r="M104" i="3"/>
  <c r="P104" i="3"/>
  <c r="N106" i="3"/>
  <c r="M106" i="3"/>
  <c r="N111" i="3"/>
  <c r="M111" i="3"/>
  <c r="P111" i="3"/>
  <c r="N115" i="3"/>
  <c r="M115" i="3"/>
  <c r="P115" i="3"/>
  <c r="N117" i="3"/>
  <c r="M117" i="3"/>
  <c r="P117" i="3"/>
  <c r="N121" i="3"/>
  <c r="M121" i="3"/>
  <c r="P121" i="3"/>
  <c r="N123" i="3"/>
  <c r="M123" i="3"/>
  <c r="P123" i="3"/>
  <c r="N127" i="3"/>
  <c r="M127" i="3"/>
  <c r="P127" i="3"/>
  <c r="N129" i="3"/>
  <c r="P129" i="3"/>
  <c r="N131" i="3"/>
  <c r="M131" i="3"/>
  <c r="P131" i="3"/>
  <c r="N140" i="3"/>
  <c r="M140" i="3"/>
  <c r="P140" i="3"/>
  <c r="N143" i="3"/>
  <c r="M143" i="3"/>
  <c r="P143" i="3"/>
  <c r="N145" i="3"/>
  <c r="M145" i="3"/>
  <c r="P145" i="3"/>
  <c r="N147" i="3"/>
  <c r="M147" i="3"/>
  <c r="P147" i="3"/>
  <c r="N151" i="3"/>
  <c r="M151" i="3"/>
  <c r="P151" i="3"/>
  <c r="N153" i="3"/>
  <c r="P153" i="3"/>
  <c r="N158" i="3"/>
  <c r="M158" i="3"/>
  <c r="P158" i="3"/>
  <c r="N160" i="3"/>
  <c r="P160" i="3"/>
  <c r="N165" i="3"/>
  <c r="M165" i="3"/>
  <c r="P165" i="3"/>
  <c r="N168" i="3"/>
  <c r="M168" i="3"/>
  <c r="P168" i="3"/>
  <c r="N170" i="3"/>
  <c r="M170" i="3"/>
  <c r="P170" i="3"/>
  <c r="N172" i="3"/>
  <c r="M172" i="3"/>
  <c r="P172" i="3"/>
  <c r="N179" i="3"/>
  <c r="M179" i="3"/>
  <c r="P179" i="3"/>
  <c r="N181" i="3"/>
  <c r="M181" i="3"/>
  <c r="P181" i="3"/>
  <c r="M186" i="3"/>
  <c r="P186" i="3"/>
  <c r="N188" i="3"/>
  <c r="M188" i="3"/>
  <c r="N190" i="3"/>
  <c r="P190" i="3"/>
  <c r="O190" i="3"/>
  <c r="N194" i="3"/>
  <c r="M194" i="3"/>
  <c r="N196" i="3"/>
  <c r="P196" i="3"/>
  <c r="O201" i="3"/>
  <c r="M201" i="3"/>
  <c r="N203" i="3"/>
  <c r="P203" i="3"/>
  <c r="O205" i="3"/>
  <c r="N205" i="3"/>
  <c r="P205" i="3"/>
  <c r="N209" i="3"/>
  <c r="P209" i="3"/>
  <c r="M209" i="3"/>
  <c r="N211" i="3"/>
  <c r="P211" i="3"/>
  <c r="M211" i="3"/>
  <c r="O216" i="3"/>
  <c r="P216" i="3"/>
  <c r="M216" i="3"/>
  <c r="N218" i="3"/>
  <c r="P218" i="3"/>
  <c r="M218" i="3"/>
  <c r="O220" i="3"/>
  <c r="N220" i="3"/>
  <c r="P220" i="3"/>
  <c r="N224" i="3"/>
  <c r="P224" i="3"/>
  <c r="M224" i="3"/>
  <c r="N226" i="3"/>
  <c r="P226" i="3"/>
  <c r="M226" i="3"/>
  <c r="O231" i="3"/>
  <c r="P231" i="3"/>
  <c r="M231" i="3"/>
  <c r="N233" i="3"/>
  <c r="P233" i="3"/>
  <c r="M233" i="3"/>
  <c r="O235" i="3"/>
  <c r="N235" i="3"/>
  <c r="P235" i="3"/>
  <c r="N239" i="3"/>
  <c r="P239" i="3"/>
  <c r="M239" i="3"/>
  <c r="N241" i="3"/>
  <c r="P241" i="3"/>
  <c r="M241" i="3"/>
  <c r="O245" i="3"/>
  <c r="P245" i="3"/>
  <c r="M245" i="3"/>
  <c r="N247" i="3"/>
  <c r="P247" i="3"/>
  <c r="M247" i="3"/>
  <c r="O249" i="3"/>
  <c r="N249" i="3"/>
  <c r="P249" i="3"/>
  <c r="N254" i="3"/>
  <c r="P254" i="3"/>
  <c r="M254" i="3"/>
  <c r="N256" i="3"/>
  <c r="P256" i="3"/>
  <c r="M256" i="3"/>
  <c r="O260" i="3"/>
  <c r="P260" i="3"/>
  <c r="M260" i="3"/>
  <c r="N262" i="3"/>
  <c r="P262" i="3"/>
  <c r="M262" i="3"/>
  <c r="O264" i="3"/>
  <c r="N264" i="3"/>
  <c r="P264" i="3"/>
  <c r="N268" i="3"/>
  <c r="P268" i="3"/>
  <c r="M268" i="3"/>
  <c r="N270" i="3"/>
  <c r="P270" i="3"/>
  <c r="M270" i="3"/>
  <c r="P274" i="3"/>
  <c r="N274" i="3"/>
  <c r="M274" i="3"/>
  <c r="M276" i="3"/>
  <c r="P276" i="3"/>
  <c r="O282" i="3"/>
  <c r="M282" i="3"/>
  <c r="O286" i="3"/>
  <c r="M286" i="3"/>
  <c r="O290" i="3"/>
  <c r="M290" i="3"/>
  <c r="O294" i="3"/>
  <c r="M294" i="3"/>
  <c r="O299" i="3"/>
  <c r="M299" i="3"/>
  <c r="O301" i="3"/>
  <c r="M301" i="3"/>
  <c r="M304" i="3"/>
  <c r="P304" i="3"/>
  <c r="N304" i="3"/>
  <c r="M307" i="3"/>
  <c r="N307" i="3"/>
  <c r="M313" i="3"/>
  <c r="P313" i="3"/>
  <c r="O313" i="3"/>
  <c r="M315" i="3"/>
  <c r="P315" i="3"/>
  <c r="O315" i="3"/>
  <c r="N318" i="3"/>
  <c r="P318" i="3"/>
  <c r="O318" i="3"/>
  <c r="M324" i="3"/>
  <c r="P324" i="3"/>
  <c r="O324" i="3"/>
  <c r="M326" i="3"/>
  <c r="P326" i="3"/>
  <c r="O326" i="3"/>
  <c r="N329" i="3"/>
  <c r="M329" i="3"/>
  <c r="P329" i="3"/>
  <c r="N332" i="3"/>
  <c r="M332" i="3"/>
  <c r="O332" i="3"/>
  <c r="M337" i="3"/>
  <c r="P337" i="3"/>
  <c r="O337" i="3"/>
  <c r="M339" i="3"/>
  <c r="P339" i="3"/>
  <c r="O339" i="3"/>
  <c r="N342" i="3"/>
  <c r="P342" i="3"/>
  <c r="O342" i="3"/>
  <c r="M348" i="3"/>
  <c r="P348" i="3"/>
  <c r="O348" i="3"/>
  <c r="M350" i="3"/>
  <c r="P350" i="3"/>
  <c r="O350" i="3"/>
  <c r="N353" i="3"/>
  <c r="P353" i="3"/>
  <c r="O353" i="3"/>
  <c r="M358" i="3"/>
  <c r="P358" i="3"/>
  <c r="O358" i="3"/>
  <c r="N360" i="3"/>
  <c r="M360" i="3"/>
  <c r="P360" i="3"/>
  <c r="N368" i="3"/>
  <c r="M368" i="3"/>
  <c r="O368" i="3"/>
  <c r="N375" i="3"/>
  <c r="M375" i="3"/>
  <c r="O375" i="3"/>
  <c r="M382" i="3"/>
  <c r="P382" i="3"/>
  <c r="O382" i="3"/>
  <c r="N384" i="3"/>
  <c r="M384" i="3"/>
  <c r="P384" i="3"/>
  <c r="M391" i="3"/>
  <c r="P391" i="3"/>
  <c r="O391" i="3"/>
  <c r="N394" i="3"/>
  <c r="M394" i="3"/>
  <c r="P394" i="3"/>
  <c r="N396" i="3"/>
  <c r="M396" i="3"/>
  <c r="P396" i="3"/>
  <c r="M401" i="3"/>
  <c r="P401" i="3"/>
  <c r="O401" i="3"/>
  <c r="N404" i="3"/>
  <c r="P404" i="3"/>
  <c r="O404" i="3"/>
  <c r="M409" i="3"/>
  <c r="P409" i="3"/>
  <c r="O409" i="3"/>
  <c r="N412" i="3"/>
  <c r="M412" i="3"/>
  <c r="P412" i="3"/>
  <c r="N414" i="3"/>
  <c r="M414" i="3"/>
  <c r="P414" i="3"/>
  <c r="M419" i="3"/>
  <c r="P419" i="3"/>
  <c r="O419" i="3"/>
  <c r="N422" i="3"/>
  <c r="P422" i="3"/>
  <c r="O422" i="3"/>
  <c r="O428" i="3"/>
  <c r="M428" i="3"/>
  <c r="P428" i="3"/>
  <c r="P430" i="3"/>
  <c r="O430" i="3"/>
  <c r="M430" i="3"/>
  <c r="P432" i="3"/>
  <c r="O432" i="3"/>
  <c r="N432" i="3"/>
  <c r="P434" i="3"/>
  <c r="O434" i="3"/>
  <c r="P438" i="3"/>
  <c r="O438" i="3"/>
  <c r="M438" i="3"/>
  <c r="P440" i="3"/>
  <c r="O440" i="3"/>
  <c r="M440" i="3"/>
  <c r="P442" i="3"/>
  <c r="O442" i="3"/>
  <c r="N442" i="3"/>
  <c r="P444" i="3"/>
  <c r="O444" i="3"/>
  <c r="N444" i="3"/>
  <c r="P448" i="3"/>
  <c r="M448" i="3"/>
  <c r="N448" i="3"/>
  <c r="P450" i="3"/>
  <c r="O450" i="3"/>
  <c r="N450" i="3"/>
  <c r="P452" i="3"/>
  <c r="O452" i="3"/>
  <c r="N452" i="3"/>
  <c r="P454" i="3"/>
  <c r="M454" i="3"/>
  <c r="P460" i="3"/>
  <c r="O460" i="3"/>
  <c r="M460" i="3"/>
  <c r="P465" i="3"/>
  <c r="O465" i="3"/>
  <c r="M465" i="3"/>
  <c r="P467" i="3"/>
  <c r="O467" i="3"/>
  <c r="N467" i="3"/>
  <c r="P472" i="3"/>
  <c r="M472" i="3"/>
  <c r="N472" i="3"/>
  <c r="P476" i="3"/>
  <c r="O476" i="3"/>
  <c r="M476" i="3"/>
  <c r="P478" i="3"/>
  <c r="O478" i="3"/>
  <c r="N478" i="3"/>
  <c r="P482" i="3"/>
  <c r="M482" i="3"/>
  <c r="N482" i="3"/>
  <c r="P489" i="3"/>
  <c r="M489" i="3"/>
  <c r="P491" i="3"/>
  <c r="O491" i="3"/>
  <c r="M491" i="3"/>
  <c r="P494" i="3"/>
  <c r="M494" i="3"/>
  <c r="N494" i="3"/>
  <c r="P496" i="3"/>
  <c r="O496" i="3"/>
  <c r="N496" i="3"/>
  <c r="P500" i="3"/>
  <c r="O500" i="3"/>
  <c r="M500" i="3"/>
  <c r="P504" i="3"/>
  <c r="O504" i="3"/>
  <c r="M504" i="3"/>
  <c r="P506" i="3"/>
  <c r="O506" i="3"/>
  <c r="M506" i="3"/>
  <c r="P510" i="3"/>
  <c r="O510" i="3"/>
  <c r="M510" i="3"/>
  <c r="M514" i="3"/>
  <c r="P514" i="3"/>
  <c r="O514" i="3"/>
  <c r="N516" i="3"/>
  <c r="M516" i="3"/>
  <c r="P516" i="3"/>
  <c r="M520" i="3"/>
  <c r="P520" i="3"/>
  <c r="O520" i="3"/>
  <c r="N522" i="3"/>
  <c r="M522" i="3"/>
  <c r="P522" i="3"/>
  <c r="N526" i="3"/>
  <c r="M526" i="3"/>
  <c r="O526" i="3"/>
  <c r="N530" i="3"/>
  <c r="M530" i="3"/>
  <c r="P530" i="3"/>
  <c r="M532" i="3"/>
  <c r="P532" i="3"/>
  <c r="O532" i="3"/>
  <c r="M534" i="3"/>
  <c r="P534" i="3"/>
  <c r="O534" i="3"/>
  <c r="M538" i="3"/>
  <c r="P538" i="3"/>
  <c r="O538" i="3"/>
  <c r="O540" i="3"/>
  <c r="M540" i="3"/>
  <c r="P540" i="3"/>
  <c r="O542" i="3"/>
  <c r="P542" i="3"/>
  <c r="N542" i="3"/>
  <c r="O547" i="3"/>
  <c r="M547" i="3"/>
  <c r="P547" i="3"/>
  <c r="O549" i="3"/>
  <c r="M549" i="3"/>
  <c r="P549" i="3"/>
  <c r="O552" i="3"/>
  <c r="P552" i="3"/>
  <c r="N552" i="3"/>
  <c r="M555" i="3"/>
  <c r="P555" i="3"/>
  <c r="N555" i="3"/>
  <c r="M557" i="3"/>
  <c r="P557" i="3"/>
  <c r="N557" i="3"/>
  <c r="O561" i="3"/>
  <c r="M561" i="3"/>
  <c r="N561" i="3"/>
  <c r="O568" i="3"/>
  <c r="M568" i="3"/>
  <c r="N568" i="3"/>
  <c r="O576" i="3"/>
  <c r="M576" i="3"/>
  <c r="N576" i="3"/>
  <c r="O582" i="3"/>
  <c r="M582" i="3"/>
  <c r="N582" i="3"/>
  <c r="O589" i="3"/>
  <c r="M589" i="3"/>
  <c r="N589" i="3"/>
  <c r="O591" i="3"/>
  <c r="P591" i="3"/>
  <c r="N591" i="3"/>
  <c r="O599" i="3"/>
  <c r="P599" i="3"/>
  <c r="N599" i="3"/>
  <c r="M603" i="3"/>
  <c r="P603" i="3"/>
  <c r="N603" i="3"/>
  <c r="P607" i="3"/>
  <c r="N607" i="3"/>
  <c r="M607" i="3"/>
  <c r="P609" i="3"/>
  <c r="N609" i="3"/>
  <c r="M609" i="3"/>
  <c r="P613" i="3"/>
  <c r="N613" i="3"/>
  <c r="M613" i="3"/>
  <c r="P615" i="3"/>
  <c r="N615" i="3"/>
  <c r="M615" i="3"/>
  <c r="P620" i="3"/>
  <c r="N620" i="3"/>
  <c r="M620" i="3"/>
  <c r="P623" i="3"/>
  <c r="N623" i="3"/>
  <c r="M623" i="3"/>
  <c r="P626" i="3"/>
  <c r="N626" i="3"/>
  <c r="M626" i="3"/>
  <c r="P628" i="3"/>
  <c r="O628" i="3"/>
  <c r="N628" i="3"/>
  <c r="P631" i="3"/>
  <c r="N631" i="3"/>
  <c r="M631" i="3"/>
  <c r="P633" i="3"/>
  <c r="N633" i="3"/>
  <c r="M633" i="3"/>
  <c r="O639" i="3"/>
  <c r="N639" i="3"/>
  <c r="M639" i="3"/>
  <c r="O646" i="3"/>
  <c r="N646" i="3"/>
  <c r="M646" i="3"/>
  <c r="O652" i="3"/>
  <c r="N652" i="3"/>
  <c r="M652" i="3"/>
  <c r="O658" i="3"/>
  <c r="N658" i="3"/>
  <c r="M658" i="3"/>
  <c r="O665" i="3"/>
  <c r="N665" i="3"/>
  <c r="M665" i="3"/>
  <c r="P667" i="3"/>
  <c r="O667" i="3"/>
  <c r="M667" i="3"/>
  <c r="O671" i="3"/>
  <c r="N671" i="3"/>
  <c r="M671" i="3"/>
  <c r="P676" i="3"/>
  <c r="O676" i="3"/>
  <c r="M676" i="3"/>
  <c r="P678" i="3"/>
  <c r="O678" i="3"/>
  <c r="M678" i="3"/>
  <c r="P682" i="3"/>
  <c r="O682" i="3"/>
  <c r="M682" i="3"/>
  <c r="O684" i="3"/>
  <c r="N684" i="3"/>
  <c r="M684" i="3"/>
  <c r="O688" i="3"/>
  <c r="N688" i="3"/>
  <c r="M688" i="3"/>
  <c r="P692" i="3"/>
  <c r="O692" i="3"/>
  <c r="M692" i="3"/>
  <c r="P694" i="3"/>
  <c r="O694" i="3"/>
  <c r="M694" i="3"/>
  <c r="P704" i="3"/>
  <c r="O704" i="3"/>
  <c r="N704" i="3"/>
  <c r="P710" i="3"/>
  <c r="N710" i="3"/>
  <c r="M710" i="3"/>
  <c r="P714" i="3"/>
  <c r="N714" i="3"/>
  <c r="M714" i="3"/>
  <c r="P720" i="3"/>
  <c r="O720" i="3"/>
  <c r="N720" i="3"/>
  <c r="O18" i="3"/>
  <c r="O24" i="3"/>
  <c r="O34" i="3"/>
  <c r="O48" i="3"/>
  <c r="O53" i="3"/>
  <c r="O66" i="3"/>
  <c r="O79" i="3"/>
  <c r="O87" i="3"/>
  <c r="O95" i="3"/>
  <c r="O153" i="3"/>
  <c r="O160" i="3"/>
  <c r="P188" i="3"/>
  <c r="M196" i="3"/>
  <c r="P204" i="3"/>
  <c r="P217" i="3"/>
  <c r="P227" i="3"/>
  <c r="P240" i="3"/>
  <c r="P253" i="3"/>
  <c r="P263" i="3"/>
  <c r="N276" i="3"/>
  <c r="P294" i="3"/>
  <c r="O320" i="3"/>
  <c r="O385" i="3"/>
  <c r="N454" i="3"/>
  <c r="N15" i="3"/>
  <c r="O15" i="3"/>
  <c r="P15" i="3"/>
  <c r="N13" i="3"/>
  <c r="O13" i="3"/>
  <c r="P13" i="3"/>
  <c r="N11" i="3"/>
  <c r="P11" i="3"/>
  <c r="P9" i="3"/>
  <c r="M9" i="3"/>
  <c r="P7" i="3"/>
  <c r="M7" i="3"/>
  <c r="M12" i="3"/>
  <c r="N8" i="3"/>
  <c r="O19" i="3"/>
  <c r="O27" i="3"/>
  <c r="O37" i="3"/>
  <c r="O49" i="3"/>
  <c r="O59" i="3"/>
  <c r="O67" i="3"/>
  <c r="O76" i="3"/>
  <c r="O88" i="3"/>
  <c r="O98" i="3"/>
  <c r="O129" i="3"/>
  <c r="O175" i="3"/>
  <c r="O182" i="3"/>
  <c r="O197" i="3"/>
  <c r="P208" i="3"/>
  <c r="P219" i="3"/>
  <c r="P232" i="3"/>
  <c r="P242" i="3"/>
  <c r="P255" i="3"/>
  <c r="P267" i="3"/>
  <c r="P282" i="3"/>
  <c r="P299" i="3"/>
  <c r="O336" i="3"/>
  <c r="N489" i="3"/>
  <c r="N523" i="3"/>
  <c r="P523" i="3"/>
  <c r="O523" i="3"/>
  <c r="N527" i="3"/>
  <c r="M527" i="3"/>
  <c r="O527" i="3"/>
  <c r="M531" i="3"/>
  <c r="P531" i="3"/>
  <c r="O531" i="3"/>
  <c r="M533" i="3"/>
  <c r="P533" i="3"/>
  <c r="O533" i="3"/>
  <c r="N535" i="3"/>
  <c r="P535" i="3"/>
  <c r="O535" i="3"/>
  <c r="M539" i="3"/>
  <c r="P539" i="3"/>
  <c r="O539" i="3"/>
  <c r="O541" i="3"/>
  <c r="M541" i="3"/>
  <c r="P541" i="3"/>
  <c r="O546" i="3"/>
  <c r="M546" i="3"/>
  <c r="P546" i="3"/>
  <c r="O548" i="3"/>
  <c r="M548" i="3"/>
  <c r="P548" i="3"/>
  <c r="M551" i="3"/>
  <c r="P551" i="3"/>
  <c r="N551" i="3"/>
  <c r="O554" i="3"/>
  <c r="M554" i="3"/>
  <c r="N554" i="3"/>
  <c r="O556" i="3"/>
  <c r="P556" i="3"/>
  <c r="N556" i="3"/>
  <c r="O558" i="3"/>
  <c r="M558" i="3"/>
  <c r="N558" i="3"/>
  <c r="O562" i="3"/>
  <c r="M562" i="3"/>
  <c r="N562" i="3"/>
  <c r="O573" i="3"/>
  <c r="M573" i="3"/>
  <c r="N573" i="3"/>
  <c r="O579" i="3"/>
  <c r="M579" i="3"/>
  <c r="N579" i="3"/>
  <c r="O585" i="3"/>
  <c r="M585" i="3"/>
  <c r="N585" i="3"/>
  <c r="O590" i="3"/>
  <c r="M590" i="3"/>
  <c r="P590" i="3"/>
  <c r="M598" i="3"/>
  <c r="P598" i="3"/>
  <c r="N598" i="3"/>
  <c r="M602" i="3"/>
  <c r="P602" i="3"/>
  <c r="N602" i="3"/>
  <c r="P604" i="3"/>
  <c r="O604" i="3"/>
  <c r="N604" i="3"/>
  <c r="P608" i="3"/>
  <c r="N608" i="3"/>
  <c r="M608" i="3"/>
  <c r="P610" i="3"/>
  <c r="O610" i="3"/>
  <c r="N610" i="3"/>
  <c r="P614" i="3"/>
  <c r="N614" i="3"/>
  <c r="M614" i="3"/>
  <c r="P616" i="3"/>
  <c r="O616" i="3"/>
  <c r="N616" i="3"/>
  <c r="P622" i="3"/>
  <c r="N622" i="3"/>
  <c r="M622" i="3"/>
  <c r="P625" i="3"/>
  <c r="N625" i="3"/>
  <c r="M625" i="3"/>
  <c r="P627" i="3"/>
  <c r="N627" i="3"/>
  <c r="M627" i="3"/>
  <c r="P629" i="3"/>
  <c r="N629" i="3"/>
  <c r="M629" i="3"/>
  <c r="P632" i="3"/>
  <c r="N632" i="3"/>
  <c r="M632" i="3"/>
  <c r="P634" i="3"/>
  <c r="O634" i="3"/>
  <c r="N634" i="3"/>
  <c r="O642" i="3"/>
  <c r="N642" i="3"/>
  <c r="M642" i="3"/>
  <c r="O649" i="3"/>
  <c r="N649" i="3"/>
  <c r="M649" i="3"/>
  <c r="O655" i="3"/>
  <c r="N655" i="3"/>
  <c r="M655" i="3"/>
  <c r="O661" i="3"/>
  <c r="N661" i="3"/>
  <c r="M661" i="3"/>
  <c r="P666" i="3"/>
  <c r="O666" i="3"/>
  <c r="M666" i="3"/>
  <c r="P668" i="3"/>
  <c r="O668" i="3"/>
  <c r="M668" i="3"/>
  <c r="O675" i="3"/>
  <c r="N675" i="3"/>
  <c r="M675" i="3"/>
  <c r="P677" i="3"/>
  <c r="O677" i="3"/>
  <c r="M677" i="3"/>
  <c r="P681" i="3"/>
  <c r="O681" i="3"/>
  <c r="M681" i="3"/>
  <c r="P683" i="3"/>
  <c r="O683" i="3"/>
  <c r="M683" i="3"/>
  <c r="P687" i="3"/>
  <c r="O687" i="3"/>
  <c r="M687" i="3"/>
  <c r="O691" i="3"/>
  <c r="N691" i="3"/>
  <c r="M691" i="3"/>
  <c r="P693" i="3"/>
  <c r="O693" i="3"/>
  <c r="M693" i="3"/>
  <c r="O698" i="3"/>
  <c r="N698" i="3"/>
  <c r="M698" i="3"/>
  <c r="P707" i="3"/>
  <c r="O707" i="3"/>
  <c r="N707" i="3"/>
  <c r="P711" i="3"/>
  <c r="N711" i="3"/>
  <c r="M711" i="3"/>
  <c r="P717" i="3"/>
  <c r="N717" i="3"/>
  <c r="M717" i="3"/>
  <c r="P487" i="3" l="1"/>
  <c r="E211" i="11"/>
  <c r="F168" i="10"/>
  <c r="F229" i="10"/>
  <c r="E234" i="11"/>
  <c r="F189" i="10"/>
  <c r="E235" i="11"/>
  <c r="F190" i="10"/>
  <c r="E236" i="11"/>
  <c r="F191" i="10"/>
  <c r="F179" i="10"/>
  <c r="E208" i="11"/>
  <c r="F165" i="10"/>
  <c r="F205" i="10"/>
  <c r="E209" i="11"/>
  <c r="F166" i="10"/>
  <c r="E246" i="11"/>
  <c r="F198" i="10"/>
  <c r="F208" i="10"/>
  <c r="K317" i="3"/>
  <c r="L310" i="3"/>
  <c r="C165" i="10"/>
  <c r="L772" i="3"/>
  <c r="C167" i="10" s="1"/>
  <c r="K341" i="3"/>
  <c r="L334" i="3"/>
  <c r="C68" i="10" s="1"/>
  <c r="K304" i="3"/>
  <c r="L297" i="3"/>
  <c r="C64" i="10" s="1"/>
  <c r="K287" i="3"/>
  <c r="L285" i="3"/>
  <c r="K329" i="3"/>
  <c r="L322" i="3"/>
  <c r="C67" i="10" s="1"/>
  <c r="L572" i="3"/>
  <c r="C119" i="10" s="1"/>
  <c r="K283" i="3"/>
  <c r="L281" i="3"/>
  <c r="L575" i="3"/>
  <c r="C120" i="10" s="1"/>
  <c r="C5" i="10"/>
  <c r="C24" i="10"/>
  <c r="C124" i="10"/>
  <c r="C122" i="10"/>
  <c r="C91" i="10"/>
  <c r="C121" i="10"/>
  <c r="C108" i="10"/>
  <c r="C134" i="10"/>
  <c r="C123" i="10"/>
  <c r="Q886" i="3"/>
  <c r="M923" i="3"/>
  <c r="M886" i="3" s="1"/>
  <c r="J923" i="3"/>
  <c r="L289" i="3"/>
  <c r="C62" i="10" s="1"/>
  <c r="J772" i="3"/>
  <c r="J745" i="3" s="1"/>
  <c r="Q777" i="3"/>
  <c r="Q772" i="3" s="1"/>
  <c r="M772" i="3"/>
  <c r="M745" i="3" s="1"/>
  <c r="L63" i="3"/>
  <c r="L293" i="3"/>
  <c r="J429" i="3"/>
  <c r="J430" i="3"/>
  <c r="K194" i="3"/>
  <c r="K551" i="3"/>
  <c r="K620" i="3"/>
  <c r="K472" i="3"/>
  <c r="K202" i="3"/>
  <c r="K352" i="3"/>
  <c r="L346" i="3"/>
  <c r="K477" i="3"/>
  <c r="K613" i="3"/>
  <c r="K359" i="3"/>
  <c r="L519" i="3"/>
  <c r="C107" i="10" s="1"/>
  <c r="L513" i="3"/>
  <c r="C106" i="10" s="1"/>
  <c r="K421" i="3"/>
  <c r="K602" i="3"/>
  <c r="K482" i="3"/>
  <c r="K232" i="3"/>
  <c r="K307" i="3"/>
  <c r="L81" i="3"/>
  <c r="K84" i="3"/>
  <c r="K431" i="3"/>
  <c r="K467" i="3"/>
  <c r="F432" i="3"/>
  <c r="F433" i="3" s="1"/>
  <c r="K433" i="3" s="1"/>
  <c r="J539" i="3"/>
  <c r="F540" i="3"/>
  <c r="F533" i="3"/>
  <c r="J532" i="3"/>
  <c r="J448" i="3"/>
  <c r="F449" i="3"/>
  <c r="J442" i="3"/>
  <c r="F443" i="3"/>
  <c r="K443" i="3" s="1"/>
  <c r="Q745" i="3" l="1"/>
  <c r="E210" i="11"/>
  <c r="F167" i="10"/>
  <c r="F185" i="10"/>
  <c r="F163" i="10"/>
  <c r="L745" i="3"/>
  <c r="C163" i="10" s="1"/>
  <c r="C23" i="10"/>
  <c r="C20" i="10"/>
  <c r="C69" i="10"/>
  <c r="C66" i="10"/>
  <c r="C63" i="10"/>
  <c r="C70" i="10"/>
  <c r="C60" i="10"/>
  <c r="C61" i="10"/>
  <c r="J886" i="3"/>
  <c r="J432" i="3"/>
  <c r="K432" i="3"/>
  <c r="F534" i="3"/>
  <c r="J533" i="3"/>
  <c r="F450" i="3"/>
  <c r="K450" i="3" s="1"/>
  <c r="J449" i="3"/>
  <c r="F541" i="3"/>
  <c r="J540" i="3"/>
  <c r="F434" i="3"/>
  <c r="K434" i="3" s="1"/>
  <c r="J433" i="3"/>
  <c r="F444" i="3"/>
  <c r="J443" i="3"/>
  <c r="J444" i="3" l="1"/>
  <c r="K444" i="3"/>
  <c r="F542" i="3"/>
  <c r="J541" i="3"/>
  <c r="F535" i="3"/>
  <c r="J534" i="3"/>
  <c r="J450" i="3"/>
  <c r="F451" i="3"/>
  <c r="K451" i="3" s="1"/>
  <c r="J434" i="3"/>
  <c r="F435" i="3"/>
  <c r="J542" i="3" l="1"/>
  <c r="K542" i="3"/>
  <c r="J435" i="3"/>
  <c r="K435" i="3"/>
  <c r="J535" i="3"/>
  <c r="K535" i="3"/>
  <c r="J451" i="3"/>
  <c r="F452" i="3"/>
  <c r="K452" i="3" s="1"/>
  <c r="F453" i="3" l="1"/>
  <c r="K453" i="3" s="1"/>
  <c r="J452" i="3"/>
  <c r="F454" i="3" l="1"/>
  <c r="J453" i="3"/>
  <c r="J454" i="3" l="1"/>
  <c r="K454" i="3"/>
  <c r="G277" i="3" l="1"/>
  <c r="L277" i="3" s="1"/>
  <c r="K277" i="3" s="1"/>
  <c r="G276" i="3"/>
  <c r="L276" i="3" s="1"/>
  <c r="K276" i="3" s="1"/>
  <c r="G275" i="3"/>
  <c r="L275" i="3" s="1"/>
  <c r="G105" i="3"/>
  <c r="L105" i="3" s="1"/>
  <c r="K105" i="3" s="1"/>
  <c r="G104" i="3"/>
  <c r="G634" i="3"/>
  <c r="L634" i="3" s="1"/>
  <c r="K634" i="3" s="1"/>
  <c r="G633" i="3"/>
  <c r="L633" i="3" s="1"/>
  <c r="K633" i="3" s="1"/>
  <c r="G632" i="3"/>
  <c r="L632" i="3" s="1"/>
  <c r="K632" i="3" s="1"/>
  <c r="G629" i="3"/>
  <c r="L629" i="3" s="1"/>
  <c r="K629" i="3" s="1"/>
  <c r="G628" i="3"/>
  <c r="L628" i="3" s="1"/>
  <c r="K628" i="3" s="1"/>
  <c r="G627" i="3"/>
  <c r="L627" i="3" s="1"/>
  <c r="K627" i="3" s="1"/>
  <c r="G626" i="3"/>
  <c r="L626" i="3" s="1"/>
  <c r="K626" i="3" s="1"/>
  <c r="G625" i="3"/>
  <c r="L625" i="3" s="1"/>
  <c r="K625" i="3" s="1"/>
  <c r="G623" i="3"/>
  <c r="L623" i="3" s="1"/>
  <c r="G616" i="3"/>
  <c r="L616" i="3" s="1"/>
  <c r="K616" i="3" s="1"/>
  <c r="G615" i="3"/>
  <c r="L615" i="3" s="1"/>
  <c r="K615" i="3" s="1"/>
  <c r="G614" i="3"/>
  <c r="L614" i="3" s="1"/>
  <c r="G610" i="3"/>
  <c r="L610" i="3" s="1"/>
  <c r="K610" i="3" s="1"/>
  <c r="G609" i="3"/>
  <c r="L609" i="3" s="1"/>
  <c r="K609" i="3" s="1"/>
  <c r="G608" i="3"/>
  <c r="L608" i="3" s="1"/>
  <c r="G604" i="3"/>
  <c r="L604" i="3" s="1"/>
  <c r="K604" i="3" s="1"/>
  <c r="G603" i="3"/>
  <c r="L603" i="3" s="1"/>
  <c r="G552" i="3"/>
  <c r="G496" i="3"/>
  <c r="L496" i="3" s="1"/>
  <c r="K496" i="3" s="1"/>
  <c r="G495" i="3"/>
  <c r="G494" i="3"/>
  <c r="L494" i="3" s="1"/>
  <c r="K494" i="3" s="1"/>
  <c r="G493" i="3"/>
  <c r="L493" i="3" s="1"/>
  <c r="K493" i="3" s="1"/>
  <c r="G490" i="3"/>
  <c r="L490" i="3" s="1"/>
  <c r="G483" i="3"/>
  <c r="G473" i="3"/>
  <c r="L473" i="3" s="1"/>
  <c r="G478" i="3"/>
  <c r="L478" i="3" s="1"/>
  <c r="G423" i="3"/>
  <c r="L423" i="3" s="1"/>
  <c r="K423" i="3" s="1"/>
  <c r="G422" i="3"/>
  <c r="G414" i="3"/>
  <c r="L414" i="3" s="1"/>
  <c r="K414" i="3" s="1"/>
  <c r="G413" i="3"/>
  <c r="L413" i="3" s="1"/>
  <c r="G405" i="3"/>
  <c r="L405" i="3" s="1"/>
  <c r="K405" i="3" s="1"/>
  <c r="G404" i="3"/>
  <c r="G396" i="3"/>
  <c r="L396" i="3" s="1"/>
  <c r="K396" i="3" s="1"/>
  <c r="G395" i="3"/>
  <c r="L395" i="3" s="1"/>
  <c r="G271" i="3"/>
  <c r="L271" i="3" s="1"/>
  <c r="K271" i="3" s="1"/>
  <c r="G270" i="3"/>
  <c r="G269" i="3"/>
  <c r="L269" i="3" s="1"/>
  <c r="G264" i="3"/>
  <c r="L264" i="3" s="1"/>
  <c r="K264" i="3" s="1"/>
  <c r="G263" i="3"/>
  <c r="L263" i="3" s="1"/>
  <c r="K263" i="3" s="1"/>
  <c r="G262" i="3"/>
  <c r="G257" i="3"/>
  <c r="L257" i="3" s="1"/>
  <c r="K257" i="3" s="1"/>
  <c r="G256" i="3"/>
  <c r="L256" i="3" s="1"/>
  <c r="K256" i="3" s="1"/>
  <c r="G255" i="3"/>
  <c r="L255" i="3" s="1"/>
  <c r="G249" i="3"/>
  <c r="G248" i="3"/>
  <c r="L248" i="3" s="1"/>
  <c r="K248" i="3" s="1"/>
  <c r="G247" i="3"/>
  <c r="L247" i="3" s="1"/>
  <c r="G242" i="3"/>
  <c r="L242" i="3" s="1"/>
  <c r="K242" i="3" s="1"/>
  <c r="G241" i="3"/>
  <c r="G240" i="3"/>
  <c r="L240" i="3" s="1"/>
  <c r="G235" i="3"/>
  <c r="L235" i="3" s="1"/>
  <c r="K235" i="3" s="1"/>
  <c r="G234" i="3"/>
  <c r="L234" i="3" s="1"/>
  <c r="K234" i="3" s="1"/>
  <c r="G233" i="3"/>
  <c r="G227" i="3"/>
  <c r="L227" i="3" s="1"/>
  <c r="K227" i="3" s="1"/>
  <c r="G226" i="3"/>
  <c r="L226" i="3" s="1"/>
  <c r="K226" i="3" s="1"/>
  <c r="G225" i="3"/>
  <c r="L225" i="3" s="1"/>
  <c r="G220" i="3"/>
  <c r="G219" i="3"/>
  <c r="L219" i="3" s="1"/>
  <c r="K219" i="3" s="1"/>
  <c r="G218" i="3"/>
  <c r="L218" i="3" s="1"/>
  <c r="G212" i="3"/>
  <c r="L212" i="3" s="1"/>
  <c r="K212" i="3" s="1"/>
  <c r="G211" i="3"/>
  <c r="G210" i="3"/>
  <c r="L210" i="3" s="1"/>
  <c r="G205" i="3"/>
  <c r="L205" i="3" s="1"/>
  <c r="K205" i="3" s="1"/>
  <c r="G204" i="3"/>
  <c r="L204" i="3" s="1"/>
  <c r="K204" i="3" s="1"/>
  <c r="G203" i="3"/>
  <c r="G197" i="3"/>
  <c r="L197" i="3" s="1"/>
  <c r="K197" i="3" s="1"/>
  <c r="G196" i="3"/>
  <c r="L196" i="3" s="1"/>
  <c r="K196" i="3" s="1"/>
  <c r="G195" i="3"/>
  <c r="L195" i="3" s="1"/>
  <c r="G190" i="3"/>
  <c r="G189" i="3"/>
  <c r="L189" i="3" s="1"/>
  <c r="K189" i="3" s="1"/>
  <c r="G188" i="3"/>
  <c r="L188" i="3" s="1"/>
  <c r="G180" i="3"/>
  <c r="L180" i="3" s="1"/>
  <c r="G182" i="3"/>
  <c r="G181" i="3"/>
  <c r="L181" i="3" s="1"/>
  <c r="K181" i="3" s="1"/>
  <c r="G172" i="3"/>
  <c r="L172" i="3" s="1"/>
  <c r="K172" i="3" s="1"/>
  <c r="G171" i="3"/>
  <c r="L171" i="3" s="1"/>
  <c r="K171" i="3" s="1"/>
  <c r="G170" i="3"/>
  <c r="G169" i="3"/>
  <c r="L169" i="3" s="1"/>
  <c r="K169" i="3" s="1"/>
  <c r="G168" i="3"/>
  <c r="L168" i="3" s="1"/>
  <c r="K168" i="3" s="1"/>
  <c r="G166" i="3"/>
  <c r="L166" i="3" s="1"/>
  <c r="K166" i="3" s="1"/>
  <c r="G160" i="3"/>
  <c r="G159" i="3"/>
  <c r="L159" i="3" s="1"/>
  <c r="K159" i="3" s="1"/>
  <c r="G158" i="3"/>
  <c r="L158" i="3" s="1"/>
  <c r="G153" i="3"/>
  <c r="L153" i="3" s="1"/>
  <c r="K153" i="3" s="1"/>
  <c r="G152" i="3"/>
  <c r="G151" i="3"/>
  <c r="L151" i="3" s="1"/>
  <c r="G147" i="3"/>
  <c r="L147" i="3" s="1"/>
  <c r="K147" i="3" s="1"/>
  <c r="G146" i="3"/>
  <c r="L146" i="3" s="1"/>
  <c r="K146" i="3" s="1"/>
  <c r="G145" i="3"/>
  <c r="G144" i="3"/>
  <c r="L144" i="3" s="1"/>
  <c r="K144" i="3" s="1"/>
  <c r="G143" i="3"/>
  <c r="L143" i="3" s="1"/>
  <c r="K143" i="3" s="1"/>
  <c r="G141" i="3"/>
  <c r="L141" i="3" s="1"/>
  <c r="G132" i="3"/>
  <c r="G131" i="3"/>
  <c r="L131" i="3" s="1"/>
  <c r="K131" i="3" s="1"/>
  <c r="G130" i="3"/>
  <c r="L130" i="3" s="1"/>
  <c r="K130" i="3" s="1"/>
  <c r="G129" i="3"/>
  <c r="L129" i="3" s="1"/>
  <c r="K129" i="3" s="1"/>
  <c r="G128" i="3"/>
  <c r="G124" i="3"/>
  <c r="L124" i="3" s="1"/>
  <c r="K124" i="3" s="1"/>
  <c r="G123" i="3"/>
  <c r="L123" i="3" s="1"/>
  <c r="K123" i="3" s="1"/>
  <c r="G122" i="3"/>
  <c r="L122" i="3" s="1"/>
  <c r="G118" i="3"/>
  <c r="G117" i="3"/>
  <c r="L117" i="3" s="1"/>
  <c r="K117" i="3" s="1"/>
  <c r="G116" i="3"/>
  <c r="L116" i="3" s="1"/>
  <c r="G112" i="3"/>
  <c r="L112" i="3" s="1"/>
  <c r="K112" i="3" s="1"/>
  <c r="G111" i="3"/>
  <c r="G100" i="3"/>
  <c r="L100" i="3" s="1"/>
  <c r="G51" i="3"/>
  <c r="J51" i="3" s="1"/>
  <c r="G79" i="3"/>
  <c r="L79" i="3" s="1"/>
  <c r="K79" i="3" s="1"/>
  <c r="G78" i="3"/>
  <c r="G73" i="3"/>
  <c r="L73" i="3" s="1"/>
  <c r="K73" i="3" s="1"/>
  <c r="G72" i="3"/>
  <c r="L72" i="3" s="1"/>
  <c r="P719" i="3"/>
  <c r="O719" i="3"/>
  <c r="N719" i="3"/>
  <c r="P716" i="3"/>
  <c r="N716" i="3"/>
  <c r="M716" i="3"/>
  <c r="P713" i="3"/>
  <c r="N713" i="3"/>
  <c r="M713" i="3"/>
  <c r="P709" i="3"/>
  <c r="N709" i="3"/>
  <c r="M709" i="3"/>
  <c r="P706" i="3"/>
  <c r="O706" i="3"/>
  <c r="N706" i="3"/>
  <c r="P703" i="3"/>
  <c r="O703" i="3"/>
  <c r="N703" i="3"/>
  <c r="O697" i="3"/>
  <c r="N697" i="3"/>
  <c r="M697" i="3"/>
  <c r="O690" i="3"/>
  <c r="M690" i="3"/>
  <c r="O686" i="3"/>
  <c r="M686" i="3"/>
  <c r="O680" i="3"/>
  <c r="M680" i="3"/>
  <c r="O674" i="3"/>
  <c r="M674" i="3"/>
  <c r="O670" i="3"/>
  <c r="N670" i="3"/>
  <c r="M670" i="3"/>
  <c r="O664" i="3"/>
  <c r="M664" i="3"/>
  <c r="O660" i="3"/>
  <c r="N660" i="3"/>
  <c r="M660" i="3"/>
  <c r="O657" i="3"/>
  <c r="N657" i="3"/>
  <c r="M657" i="3"/>
  <c r="O654" i="3"/>
  <c r="N654" i="3"/>
  <c r="M654" i="3"/>
  <c r="O651" i="3"/>
  <c r="N651" i="3"/>
  <c r="M651" i="3"/>
  <c r="O648" i="3"/>
  <c r="N648" i="3"/>
  <c r="M648" i="3"/>
  <c r="O645" i="3"/>
  <c r="N645" i="3"/>
  <c r="M645" i="3"/>
  <c r="O641" i="3"/>
  <c r="N641" i="3"/>
  <c r="M641" i="3"/>
  <c r="O638" i="3"/>
  <c r="N638" i="3"/>
  <c r="M638" i="3"/>
  <c r="P618" i="3"/>
  <c r="N618" i="3"/>
  <c r="P612" i="3"/>
  <c r="N612" i="3"/>
  <c r="P606" i="3"/>
  <c r="N606" i="3"/>
  <c r="P601" i="3"/>
  <c r="N601" i="3"/>
  <c r="P596" i="3"/>
  <c r="N596" i="3"/>
  <c r="O588" i="3"/>
  <c r="O584" i="3"/>
  <c r="N584" i="3"/>
  <c r="M584" i="3"/>
  <c r="O581" i="3"/>
  <c r="N581" i="3"/>
  <c r="M581" i="3"/>
  <c r="O578" i="3"/>
  <c r="N578" i="3"/>
  <c r="M578" i="3"/>
  <c r="O575" i="3"/>
  <c r="N575" i="3"/>
  <c r="M575" i="3"/>
  <c r="O572" i="3"/>
  <c r="N572" i="3"/>
  <c r="M572" i="3"/>
  <c r="O567" i="3"/>
  <c r="N567" i="3"/>
  <c r="M567" i="3"/>
  <c r="O560" i="3"/>
  <c r="N560" i="3"/>
  <c r="M560" i="3"/>
  <c r="P537" i="3"/>
  <c r="O537" i="3"/>
  <c r="P529" i="3"/>
  <c r="O525" i="3"/>
  <c r="N525" i="3"/>
  <c r="M525" i="3"/>
  <c r="P519" i="3"/>
  <c r="P513" i="3"/>
  <c r="P508" i="3"/>
  <c r="O508" i="3"/>
  <c r="M508" i="3"/>
  <c r="P503" i="3"/>
  <c r="O503" i="3"/>
  <c r="M503" i="3"/>
  <c r="P498" i="3"/>
  <c r="O498" i="3"/>
  <c r="M498" i="3"/>
  <c r="P480" i="3"/>
  <c r="P475" i="3"/>
  <c r="P470" i="3"/>
  <c r="P464" i="3"/>
  <c r="O464" i="3"/>
  <c r="P458" i="3"/>
  <c r="O458" i="3"/>
  <c r="P446" i="3"/>
  <c r="P437" i="3"/>
  <c r="O437" i="3"/>
  <c r="P427" i="3"/>
  <c r="P416" i="3"/>
  <c r="P407" i="3"/>
  <c r="P398" i="3"/>
  <c r="P389" i="3"/>
  <c r="P381" i="3"/>
  <c r="O378" i="3"/>
  <c r="N378" i="3"/>
  <c r="M378" i="3"/>
  <c r="O374" i="3"/>
  <c r="N374" i="3"/>
  <c r="M374" i="3"/>
  <c r="O371" i="3"/>
  <c r="N371" i="3"/>
  <c r="M371" i="3"/>
  <c r="O367" i="3"/>
  <c r="N367" i="3"/>
  <c r="M367" i="3"/>
  <c r="O364" i="3"/>
  <c r="N364" i="3"/>
  <c r="M364" i="3"/>
  <c r="P357" i="3"/>
  <c r="O293" i="3"/>
  <c r="M293" i="3"/>
  <c r="O289" i="3"/>
  <c r="M289" i="3"/>
  <c r="O285" i="3"/>
  <c r="M285" i="3"/>
  <c r="O281" i="3"/>
  <c r="M281" i="3"/>
  <c r="P273" i="3"/>
  <c r="N273" i="3"/>
  <c r="P266" i="3"/>
  <c r="P259" i="3"/>
  <c r="P252" i="3"/>
  <c r="P244" i="3"/>
  <c r="P237" i="3"/>
  <c r="P230" i="3"/>
  <c r="P222" i="3"/>
  <c r="P215" i="3"/>
  <c r="P207" i="3"/>
  <c r="P200" i="3"/>
  <c r="P192" i="3"/>
  <c r="P185" i="3"/>
  <c r="P178" i="3"/>
  <c r="N178" i="3"/>
  <c r="M174" i="3"/>
  <c r="O174" i="3"/>
  <c r="N174" i="3"/>
  <c r="P155" i="3"/>
  <c r="N155" i="3"/>
  <c r="P149" i="3"/>
  <c r="N149" i="3"/>
  <c r="P136" i="3"/>
  <c r="N136" i="3"/>
  <c r="P126" i="3"/>
  <c r="N126" i="3"/>
  <c r="P120" i="3"/>
  <c r="N120" i="3"/>
  <c r="P114" i="3"/>
  <c r="N114" i="3"/>
  <c r="P109" i="3"/>
  <c r="N109" i="3"/>
  <c r="N102" i="3"/>
  <c r="N97" i="3"/>
  <c r="P94" i="3"/>
  <c r="O94" i="3"/>
  <c r="M94" i="3"/>
  <c r="P91" i="3"/>
  <c r="O91" i="3"/>
  <c r="M91" i="3"/>
  <c r="P86" i="3"/>
  <c r="O86" i="3"/>
  <c r="P81" i="3"/>
  <c r="N81" i="3"/>
  <c r="N75" i="3"/>
  <c r="P69" i="3"/>
  <c r="N69" i="3"/>
  <c r="N63" i="3"/>
  <c r="P57" i="3"/>
  <c r="O57" i="3"/>
  <c r="P46" i="3"/>
  <c r="P42" i="3"/>
  <c r="O42" i="3"/>
  <c r="M42" i="3"/>
  <c r="P39" i="3"/>
  <c r="O39" i="3"/>
  <c r="N39" i="3"/>
  <c r="O36" i="3"/>
  <c r="N36" i="3"/>
  <c r="M36" i="3"/>
  <c r="O33" i="3"/>
  <c r="N33" i="3"/>
  <c r="M33" i="3"/>
  <c r="P30" i="3"/>
  <c r="O30" i="3"/>
  <c r="N30" i="3"/>
  <c r="P26" i="3"/>
  <c r="O26" i="3"/>
  <c r="N26" i="3"/>
  <c r="P21" i="3"/>
  <c r="O21" i="3"/>
  <c r="N21" i="3"/>
  <c r="O17" i="3"/>
  <c r="N17" i="3"/>
  <c r="M17" i="3"/>
  <c r="N4" i="3"/>
  <c r="J134" i="3"/>
  <c r="O134" i="3" s="1"/>
  <c r="Q134" i="3" s="1"/>
  <c r="J5" i="3"/>
  <c r="J6" i="3"/>
  <c r="J7" i="3"/>
  <c r="O7" i="3" s="1"/>
  <c r="Q7" i="3" s="1"/>
  <c r="J8" i="3"/>
  <c r="O8" i="3" s="1"/>
  <c r="Q8" i="3" s="1"/>
  <c r="J9" i="3"/>
  <c r="O9" i="3" s="1"/>
  <c r="Q9" i="3" s="1"/>
  <c r="J10" i="3"/>
  <c r="O10" i="3" s="1"/>
  <c r="Q10" i="3" s="1"/>
  <c r="J11" i="3"/>
  <c r="O11" i="3" s="1"/>
  <c r="Q11" i="3" s="1"/>
  <c r="J12" i="3"/>
  <c r="O12" i="3" s="1"/>
  <c r="Q12" i="3" s="1"/>
  <c r="J13" i="3"/>
  <c r="M13" i="3" s="1"/>
  <c r="Q13" i="3" s="1"/>
  <c r="J14" i="3"/>
  <c r="J15" i="3"/>
  <c r="J18" i="3"/>
  <c r="L18" i="3"/>
  <c r="K18" i="3" s="1"/>
  <c r="J19" i="3"/>
  <c r="L19" i="3"/>
  <c r="K19" i="3" s="1"/>
  <c r="J22" i="3"/>
  <c r="J23" i="3"/>
  <c r="M23" i="3" s="1"/>
  <c r="Q23" i="3" s="1"/>
  <c r="J24" i="3"/>
  <c r="M24" i="3" s="1"/>
  <c r="Q24" i="3" s="1"/>
  <c r="J27" i="3"/>
  <c r="J28" i="3"/>
  <c r="M28" i="3" s="1"/>
  <c r="Q28" i="3" s="1"/>
  <c r="J31" i="3"/>
  <c r="M31" i="3" s="1"/>
  <c r="Q31" i="3" s="1"/>
  <c r="J34" i="3"/>
  <c r="L34" i="3"/>
  <c r="K34" i="3" s="1"/>
  <c r="J37" i="3"/>
  <c r="J40" i="3"/>
  <c r="L40" i="3"/>
  <c r="K40" i="3" s="1"/>
  <c r="J43" i="3"/>
  <c r="L43" i="3"/>
  <c r="J48" i="3"/>
  <c r="J49" i="3"/>
  <c r="N49" i="3" s="1"/>
  <c r="Q49" i="3" s="1"/>
  <c r="J50" i="3"/>
  <c r="O50" i="3" s="1"/>
  <c r="Q50" i="3" s="1"/>
  <c r="J53" i="3"/>
  <c r="M53" i="3" s="1"/>
  <c r="Q53" i="3" s="1"/>
  <c r="J59" i="3"/>
  <c r="J60" i="3"/>
  <c r="M60" i="3" s="1"/>
  <c r="Q60" i="3" s="1"/>
  <c r="J65" i="3"/>
  <c r="J66" i="3"/>
  <c r="M66" i="3" s="1"/>
  <c r="Q66" i="3" s="1"/>
  <c r="J67" i="3"/>
  <c r="J71" i="3"/>
  <c r="J73" i="3"/>
  <c r="O73" i="3" s="1"/>
  <c r="Q73" i="3" s="1"/>
  <c r="J76" i="3"/>
  <c r="P76" i="3" s="1"/>
  <c r="Q76" i="3" s="1"/>
  <c r="J77" i="3"/>
  <c r="O77" i="3" s="1"/>
  <c r="Q77" i="3" s="1"/>
  <c r="J79" i="3"/>
  <c r="M79" i="3" s="1"/>
  <c r="Q79" i="3" s="1"/>
  <c r="J82" i="3"/>
  <c r="O82" i="3" s="1"/>
  <c r="Q82" i="3" s="1"/>
  <c r="J83" i="3"/>
  <c r="O83" i="3" s="1"/>
  <c r="Q83" i="3" s="1"/>
  <c r="J84" i="3"/>
  <c r="M84" i="3" s="1"/>
  <c r="Q84" i="3" s="1"/>
  <c r="J87" i="3"/>
  <c r="N87" i="3" s="1"/>
  <c r="Q87" i="3" s="1"/>
  <c r="J88" i="3"/>
  <c r="N88" i="3" s="1"/>
  <c r="Q88" i="3" s="1"/>
  <c r="J89" i="3"/>
  <c r="M89" i="3" s="1"/>
  <c r="Q89" i="3" s="1"/>
  <c r="J92" i="3"/>
  <c r="J95" i="3"/>
  <c r="J98" i="3"/>
  <c r="J99" i="3"/>
  <c r="O99" i="3" s="1"/>
  <c r="Q99" i="3" s="1"/>
  <c r="J103" i="3"/>
  <c r="O103" i="3" s="1"/>
  <c r="Q103" i="3" s="1"/>
  <c r="J105" i="3"/>
  <c r="M105" i="3" s="1"/>
  <c r="Q105" i="3" s="1"/>
  <c r="J106" i="3"/>
  <c r="P106" i="3" s="1"/>
  <c r="Q106" i="3" s="1"/>
  <c r="J110" i="3"/>
  <c r="J115" i="3"/>
  <c r="J121" i="3"/>
  <c r="J127" i="3"/>
  <c r="J138" i="3"/>
  <c r="J140" i="3"/>
  <c r="O140" i="3" s="1"/>
  <c r="Q140" i="3" s="1"/>
  <c r="J144" i="3"/>
  <c r="O144" i="3" s="1"/>
  <c r="Q144" i="3" s="1"/>
  <c r="J150" i="3"/>
  <c r="O150" i="3" s="1"/>
  <c r="Q150" i="3" s="1"/>
  <c r="J157" i="3"/>
  <c r="J163" i="3"/>
  <c r="O163" i="3" s="1"/>
  <c r="Q163" i="3" s="1"/>
  <c r="J165" i="3"/>
  <c r="O165" i="3" s="1"/>
  <c r="Q165" i="3" s="1"/>
  <c r="J175" i="3"/>
  <c r="L175" i="3"/>
  <c r="J179" i="3"/>
  <c r="J186" i="3"/>
  <c r="J187" i="3"/>
  <c r="J193" i="3"/>
  <c r="J194" i="3"/>
  <c r="O194" i="3" s="1"/>
  <c r="Q194" i="3" s="1"/>
  <c r="J197" i="3"/>
  <c r="M197" i="3" s="1"/>
  <c r="Q197" i="3" s="1"/>
  <c r="J201" i="3"/>
  <c r="N201" i="3" s="1"/>
  <c r="Q201" i="3" s="1"/>
  <c r="J202" i="3"/>
  <c r="O202" i="3" s="1"/>
  <c r="Q202" i="3" s="1"/>
  <c r="J208" i="3"/>
  <c r="N208" i="3" s="1"/>
  <c r="Q208" i="3" s="1"/>
  <c r="J209" i="3"/>
  <c r="O209" i="3" s="1"/>
  <c r="Q209" i="3" s="1"/>
  <c r="J210" i="3"/>
  <c r="O210" i="3" s="1"/>
  <c r="Q210" i="3" s="1"/>
  <c r="J216" i="3"/>
  <c r="N216" i="3" s="1"/>
  <c r="Q216" i="3" s="1"/>
  <c r="J217" i="3"/>
  <c r="O217" i="3" s="1"/>
  <c r="Q217" i="3" s="1"/>
  <c r="J219" i="3"/>
  <c r="O219" i="3" s="1"/>
  <c r="Q219" i="3" s="1"/>
  <c r="J223" i="3"/>
  <c r="N223" i="3" s="1"/>
  <c r="Q223" i="3" s="1"/>
  <c r="J224" i="3"/>
  <c r="O224" i="3" s="1"/>
  <c r="Q224" i="3" s="1"/>
  <c r="J231" i="3"/>
  <c r="N231" i="3" s="1"/>
  <c r="Q231" i="3" s="1"/>
  <c r="J232" i="3"/>
  <c r="O232" i="3" s="1"/>
  <c r="Q232" i="3" s="1"/>
  <c r="J238" i="3"/>
  <c r="N238" i="3" s="1"/>
  <c r="Q238" i="3" s="1"/>
  <c r="J239" i="3"/>
  <c r="O239" i="3" s="1"/>
  <c r="Q239" i="3" s="1"/>
  <c r="J240" i="3"/>
  <c r="O240" i="3" s="1"/>
  <c r="Q240" i="3" s="1"/>
  <c r="J245" i="3"/>
  <c r="N245" i="3" s="1"/>
  <c r="Q245" i="3" s="1"/>
  <c r="J246" i="3"/>
  <c r="O246" i="3" s="1"/>
  <c r="Q246" i="3" s="1"/>
  <c r="J253" i="3"/>
  <c r="N253" i="3" s="1"/>
  <c r="Q253" i="3" s="1"/>
  <c r="J254" i="3"/>
  <c r="O254" i="3" s="1"/>
  <c r="Q254" i="3" s="1"/>
  <c r="J260" i="3"/>
  <c r="N260" i="3" s="1"/>
  <c r="Q260" i="3" s="1"/>
  <c r="J261" i="3"/>
  <c r="O261" i="3" s="1"/>
  <c r="Q261" i="3" s="1"/>
  <c r="J267" i="3"/>
  <c r="N267" i="3" s="1"/>
  <c r="Q267" i="3" s="1"/>
  <c r="J268" i="3"/>
  <c r="O268" i="3" s="1"/>
  <c r="Q268" i="3" s="1"/>
  <c r="J274" i="3"/>
  <c r="J276" i="3"/>
  <c r="O276" i="3" s="1"/>
  <c r="Q276" i="3" s="1"/>
  <c r="J282" i="3"/>
  <c r="J283" i="3"/>
  <c r="J286" i="3"/>
  <c r="N286" i="3" s="1"/>
  <c r="Q286" i="3" s="1"/>
  <c r="J287" i="3"/>
  <c r="P287" i="3" s="1"/>
  <c r="Q287" i="3" s="1"/>
  <c r="J290" i="3"/>
  <c r="N290" i="3" s="1"/>
  <c r="Q290" i="3" s="1"/>
  <c r="J291" i="3"/>
  <c r="P291" i="3" s="1"/>
  <c r="Q291" i="3" s="1"/>
  <c r="J294" i="3"/>
  <c r="J295" i="3"/>
  <c r="J299" i="3"/>
  <c r="J300" i="3"/>
  <c r="J301" i="3"/>
  <c r="J302" i="3"/>
  <c r="J304" i="3"/>
  <c r="O304" i="3" s="1"/>
  <c r="Q304" i="3" s="1"/>
  <c r="J305" i="3"/>
  <c r="M305" i="3" s="1"/>
  <c r="Q305" i="3" s="1"/>
  <c r="J307" i="3"/>
  <c r="P307" i="3" s="1"/>
  <c r="Q307" i="3" s="1"/>
  <c r="J312" i="3"/>
  <c r="N312" i="3" s="1"/>
  <c r="Q312" i="3" s="1"/>
  <c r="J313" i="3"/>
  <c r="N313" i="3" s="1"/>
  <c r="Q313" i="3" s="1"/>
  <c r="J314" i="3"/>
  <c r="N314" i="3" s="1"/>
  <c r="Q314" i="3" s="1"/>
  <c r="J315" i="3"/>
  <c r="N315" i="3" s="1"/>
  <c r="Q315" i="3" s="1"/>
  <c r="J317" i="3"/>
  <c r="O317" i="3" s="1"/>
  <c r="Q317" i="3" s="1"/>
  <c r="J318" i="3"/>
  <c r="M318" i="3" s="1"/>
  <c r="Q318" i="3" s="1"/>
  <c r="J320" i="3"/>
  <c r="P320" i="3" s="1"/>
  <c r="Q320" i="3" s="1"/>
  <c r="J324" i="3"/>
  <c r="N324" i="3" s="1"/>
  <c r="Q324" i="3" s="1"/>
  <c r="J325" i="3"/>
  <c r="N325" i="3" s="1"/>
  <c r="Q325" i="3" s="1"/>
  <c r="J326" i="3"/>
  <c r="N326" i="3" s="1"/>
  <c r="Q326" i="3" s="1"/>
  <c r="J327" i="3"/>
  <c r="N327" i="3" s="1"/>
  <c r="Q327" i="3" s="1"/>
  <c r="J329" i="3"/>
  <c r="O329" i="3" s="1"/>
  <c r="Q329" i="3" s="1"/>
  <c r="J330" i="3"/>
  <c r="M330" i="3" s="1"/>
  <c r="Q330" i="3" s="1"/>
  <c r="J332" i="3"/>
  <c r="P332" i="3" s="1"/>
  <c r="Q332" i="3" s="1"/>
  <c r="J336" i="3"/>
  <c r="N336" i="3" s="1"/>
  <c r="Q336" i="3" s="1"/>
  <c r="J337" i="3"/>
  <c r="N337" i="3" s="1"/>
  <c r="Q337" i="3" s="1"/>
  <c r="J338" i="3"/>
  <c r="N338" i="3" s="1"/>
  <c r="Q338" i="3" s="1"/>
  <c r="J339" i="3"/>
  <c r="N339" i="3" s="1"/>
  <c r="Q339" i="3" s="1"/>
  <c r="J341" i="3"/>
  <c r="O341" i="3" s="1"/>
  <c r="Q341" i="3" s="1"/>
  <c r="J342" i="3"/>
  <c r="M342" i="3" s="1"/>
  <c r="Q342" i="3" s="1"/>
  <c r="J344" i="3"/>
  <c r="P344" i="3" s="1"/>
  <c r="Q344" i="3" s="1"/>
  <c r="J348" i="3"/>
  <c r="N348" i="3" s="1"/>
  <c r="Q348" i="3" s="1"/>
  <c r="J349" i="3"/>
  <c r="N349" i="3" s="1"/>
  <c r="Q349" i="3" s="1"/>
  <c r="J350" i="3"/>
  <c r="N350" i="3" s="1"/>
  <c r="Q350" i="3" s="1"/>
  <c r="J352" i="3"/>
  <c r="O352" i="3" s="1"/>
  <c r="Q352" i="3" s="1"/>
  <c r="J353" i="3"/>
  <c r="M353" i="3" s="1"/>
  <c r="Q353" i="3" s="1"/>
  <c r="J355" i="3"/>
  <c r="P355" i="3" s="1"/>
  <c r="Q355" i="3" s="1"/>
  <c r="J358" i="3"/>
  <c r="N358" i="3" s="1"/>
  <c r="Q358" i="3" s="1"/>
  <c r="J359" i="3"/>
  <c r="M359" i="3" s="1"/>
  <c r="Q359" i="3" s="1"/>
  <c r="J360" i="3"/>
  <c r="O360" i="3" s="1"/>
  <c r="Q360" i="3" s="1"/>
  <c r="J365" i="3"/>
  <c r="J368" i="3"/>
  <c r="J372" i="3"/>
  <c r="J375" i="3"/>
  <c r="J379" i="3"/>
  <c r="J382" i="3"/>
  <c r="J383" i="3"/>
  <c r="N383" i="3" s="1"/>
  <c r="Q383" i="3" s="1"/>
  <c r="J384" i="3"/>
  <c r="O384" i="3" s="1"/>
  <c r="Q384" i="3" s="1"/>
  <c r="J385" i="3"/>
  <c r="M385" i="3" s="1"/>
  <c r="Q385" i="3" s="1"/>
  <c r="J391" i="3"/>
  <c r="J392" i="3"/>
  <c r="N392" i="3" s="1"/>
  <c r="Q392" i="3" s="1"/>
  <c r="J394" i="3"/>
  <c r="J396" i="3"/>
  <c r="O396" i="3" s="1"/>
  <c r="Q396" i="3" s="1"/>
  <c r="J400" i="3"/>
  <c r="N400" i="3" s="1"/>
  <c r="Q400" i="3" s="1"/>
  <c r="J401" i="3"/>
  <c r="N401" i="3" s="1"/>
  <c r="Q401" i="3" s="1"/>
  <c r="J403" i="3"/>
  <c r="O403" i="3" s="1"/>
  <c r="Q403" i="3" s="1"/>
  <c r="J409" i="3"/>
  <c r="N409" i="3" s="1"/>
  <c r="Q409" i="3" s="1"/>
  <c r="J410" i="3"/>
  <c r="N410" i="3" s="1"/>
  <c r="Q410" i="3" s="1"/>
  <c r="J412" i="3"/>
  <c r="O412" i="3" s="1"/>
  <c r="Q412" i="3" s="1"/>
  <c r="J413" i="3"/>
  <c r="M413" i="3" s="1"/>
  <c r="Q413" i="3" s="1"/>
  <c r="J414" i="3"/>
  <c r="O414" i="3" s="1"/>
  <c r="Q414" i="3" s="1"/>
  <c r="J418" i="3"/>
  <c r="N418" i="3" s="1"/>
  <c r="Q418" i="3" s="1"/>
  <c r="J419" i="3"/>
  <c r="N419" i="3" s="1"/>
  <c r="Q419" i="3" s="1"/>
  <c r="J421" i="3"/>
  <c r="O421" i="3" s="1"/>
  <c r="Q421" i="3" s="1"/>
  <c r="N428" i="3"/>
  <c r="Q428" i="3" s="1"/>
  <c r="O429" i="3"/>
  <c r="Q429" i="3" s="1"/>
  <c r="N430" i="3"/>
  <c r="Q430" i="3" s="1"/>
  <c r="M431" i="3"/>
  <c r="Q431" i="3" s="1"/>
  <c r="M432" i="3"/>
  <c r="Q432" i="3" s="1"/>
  <c r="M433" i="3"/>
  <c r="Q433" i="3" s="1"/>
  <c r="M434" i="3"/>
  <c r="Q434" i="3" s="1"/>
  <c r="O435" i="3"/>
  <c r="Q435" i="3" s="1"/>
  <c r="N438" i="3"/>
  <c r="Q438" i="3" s="1"/>
  <c r="N439" i="3"/>
  <c r="Q439" i="3" s="1"/>
  <c r="N440" i="3"/>
  <c r="Q440" i="3" s="1"/>
  <c r="N441" i="3"/>
  <c r="Q441" i="3" s="1"/>
  <c r="M442" i="3"/>
  <c r="Q442" i="3" s="1"/>
  <c r="M443" i="3"/>
  <c r="Q443" i="3" s="1"/>
  <c r="M444" i="3"/>
  <c r="Q444" i="3" s="1"/>
  <c r="N447" i="3"/>
  <c r="Q447" i="3" s="1"/>
  <c r="O448" i="3"/>
  <c r="Q448" i="3" s="1"/>
  <c r="N449" i="3"/>
  <c r="Q449" i="3" s="1"/>
  <c r="M450" i="3"/>
  <c r="Q450" i="3" s="1"/>
  <c r="M451" i="3"/>
  <c r="Q451" i="3" s="1"/>
  <c r="M452" i="3"/>
  <c r="Q452" i="3" s="1"/>
  <c r="M453" i="3"/>
  <c r="Q453" i="3" s="1"/>
  <c r="O454" i="3"/>
  <c r="Q454" i="3" s="1"/>
  <c r="N459" i="3"/>
  <c r="Q459" i="3" s="1"/>
  <c r="N460" i="3"/>
  <c r="Q460" i="3" s="1"/>
  <c r="M461" i="3"/>
  <c r="Q461" i="3" s="1"/>
  <c r="N465" i="3"/>
  <c r="Q465" i="3" s="1"/>
  <c r="N466" i="3"/>
  <c r="Q466" i="3" s="1"/>
  <c r="M467" i="3"/>
  <c r="Q467" i="3" s="1"/>
  <c r="J471" i="3"/>
  <c r="J472" i="3"/>
  <c r="O472" i="3" s="1"/>
  <c r="Q472" i="3" s="1"/>
  <c r="J473" i="3"/>
  <c r="M473" i="3" s="1"/>
  <c r="Q473" i="3" s="1"/>
  <c r="J476" i="3"/>
  <c r="N476" i="3" s="1"/>
  <c r="Q476" i="3" s="1"/>
  <c r="J477" i="3"/>
  <c r="O477" i="3" s="1"/>
  <c r="Q477" i="3" s="1"/>
  <c r="J478" i="3"/>
  <c r="M478" i="3" s="1"/>
  <c r="Q478" i="3" s="1"/>
  <c r="J481" i="3"/>
  <c r="J482" i="3"/>
  <c r="J489" i="3"/>
  <c r="J491" i="3"/>
  <c r="N491" i="3" s="1"/>
  <c r="J499" i="3"/>
  <c r="J500" i="3"/>
  <c r="J501" i="3"/>
  <c r="N501" i="3" s="1"/>
  <c r="Q501" i="3" s="1"/>
  <c r="J504" i="3"/>
  <c r="N504" i="3" s="1"/>
  <c r="Q504" i="3" s="1"/>
  <c r="J505" i="3"/>
  <c r="N505" i="3" s="1"/>
  <c r="Q505" i="3" s="1"/>
  <c r="J506" i="3"/>
  <c r="N506" i="3" s="1"/>
  <c r="Q506" i="3" s="1"/>
  <c r="J509" i="3"/>
  <c r="N509" i="3" s="1"/>
  <c r="Q509" i="3" s="1"/>
  <c r="J510" i="3"/>
  <c r="N510" i="3" s="1"/>
  <c r="Q510" i="3" s="1"/>
  <c r="J511" i="3"/>
  <c r="N511" i="3" s="1"/>
  <c r="Q511" i="3" s="1"/>
  <c r="J514" i="3"/>
  <c r="J515" i="3"/>
  <c r="N515" i="3" s="1"/>
  <c r="Q515" i="3" s="1"/>
  <c r="J516" i="3"/>
  <c r="O516" i="3" s="1"/>
  <c r="Q516" i="3" s="1"/>
  <c r="J517" i="3"/>
  <c r="M517" i="3" s="1"/>
  <c r="Q517" i="3" s="1"/>
  <c r="J520" i="3"/>
  <c r="N520" i="3" s="1"/>
  <c r="Q520" i="3" s="1"/>
  <c r="J521" i="3"/>
  <c r="N521" i="3" s="1"/>
  <c r="Q521" i="3" s="1"/>
  <c r="J522" i="3"/>
  <c r="O522" i="3" s="1"/>
  <c r="Q522" i="3" s="1"/>
  <c r="J523" i="3"/>
  <c r="M523" i="3" s="1"/>
  <c r="Q523" i="3" s="1"/>
  <c r="J526" i="3"/>
  <c r="J527" i="3"/>
  <c r="P527" i="3" s="1"/>
  <c r="Q527" i="3" s="1"/>
  <c r="O530" i="3"/>
  <c r="Q530" i="3" s="1"/>
  <c r="N531" i="3"/>
  <c r="Q531" i="3" s="1"/>
  <c r="N532" i="3"/>
  <c r="Q532" i="3" s="1"/>
  <c r="N533" i="3"/>
  <c r="Q533" i="3" s="1"/>
  <c r="N534" i="3"/>
  <c r="Q534" i="3" s="1"/>
  <c r="M535" i="3"/>
  <c r="Q535" i="3" s="1"/>
  <c r="N538" i="3"/>
  <c r="Q538" i="3" s="1"/>
  <c r="N539" i="3"/>
  <c r="Q539" i="3" s="1"/>
  <c r="N540" i="3"/>
  <c r="Q540" i="3" s="1"/>
  <c r="N541" i="3"/>
  <c r="Q541" i="3" s="1"/>
  <c r="M542" i="3"/>
  <c r="Q542" i="3" s="1"/>
  <c r="J546" i="3"/>
  <c r="N546" i="3" s="1"/>
  <c r="Q546" i="3" s="1"/>
  <c r="J547" i="3"/>
  <c r="N547" i="3" s="1"/>
  <c r="Q547" i="3" s="1"/>
  <c r="J548" i="3"/>
  <c r="N548" i="3" s="1"/>
  <c r="Q548" i="3" s="1"/>
  <c r="J549" i="3"/>
  <c r="N549" i="3" s="1"/>
  <c r="Q549" i="3" s="1"/>
  <c r="J551" i="3"/>
  <c r="O551" i="3" s="1"/>
  <c r="Q551" i="3" s="1"/>
  <c r="J554" i="3"/>
  <c r="P554" i="3" s="1"/>
  <c r="Q554" i="3" s="1"/>
  <c r="J555" i="3"/>
  <c r="O555" i="3" s="1"/>
  <c r="Q555" i="3" s="1"/>
  <c r="J556" i="3"/>
  <c r="M556" i="3" s="1"/>
  <c r="Q556" i="3" s="1"/>
  <c r="J557" i="3"/>
  <c r="O557" i="3" s="1"/>
  <c r="Q557" i="3" s="1"/>
  <c r="J558" i="3"/>
  <c r="P558" i="3" s="1"/>
  <c r="Q558" i="3" s="1"/>
  <c r="J561" i="3"/>
  <c r="P561" i="3" s="1"/>
  <c r="Q561" i="3" s="1"/>
  <c r="J562" i="3"/>
  <c r="P562" i="3" s="1"/>
  <c r="Q562" i="3" s="1"/>
  <c r="J568" i="3"/>
  <c r="J573" i="3"/>
  <c r="J576" i="3"/>
  <c r="J579" i="3"/>
  <c r="J582" i="3"/>
  <c r="J585" i="3"/>
  <c r="J589" i="3"/>
  <c r="J590" i="3"/>
  <c r="N590" i="3" s="1"/>
  <c r="Q590" i="3" s="1"/>
  <c r="J591" i="3"/>
  <c r="M591" i="3" s="1"/>
  <c r="Q591" i="3" s="1"/>
  <c r="J598" i="3"/>
  <c r="J599" i="3"/>
  <c r="M599" i="3" s="1"/>
  <c r="Q599" i="3" s="1"/>
  <c r="J602" i="3"/>
  <c r="O602" i="3" s="1"/>
  <c r="Q602" i="3" s="1"/>
  <c r="J603" i="3"/>
  <c r="O603" i="3" s="1"/>
  <c r="Q603" i="3" s="1"/>
  <c r="J607" i="3"/>
  <c r="O607" i="3" s="1"/>
  <c r="Q607" i="3" s="1"/>
  <c r="J609" i="3"/>
  <c r="O609" i="3" s="1"/>
  <c r="Q609" i="3" s="1"/>
  <c r="J610" i="3"/>
  <c r="M610" i="3" s="1"/>
  <c r="Q610" i="3" s="1"/>
  <c r="J613" i="3"/>
  <c r="J620" i="3"/>
  <c r="O620" i="3" s="1"/>
  <c r="Q620" i="3" s="1"/>
  <c r="J622" i="3"/>
  <c r="O622" i="3" s="1"/>
  <c r="Q622" i="3" s="1"/>
  <c r="J623" i="3"/>
  <c r="O623" i="3" s="1"/>
  <c r="Q623" i="3" s="1"/>
  <c r="J627" i="3"/>
  <c r="O627" i="3" s="1"/>
  <c r="Q627" i="3" s="1"/>
  <c r="J628" i="3"/>
  <c r="M628" i="3" s="1"/>
  <c r="Q628" i="3" s="1"/>
  <c r="J631" i="3"/>
  <c r="O631" i="3" s="1"/>
  <c r="Q631" i="3" s="1"/>
  <c r="J633" i="3"/>
  <c r="O633" i="3" s="1"/>
  <c r="Q633" i="3" s="1"/>
  <c r="J634" i="3"/>
  <c r="M634" i="3" s="1"/>
  <c r="Q634" i="3" s="1"/>
  <c r="J639" i="3"/>
  <c r="J642" i="3"/>
  <c r="J646" i="3"/>
  <c r="J649" i="3"/>
  <c r="J652" i="3"/>
  <c r="J655" i="3"/>
  <c r="J658" i="3"/>
  <c r="J661" i="3"/>
  <c r="P665" i="3"/>
  <c r="Q665" i="3" s="1"/>
  <c r="J666" i="3"/>
  <c r="N666" i="3" s="1"/>
  <c r="Q666" i="3" s="1"/>
  <c r="J667" i="3"/>
  <c r="N667" i="3" s="1"/>
  <c r="Q667" i="3" s="1"/>
  <c r="J668" i="3"/>
  <c r="N668" i="3" s="1"/>
  <c r="Q668" i="3" s="1"/>
  <c r="J671" i="3"/>
  <c r="J675" i="3"/>
  <c r="P675" i="3" s="1"/>
  <c r="Q675" i="3" s="1"/>
  <c r="J676" i="3"/>
  <c r="N676" i="3" s="1"/>
  <c r="Q676" i="3" s="1"/>
  <c r="J677" i="3"/>
  <c r="N677" i="3" s="1"/>
  <c r="Q677" i="3" s="1"/>
  <c r="J678" i="3"/>
  <c r="N678" i="3" s="1"/>
  <c r="Q678" i="3" s="1"/>
  <c r="J681" i="3"/>
  <c r="N681" i="3" s="1"/>
  <c r="Q681" i="3" s="1"/>
  <c r="J682" i="3"/>
  <c r="N682" i="3" s="1"/>
  <c r="Q682" i="3" s="1"/>
  <c r="J683" i="3"/>
  <c r="N683" i="3" s="1"/>
  <c r="Q683" i="3" s="1"/>
  <c r="J684" i="3"/>
  <c r="P684" i="3" s="1"/>
  <c r="Q684" i="3" s="1"/>
  <c r="J687" i="3"/>
  <c r="N687" i="3" s="1"/>
  <c r="Q687" i="3" s="1"/>
  <c r="J688" i="3"/>
  <c r="P688" i="3" s="1"/>
  <c r="Q688" i="3" s="1"/>
  <c r="J691" i="3"/>
  <c r="P691" i="3" s="1"/>
  <c r="Q691" i="3" s="1"/>
  <c r="J692" i="3"/>
  <c r="N692" i="3" s="1"/>
  <c r="Q692" i="3" s="1"/>
  <c r="J693" i="3"/>
  <c r="N693" i="3" s="1"/>
  <c r="Q693" i="3" s="1"/>
  <c r="J694" i="3"/>
  <c r="N694" i="3" s="1"/>
  <c r="Q694" i="3" s="1"/>
  <c r="J698" i="3"/>
  <c r="J704" i="3"/>
  <c r="J707" i="3"/>
  <c r="J710" i="3"/>
  <c r="O710" i="3" s="1"/>
  <c r="Q710" i="3" s="1"/>
  <c r="J711" i="3"/>
  <c r="J714" i="3"/>
  <c r="J717" i="3"/>
  <c r="J720" i="3"/>
  <c r="J257" i="3" l="1"/>
  <c r="M257" i="3" s="1"/>
  <c r="Q257" i="3" s="1"/>
  <c r="J269" i="3"/>
  <c r="O269" i="3" s="1"/>
  <c r="Q269" i="3" s="1"/>
  <c r="J248" i="3"/>
  <c r="O248" i="3" s="1"/>
  <c r="Q248" i="3" s="1"/>
  <c r="J227" i="3"/>
  <c r="M227" i="3" s="1"/>
  <c r="Q227" i="3" s="1"/>
  <c r="J169" i="3"/>
  <c r="O169" i="3" s="1"/>
  <c r="Q169" i="3" s="1"/>
  <c r="J131" i="3"/>
  <c r="O131" i="3" s="1"/>
  <c r="Q131" i="3" s="1"/>
  <c r="J181" i="3"/>
  <c r="O181" i="3" s="1"/>
  <c r="Q181" i="3" s="1"/>
  <c r="Q491" i="3"/>
  <c r="N487" i="3"/>
  <c r="L174" i="3"/>
  <c r="C37" i="10" s="1"/>
  <c r="K240" i="3"/>
  <c r="J405" i="3"/>
  <c r="O405" i="3" s="1"/>
  <c r="Q405" i="3" s="1"/>
  <c r="J490" i="3"/>
  <c r="M490" i="3" s="1"/>
  <c r="J141" i="3"/>
  <c r="O141" i="3" s="1"/>
  <c r="Q141" i="3" s="1"/>
  <c r="J129" i="3"/>
  <c r="M129" i="3" s="1"/>
  <c r="Q129" i="3" s="1"/>
  <c r="J632" i="3"/>
  <c r="O632" i="3" s="1"/>
  <c r="Q632" i="3" s="1"/>
  <c r="J626" i="3"/>
  <c r="O626" i="3" s="1"/>
  <c r="Q626" i="3" s="1"/>
  <c r="J616" i="3"/>
  <c r="M616" i="3" s="1"/>
  <c r="Q616" i="3" s="1"/>
  <c r="J496" i="3"/>
  <c r="M496" i="3" s="1"/>
  <c r="Q496" i="3" s="1"/>
  <c r="J122" i="3"/>
  <c r="O122" i="3" s="1"/>
  <c r="Q122" i="3" s="1"/>
  <c r="J271" i="3"/>
  <c r="M271" i="3" s="1"/>
  <c r="Q271" i="3" s="1"/>
  <c r="J263" i="3"/>
  <c r="O263" i="3" s="1"/>
  <c r="Q263" i="3" s="1"/>
  <c r="J255" i="3"/>
  <c r="O255" i="3" s="1"/>
  <c r="Q255" i="3" s="1"/>
  <c r="J212" i="3"/>
  <c r="M212" i="3" s="1"/>
  <c r="Q212" i="3" s="1"/>
  <c r="J204" i="3"/>
  <c r="O204" i="3" s="1"/>
  <c r="Q204" i="3" s="1"/>
  <c r="J195" i="3"/>
  <c r="O195" i="3" s="1"/>
  <c r="Q195" i="3" s="1"/>
  <c r="J166" i="3"/>
  <c r="O166" i="3" s="1"/>
  <c r="Q166" i="3" s="1"/>
  <c r="J153" i="3"/>
  <c r="M153" i="3" s="1"/>
  <c r="Q153" i="3" s="1"/>
  <c r="J112" i="3"/>
  <c r="M112" i="3" s="1"/>
  <c r="Q112" i="3" s="1"/>
  <c r="J423" i="3"/>
  <c r="O423" i="3" s="1"/>
  <c r="Q423" i="3" s="1"/>
  <c r="J275" i="3"/>
  <c r="O275" i="3" s="1"/>
  <c r="Q275" i="3" s="1"/>
  <c r="J242" i="3"/>
  <c r="M242" i="3" s="1"/>
  <c r="Q242" i="3" s="1"/>
  <c r="J234" i="3"/>
  <c r="O234" i="3" s="1"/>
  <c r="Q234" i="3" s="1"/>
  <c r="J225" i="3"/>
  <c r="O225" i="3" s="1"/>
  <c r="Q225" i="3" s="1"/>
  <c r="J180" i="3"/>
  <c r="O180" i="3" s="1"/>
  <c r="Q180" i="3" s="1"/>
  <c r="J171" i="3"/>
  <c r="M171" i="3" s="1"/>
  <c r="Q171" i="3" s="1"/>
  <c r="J615" i="3"/>
  <c r="O615" i="3" s="1"/>
  <c r="Q615" i="3" s="1"/>
  <c r="J608" i="3"/>
  <c r="O608" i="3" s="1"/>
  <c r="Q608" i="3" s="1"/>
  <c r="J146" i="3"/>
  <c r="M146" i="3" s="1"/>
  <c r="Q146" i="3" s="1"/>
  <c r="P526" i="3"/>
  <c r="Q526" i="3" s="1"/>
  <c r="N514" i="3"/>
  <c r="Q514" i="3" s="1"/>
  <c r="N500" i="3"/>
  <c r="Q500" i="3" s="1"/>
  <c r="P589" i="3"/>
  <c r="Q589" i="3" s="1"/>
  <c r="N499" i="3"/>
  <c r="Q499" i="3" s="1"/>
  <c r="O489" i="3"/>
  <c r="N471" i="3"/>
  <c r="Q471" i="3" s="1"/>
  <c r="O394" i="3"/>
  <c r="Q394" i="3" s="1"/>
  <c r="N299" i="3"/>
  <c r="Q299" i="3" s="1"/>
  <c r="N282" i="3"/>
  <c r="Q282" i="3" s="1"/>
  <c r="N186" i="3"/>
  <c r="Q186" i="3" s="1"/>
  <c r="O115" i="3"/>
  <c r="Q115" i="3" s="1"/>
  <c r="O71" i="3"/>
  <c r="Q71" i="3" s="1"/>
  <c r="P34" i="3"/>
  <c r="Q34" i="3" s="1"/>
  <c r="P19" i="3"/>
  <c r="Q19" i="3" s="1"/>
  <c r="M14" i="3"/>
  <c r="Q14" i="3" s="1"/>
  <c r="O6" i="3"/>
  <c r="Q6" i="3" s="1"/>
  <c r="O482" i="3"/>
  <c r="Q482" i="3" s="1"/>
  <c r="N302" i="3"/>
  <c r="Q302" i="3" s="1"/>
  <c r="P295" i="3"/>
  <c r="Q295" i="3" s="1"/>
  <c r="O127" i="3"/>
  <c r="Q127" i="3" s="1"/>
  <c r="P67" i="3"/>
  <c r="Q67" i="3" s="1"/>
  <c r="N48" i="3"/>
  <c r="Q48" i="3" s="1"/>
  <c r="O711" i="3"/>
  <c r="Q711" i="3" s="1"/>
  <c r="O613" i="3"/>
  <c r="Q613" i="3" s="1"/>
  <c r="O598" i="3"/>
  <c r="Q598" i="3" s="1"/>
  <c r="N481" i="3"/>
  <c r="Q481" i="3" s="1"/>
  <c r="N391" i="3"/>
  <c r="Q391" i="3" s="1"/>
  <c r="N382" i="3"/>
  <c r="Q382" i="3" s="1"/>
  <c r="N301" i="3"/>
  <c r="Q301" i="3" s="1"/>
  <c r="N294" i="3"/>
  <c r="Q294" i="3" s="1"/>
  <c r="N193" i="3"/>
  <c r="Q193" i="3" s="1"/>
  <c r="O138" i="3"/>
  <c r="Q138" i="3" s="1"/>
  <c r="O110" i="3"/>
  <c r="Q110" i="3" s="1"/>
  <c r="M22" i="3"/>
  <c r="Q22" i="3" s="1"/>
  <c r="P18" i="3"/>
  <c r="Q18" i="3" s="1"/>
  <c r="N300" i="3"/>
  <c r="Q300" i="3" s="1"/>
  <c r="P283" i="3"/>
  <c r="Q283" i="3" s="1"/>
  <c r="O274" i="3"/>
  <c r="Q274" i="3" s="1"/>
  <c r="O187" i="3"/>
  <c r="Q187" i="3" s="1"/>
  <c r="O179" i="3"/>
  <c r="Q179" i="3" s="1"/>
  <c r="O157" i="3"/>
  <c r="Q157" i="3" s="1"/>
  <c r="O121" i="3"/>
  <c r="Q121" i="3" s="1"/>
  <c r="P98" i="3"/>
  <c r="Q98" i="3" s="1"/>
  <c r="O65" i="3"/>
  <c r="Q65" i="3" s="1"/>
  <c r="M27" i="3"/>
  <c r="Q27" i="3" s="1"/>
  <c r="M15" i="3"/>
  <c r="Q15" i="3" s="1"/>
  <c r="J395" i="3"/>
  <c r="M395" i="3" s="1"/>
  <c r="Q395" i="3" s="1"/>
  <c r="J196" i="3"/>
  <c r="O196" i="3" s="1"/>
  <c r="Q196" i="3" s="1"/>
  <c r="J494" i="3"/>
  <c r="O494" i="3" s="1"/>
  <c r="Q494" i="3" s="1"/>
  <c r="J189" i="3"/>
  <c r="O189" i="3" s="1"/>
  <c r="Q189" i="3" s="1"/>
  <c r="J151" i="3"/>
  <c r="O151" i="3" s="1"/>
  <c r="Q151" i="3" s="1"/>
  <c r="J159" i="3"/>
  <c r="O159" i="3" s="1"/>
  <c r="Q159" i="3" s="1"/>
  <c r="K210" i="3"/>
  <c r="K269" i="3"/>
  <c r="K473" i="3"/>
  <c r="L470" i="3"/>
  <c r="C98" i="10" s="1"/>
  <c r="K603" i="3"/>
  <c r="L601" i="3"/>
  <c r="C128" i="10" s="1"/>
  <c r="K623" i="3"/>
  <c r="L618" i="3"/>
  <c r="K614" i="3"/>
  <c r="L612" i="3"/>
  <c r="K180" i="3"/>
  <c r="K195" i="3"/>
  <c r="L192" i="3"/>
  <c r="C42" i="10" s="1"/>
  <c r="K225" i="3"/>
  <c r="L222" i="3"/>
  <c r="C48" i="10" s="1"/>
  <c r="K255" i="3"/>
  <c r="L252" i="3"/>
  <c r="C54" i="10" s="1"/>
  <c r="K490" i="3"/>
  <c r="K608" i="3"/>
  <c r="L606" i="3"/>
  <c r="C129" i="10" s="1"/>
  <c r="K188" i="3"/>
  <c r="K218" i="3"/>
  <c r="K247" i="3"/>
  <c r="K395" i="3"/>
  <c r="L389" i="3"/>
  <c r="C83" i="10" s="1"/>
  <c r="K413" i="3"/>
  <c r="L407" i="3"/>
  <c r="K478" i="3"/>
  <c r="L475" i="3"/>
  <c r="C99" i="10" s="1"/>
  <c r="K275" i="3"/>
  <c r="L273" i="3"/>
  <c r="J116" i="3"/>
  <c r="O116" i="3" s="1"/>
  <c r="Q116" i="3" s="1"/>
  <c r="J218" i="3"/>
  <c r="O218" i="3" s="1"/>
  <c r="Q218" i="3" s="1"/>
  <c r="J123" i="3"/>
  <c r="O123" i="3" s="1"/>
  <c r="Q123" i="3" s="1"/>
  <c r="J72" i="3"/>
  <c r="M72" i="3" s="1"/>
  <c r="Q72" i="3" s="1"/>
  <c r="J256" i="3"/>
  <c r="O256" i="3" s="1"/>
  <c r="Q256" i="3" s="1"/>
  <c r="J235" i="3"/>
  <c r="M235" i="3" s="1"/>
  <c r="Q235" i="3" s="1"/>
  <c r="J168" i="3"/>
  <c r="O168" i="3" s="1"/>
  <c r="Q168" i="3" s="1"/>
  <c r="J130" i="3"/>
  <c r="O130" i="3" s="1"/>
  <c r="Q130" i="3" s="1"/>
  <c r="J247" i="3"/>
  <c r="O247" i="3" s="1"/>
  <c r="Q247" i="3" s="1"/>
  <c r="J226" i="3"/>
  <c r="O226" i="3" s="1"/>
  <c r="Q226" i="3" s="1"/>
  <c r="J205" i="3"/>
  <c r="M205" i="3" s="1"/>
  <c r="Q205" i="3" s="1"/>
  <c r="J147" i="3"/>
  <c r="O147" i="3" s="1"/>
  <c r="Q147" i="3" s="1"/>
  <c r="L97" i="3"/>
  <c r="C27" i="10" s="1"/>
  <c r="K100" i="3"/>
  <c r="K151" i="3"/>
  <c r="J78" i="3"/>
  <c r="O78" i="3" s="1"/>
  <c r="Q78" i="3" s="1"/>
  <c r="L78" i="3"/>
  <c r="J111" i="3"/>
  <c r="O111" i="3" s="1"/>
  <c r="Q111" i="3" s="1"/>
  <c r="L111" i="3"/>
  <c r="J118" i="3"/>
  <c r="M118" i="3" s="1"/>
  <c r="L118" i="3"/>
  <c r="K118" i="3" s="1"/>
  <c r="J128" i="3"/>
  <c r="O128" i="3" s="1"/>
  <c r="Q128" i="3" s="1"/>
  <c r="L128" i="3"/>
  <c r="J132" i="3"/>
  <c r="O132" i="3" s="1"/>
  <c r="Q132" i="3" s="1"/>
  <c r="L132" i="3"/>
  <c r="K132" i="3" s="1"/>
  <c r="J145" i="3"/>
  <c r="O145" i="3" s="1"/>
  <c r="Q145" i="3" s="1"/>
  <c r="L145" i="3"/>
  <c r="K145" i="3" s="1"/>
  <c r="J152" i="3"/>
  <c r="O152" i="3" s="1"/>
  <c r="Q152" i="3" s="1"/>
  <c r="L152" i="3"/>
  <c r="K152" i="3" s="1"/>
  <c r="J160" i="3"/>
  <c r="M160" i="3" s="1"/>
  <c r="Q160" i="3" s="1"/>
  <c r="L160" i="3"/>
  <c r="K160" i="3" s="1"/>
  <c r="J170" i="3"/>
  <c r="O170" i="3" s="1"/>
  <c r="Q170" i="3" s="1"/>
  <c r="L170" i="3"/>
  <c r="K170" i="3" s="1"/>
  <c r="J182" i="3"/>
  <c r="M182" i="3" s="1"/>
  <c r="L182" i="3"/>
  <c r="K182" i="3" s="1"/>
  <c r="J190" i="3"/>
  <c r="M190" i="3" s="1"/>
  <c r="L190" i="3"/>
  <c r="K190" i="3" s="1"/>
  <c r="J203" i="3"/>
  <c r="O203" i="3" s="1"/>
  <c r="Q203" i="3" s="1"/>
  <c r="L203" i="3"/>
  <c r="J211" i="3"/>
  <c r="O211" i="3" s="1"/>
  <c r="Q211" i="3" s="1"/>
  <c r="L211" i="3"/>
  <c r="K211" i="3" s="1"/>
  <c r="J220" i="3"/>
  <c r="M220" i="3" s="1"/>
  <c r="L220" i="3"/>
  <c r="K220" i="3" s="1"/>
  <c r="J233" i="3"/>
  <c r="O233" i="3" s="1"/>
  <c r="Q233" i="3" s="1"/>
  <c r="L233" i="3"/>
  <c r="J241" i="3"/>
  <c r="O241" i="3" s="1"/>
  <c r="Q241" i="3" s="1"/>
  <c r="L241" i="3"/>
  <c r="K241" i="3" s="1"/>
  <c r="J249" i="3"/>
  <c r="M249" i="3" s="1"/>
  <c r="L249" i="3"/>
  <c r="K249" i="3" s="1"/>
  <c r="J262" i="3"/>
  <c r="O262" i="3" s="1"/>
  <c r="Q262" i="3" s="1"/>
  <c r="L262" i="3"/>
  <c r="J270" i="3"/>
  <c r="O270" i="3" s="1"/>
  <c r="Q270" i="3" s="1"/>
  <c r="L270" i="3"/>
  <c r="K270" i="3" s="1"/>
  <c r="J404" i="3"/>
  <c r="M404" i="3" s="1"/>
  <c r="Q404" i="3" s="1"/>
  <c r="L404" i="3"/>
  <c r="J422" i="3"/>
  <c r="M422" i="3" s="1"/>
  <c r="L422" i="3"/>
  <c r="J483" i="3"/>
  <c r="M483" i="3" s="1"/>
  <c r="Q483" i="3" s="1"/>
  <c r="L483" i="3"/>
  <c r="J495" i="3"/>
  <c r="O495" i="3" s="1"/>
  <c r="Q495" i="3" s="1"/>
  <c r="L495" i="3"/>
  <c r="K495" i="3" s="1"/>
  <c r="J493" i="3"/>
  <c r="O493" i="3" s="1"/>
  <c r="Q493" i="3" s="1"/>
  <c r="J264" i="3"/>
  <c r="M264" i="3" s="1"/>
  <c r="Q264" i="3" s="1"/>
  <c r="J188" i="3"/>
  <c r="O188" i="3" s="1"/>
  <c r="Q188" i="3" s="1"/>
  <c r="J172" i="3"/>
  <c r="O172" i="3" s="1"/>
  <c r="Q172" i="3" s="1"/>
  <c r="J158" i="3"/>
  <c r="O158" i="3" s="1"/>
  <c r="Q158" i="3" s="1"/>
  <c r="J143" i="3"/>
  <c r="O143" i="3" s="1"/>
  <c r="Q143" i="3" s="1"/>
  <c r="J124" i="3"/>
  <c r="M124" i="3" s="1"/>
  <c r="Q124" i="3" s="1"/>
  <c r="J117" i="3"/>
  <c r="O117" i="3" s="1"/>
  <c r="Q117" i="3" s="1"/>
  <c r="J100" i="3"/>
  <c r="M100" i="3" s="1"/>
  <c r="Q100" i="3" s="1"/>
  <c r="K122" i="3"/>
  <c r="L120" i="3"/>
  <c r="C32" i="10" s="1"/>
  <c r="K141" i="3"/>
  <c r="L69" i="3"/>
  <c r="C21" i="10" s="1"/>
  <c r="K72" i="3"/>
  <c r="K116" i="3"/>
  <c r="K158" i="3"/>
  <c r="J552" i="3"/>
  <c r="M552" i="3" s="1"/>
  <c r="Q552" i="3" s="1"/>
  <c r="L552" i="3"/>
  <c r="J104" i="3"/>
  <c r="O104" i="3" s="1"/>
  <c r="Q104" i="3" s="1"/>
  <c r="L104" i="3"/>
  <c r="K104" i="3" s="1"/>
  <c r="N59" i="3"/>
  <c r="Q59" i="3" s="1"/>
  <c r="J57" i="3"/>
  <c r="M51" i="3"/>
  <c r="Q51" i="3" s="1"/>
  <c r="L51" i="3"/>
  <c r="K51" i="3" s="1"/>
  <c r="O81" i="3"/>
  <c r="N215" i="3"/>
  <c r="N207" i="3"/>
  <c r="M297" i="3"/>
  <c r="M475" i="3"/>
  <c r="N222" i="3"/>
  <c r="M322" i="3"/>
  <c r="O69" i="3"/>
  <c r="N200" i="3"/>
  <c r="M381" i="3"/>
  <c r="M427" i="3"/>
  <c r="M537" i="3"/>
  <c r="J660" i="3"/>
  <c r="P661" i="3"/>
  <c r="J578" i="3"/>
  <c r="P579" i="3"/>
  <c r="J713" i="3"/>
  <c r="O714" i="3"/>
  <c r="J703" i="3"/>
  <c r="M704" i="3"/>
  <c r="J719" i="3"/>
  <c r="M720" i="3"/>
  <c r="J374" i="3"/>
  <c r="P375" i="3"/>
  <c r="J94" i="3"/>
  <c r="N95" i="3"/>
  <c r="N46" i="3"/>
  <c r="N86" i="3"/>
  <c r="N185" i="3"/>
  <c r="N230" i="3"/>
  <c r="N237" i="3"/>
  <c r="N244" i="3"/>
  <c r="N252" i="3"/>
  <c r="N259" i="3"/>
  <c r="N266" i="3"/>
  <c r="P285" i="3"/>
  <c r="P289" i="3"/>
  <c r="P297" i="3"/>
  <c r="P310" i="3"/>
  <c r="P322" i="3"/>
  <c r="P334" i="3"/>
  <c r="P346" i="3"/>
  <c r="P525" i="3"/>
  <c r="Q525" i="3" s="1"/>
  <c r="P544" i="3"/>
  <c r="P560" i="3"/>
  <c r="Q560" i="3" s="1"/>
  <c r="P588" i="3"/>
  <c r="P664" i="3"/>
  <c r="P674" i="3"/>
  <c r="P680" i="3"/>
  <c r="P686" i="3"/>
  <c r="P690" i="3"/>
  <c r="J584" i="3"/>
  <c r="P585" i="3"/>
  <c r="J174" i="3"/>
  <c r="P175" i="3"/>
  <c r="J648" i="3"/>
  <c r="P649" i="3"/>
  <c r="J572" i="3"/>
  <c r="P573" i="3"/>
  <c r="J91" i="3"/>
  <c r="N92" i="3"/>
  <c r="J39" i="3"/>
  <c r="M40" i="3"/>
  <c r="P5" i="3"/>
  <c r="Q5" i="3" s="1"/>
  <c r="O46" i="3"/>
  <c r="O97" i="3"/>
  <c r="M310" i="3"/>
  <c r="M334" i="3"/>
  <c r="M346" i="3"/>
  <c r="M357" i="3"/>
  <c r="M407" i="3"/>
  <c r="M437" i="3"/>
  <c r="M446" i="3"/>
  <c r="M458" i="3"/>
  <c r="M464" i="3"/>
  <c r="M470" i="3"/>
  <c r="M513" i="3"/>
  <c r="M519" i="3"/>
  <c r="M529" i="3"/>
  <c r="M588" i="3"/>
  <c r="M596" i="3"/>
  <c r="M606" i="3"/>
  <c r="M612" i="3"/>
  <c r="M618" i="3"/>
  <c r="J716" i="3"/>
  <c r="O717" i="3"/>
  <c r="J706" i="3"/>
  <c r="M707" i="3"/>
  <c r="J367" i="3"/>
  <c r="P368" i="3"/>
  <c r="J36" i="3"/>
  <c r="P37" i="3"/>
  <c r="P75" i="3"/>
  <c r="P102" i="3"/>
  <c r="N281" i="3"/>
  <c r="N285" i="3"/>
  <c r="N289" i="3"/>
  <c r="N293" i="3"/>
  <c r="N310" i="3"/>
  <c r="N322" i="3"/>
  <c r="N334" i="3"/>
  <c r="N346" i="3"/>
  <c r="N357" i="3"/>
  <c r="N381" i="3"/>
  <c r="N398" i="3"/>
  <c r="N407" i="3"/>
  <c r="N416" i="3"/>
  <c r="N427" i="3"/>
  <c r="N437" i="3"/>
  <c r="N446" i="3"/>
  <c r="N458" i="3"/>
  <c r="N464" i="3"/>
  <c r="N470" i="3"/>
  <c r="N475" i="3"/>
  <c r="N480" i="3"/>
  <c r="N503" i="3"/>
  <c r="Q503" i="3" s="1"/>
  <c r="N508" i="3"/>
  <c r="Q508" i="3" s="1"/>
  <c r="N513" i="3"/>
  <c r="N519" i="3"/>
  <c r="N529" i="3"/>
  <c r="N537" i="3"/>
  <c r="N544" i="3"/>
  <c r="N588" i="3"/>
  <c r="N664" i="3"/>
  <c r="N674" i="3"/>
  <c r="N680" i="3"/>
  <c r="N686" i="3"/>
  <c r="N690" i="3"/>
  <c r="J697" i="3"/>
  <c r="P698" i="3"/>
  <c r="J654" i="3"/>
  <c r="P655" i="3"/>
  <c r="J641" i="3"/>
  <c r="P642" i="3"/>
  <c r="J371" i="3"/>
  <c r="P372" i="3"/>
  <c r="J670" i="3"/>
  <c r="P671" i="3"/>
  <c r="J657" i="3"/>
  <c r="P658" i="3"/>
  <c r="J651" i="3"/>
  <c r="P652" i="3"/>
  <c r="J645" i="3"/>
  <c r="P646" i="3"/>
  <c r="J638" i="3"/>
  <c r="P639" i="3"/>
  <c r="J581" i="3"/>
  <c r="P582" i="3"/>
  <c r="J575" i="3"/>
  <c r="P576" i="3"/>
  <c r="J567" i="3"/>
  <c r="P568" i="3"/>
  <c r="J378" i="3"/>
  <c r="P379" i="3"/>
  <c r="J364" i="3"/>
  <c r="P365" i="3"/>
  <c r="J42" i="3"/>
  <c r="N43" i="3"/>
  <c r="M57" i="3"/>
  <c r="M63" i="3"/>
  <c r="M75" i="3"/>
  <c r="M81" i="3"/>
  <c r="M86" i="3"/>
  <c r="M102" i="3"/>
  <c r="M109" i="3"/>
  <c r="M136" i="3"/>
  <c r="M149" i="3"/>
  <c r="M192" i="3"/>
  <c r="M207" i="3"/>
  <c r="M222" i="3"/>
  <c r="M237" i="3"/>
  <c r="M252" i="3"/>
  <c r="M266" i="3"/>
  <c r="O297" i="3"/>
  <c r="O310" i="3"/>
  <c r="O322" i="3"/>
  <c r="O334" i="3"/>
  <c r="O346" i="3"/>
  <c r="O357" i="3"/>
  <c r="O381" i="3"/>
  <c r="O398" i="3"/>
  <c r="O407" i="3"/>
  <c r="O416" i="3"/>
  <c r="O427" i="3"/>
  <c r="O446" i="3"/>
  <c r="O470" i="3"/>
  <c r="O475" i="3"/>
  <c r="O513" i="3"/>
  <c r="O519" i="3"/>
  <c r="O529" i="3"/>
  <c r="O544" i="3"/>
  <c r="O596" i="3"/>
  <c r="O601" i="3"/>
  <c r="O709" i="3"/>
  <c r="Q709" i="3" s="1"/>
  <c r="F156" i="10" s="1"/>
  <c r="J277" i="3"/>
  <c r="M277" i="3" s="1"/>
  <c r="J614" i="3"/>
  <c r="M26" i="3"/>
  <c r="Q26" i="3" s="1"/>
  <c r="J33" i="3"/>
  <c r="J30" i="3"/>
  <c r="O4" i="3"/>
  <c r="J625" i="3"/>
  <c r="O625" i="3" s="1"/>
  <c r="Q625" i="3" s="1"/>
  <c r="J629" i="3"/>
  <c r="O629" i="3" s="1"/>
  <c r="Q629" i="3" s="1"/>
  <c r="J604" i="3"/>
  <c r="J285" i="3"/>
  <c r="J289" i="3"/>
  <c r="J21" i="3"/>
  <c r="J464" i="3"/>
  <c r="J686" i="3"/>
  <c r="J537" i="3"/>
  <c r="J525" i="3"/>
  <c r="J519" i="3"/>
  <c r="J346" i="3"/>
  <c r="J293" i="3"/>
  <c r="J86" i="3"/>
  <c r="J690" i="3"/>
  <c r="J680" i="3"/>
  <c r="J560" i="3"/>
  <c r="J281" i="3"/>
  <c r="J709" i="3"/>
  <c r="J588" i="3"/>
  <c r="J458" i="3"/>
  <c r="J446" i="3"/>
  <c r="J427" i="3"/>
  <c r="J407" i="3"/>
  <c r="J17" i="3"/>
  <c r="J674" i="3"/>
  <c r="J664" i="3"/>
  <c r="J529" i="3"/>
  <c r="J508" i="3"/>
  <c r="J498" i="3"/>
  <c r="J470" i="3"/>
  <c r="J357" i="3"/>
  <c r="J334" i="3"/>
  <c r="J310" i="3"/>
  <c r="J81" i="3"/>
  <c r="J26" i="3"/>
  <c r="J437" i="3"/>
  <c r="J381" i="3"/>
  <c r="J297" i="3"/>
  <c r="J63" i="3"/>
  <c r="J4" i="3"/>
  <c r="J606" i="3"/>
  <c r="J596" i="3"/>
  <c r="J513" i="3"/>
  <c r="J503" i="3"/>
  <c r="J475" i="3"/>
  <c r="J322" i="3"/>
  <c r="O480" i="3" l="1"/>
  <c r="O606" i="3"/>
  <c r="N498" i="3"/>
  <c r="Q498" i="3" s="1"/>
  <c r="E130" i="11" s="1"/>
  <c r="E139" i="11"/>
  <c r="F112" i="10"/>
  <c r="E131" i="11"/>
  <c r="F104" i="10"/>
  <c r="Q489" i="3"/>
  <c r="O487" i="3"/>
  <c r="Q490" i="3"/>
  <c r="M487" i="3"/>
  <c r="E8" i="11"/>
  <c r="F8" i="10"/>
  <c r="J487" i="3"/>
  <c r="I487" i="3" s="1"/>
  <c r="E135" i="11"/>
  <c r="F108" i="10"/>
  <c r="E132" i="11"/>
  <c r="F105" i="10"/>
  <c r="O192" i="3"/>
  <c r="L237" i="3"/>
  <c r="C51" i="10" s="1"/>
  <c r="P17" i="3"/>
  <c r="Q17" i="3" s="1"/>
  <c r="O389" i="3"/>
  <c r="M126" i="3"/>
  <c r="O252" i="3"/>
  <c r="Q252" i="3" s="1"/>
  <c r="O244" i="3"/>
  <c r="O178" i="3"/>
  <c r="J389" i="3"/>
  <c r="M69" i="3"/>
  <c r="Q69" i="3" s="1"/>
  <c r="M389" i="3"/>
  <c r="C130" i="10"/>
  <c r="C131" i="10"/>
  <c r="N389" i="3"/>
  <c r="C57" i="10"/>
  <c r="C85" i="10"/>
  <c r="J252" i="3"/>
  <c r="I252" i="3" s="1"/>
  <c r="P293" i="3"/>
  <c r="Q293" i="3" s="1"/>
  <c r="N192" i="3"/>
  <c r="P63" i="3"/>
  <c r="O273" i="3"/>
  <c r="M21" i="3"/>
  <c r="Q21" i="3" s="1"/>
  <c r="N297" i="3"/>
  <c r="Q297" i="3" s="1"/>
  <c r="O222" i="3"/>
  <c r="Q222" i="3" s="1"/>
  <c r="M4" i="3"/>
  <c r="O63" i="3"/>
  <c r="P97" i="3"/>
  <c r="P281" i="3"/>
  <c r="Q281" i="3" s="1"/>
  <c r="J192" i="3"/>
  <c r="I192" i="3" s="1"/>
  <c r="J416" i="3"/>
  <c r="I416" i="3" s="1"/>
  <c r="J69" i="3"/>
  <c r="I69" i="3" s="1"/>
  <c r="J46" i="3"/>
  <c r="I46" i="3" s="1"/>
  <c r="J185" i="3"/>
  <c r="I185" i="3" s="1"/>
  <c r="J266" i="3"/>
  <c r="I266" i="3" s="1"/>
  <c r="J207" i="3"/>
  <c r="I207" i="3" s="1"/>
  <c r="J222" i="3"/>
  <c r="I222" i="3" s="1"/>
  <c r="M230" i="3"/>
  <c r="J120" i="3"/>
  <c r="I120" i="3" s="1"/>
  <c r="J244" i="3"/>
  <c r="I244" i="3" s="1"/>
  <c r="J75" i="3"/>
  <c r="M120" i="3"/>
  <c r="J480" i="3"/>
  <c r="I480" i="3" s="1"/>
  <c r="J398" i="3"/>
  <c r="I398" i="3" s="1"/>
  <c r="M97" i="3"/>
  <c r="J178" i="3"/>
  <c r="I178" i="3" s="1"/>
  <c r="Q686" i="3"/>
  <c r="O215" i="3"/>
  <c r="N57" i="3"/>
  <c r="Q57" i="3" s="1"/>
  <c r="J109" i="3"/>
  <c r="I109" i="3" s="1"/>
  <c r="J215" i="3"/>
  <c r="I215" i="3" s="1"/>
  <c r="J126" i="3"/>
  <c r="I126" i="3" s="1"/>
  <c r="O200" i="3"/>
  <c r="J97" i="3"/>
  <c r="J237" i="3"/>
  <c r="I237" i="3" s="1"/>
  <c r="O237" i="3"/>
  <c r="Q237" i="3" s="1"/>
  <c r="M480" i="3"/>
  <c r="Q480" i="3" s="1"/>
  <c r="O259" i="3"/>
  <c r="M155" i="3"/>
  <c r="O109" i="3"/>
  <c r="Q109" i="3" s="1"/>
  <c r="J155" i="3"/>
  <c r="I155" i="3" s="1"/>
  <c r="Q664" i="3"/>
  <c r="J200" i="3"/>
  <c r="I200" i="3" s="1"/>
  <c r="J114" i="3"/>
  <c r="I114" i="3" s="1"/>
  <c r="M200" i="3"/>
  <c r="O114" i="3"/>
  <c r="O155" i="3"/>
  <c r="L114" i="3"/>
  <c r="C31" i="10" s="1"/>
  <c r="I364" i="3"/>
  <c r="I657" i="3"/>
  <c r="I381" i="3"/>
  <c r="I537" i="3"/>
  <c r="K483" i="3"/>
  <c r="L480" i="3"/>
  <c r="C100" i="10" s="1"/>
  <c r="K404" i="3"/>
  <c r="L398" i="3"/>
  <c r="C84" i="10" s="1"/>
  <c r="K262" i="3"/>
  <c r="L259" i="3"/>
  <c r="C55" i="10" s="1"/>
  <c r="K203" i="3"/>
  <c r="L200" i="3"/>
  <c r="I322" i="3"/>
  <c r="I596" i="3"/>
  <c r="I63" i="3"/>
  <c r="I437" i="3"/>
  <c r="J149" i="3"/>
  <c r="J230" i="3"/>
  <c r="I334" i="3"/>
  <c r="I498" i="3"/>
  <c r="I674" i="3"/>
  <c r="I389" i="3"/>
  <c r="J544" i="3"/>
  <c r="I588" i="3"/>
  <c r="I560" i="3"/>
  <c r="I519" i="3"/>
  <c r="I686" i="3"/>
  <c r="I285" i="3"/>
  <c r="I33" i="3"/>
  <c r="I42" i="3"/>
  <c r="I378" i="3"/>
  <c r="I575" i="3"/>
  <c r="I638" i="3"/>
  <c r="I651" i="3"/>
  <c r="I670" i="3"/>
  <c r="I641" i="3"/>
  <c r="I697" i="3"/>
  <c r="O120" i="3"/>
  <c r="I91" i="3"/>
  <c r="I648" i="3"/>
  <c r="I584" i="3"/>
  <c r="I374" i="3"/>
  <c r="I703" i="3"/>
  <c r="I578" i="3"/>
  <c r="O185" i="3"/>
  <c r="I57" i="3"/>
  <c r="K552" i="3"/>
  <c r="L544" i="3"/>
  <c r="C111" i="10" s="1"/>
  <c r="L136" i="3"/>
  <c r="I4" i="3"/>
  <c r="I529" i="3"/>
  <c r="I427" i="3"/>
  <c r="I525" i="3"/>
  <c r="I645" i="3"/>
  <c r="I654" i="3"/>
  <c r="I513" i="3"/>
  <c r="I475" i="3"/>
  <c r="I606" i="3"/>
  <c r="I26" i="3"/>
  <c r="I357" i="3"/>
  <c r="I508" i="3"/>
  <c r="I17" i="3"/>
  <c r="I407" i="3"/>
  <c r="I709" i="3"/>
  <c r="I680" i="3"/>
  <c r="I86" i="3"/>
  <c r="I464" i="3"/>
  <c r="I367" i="3"/>
  <c r="I716" i="3"/>
  <c r="O266" i="3"/>
  <c r="Q266" i="3" s="1"/>
  <c r="O207" i="3"/>
  <c r="Q207" i="3" s="1"/>
  <c r="O149" i="3"/>
  <c r="Q149" i="3" s="1"/>
  <c r="K422" i="3"/>
  <c r="L416" i="3"/>
  <c r="K233" i="3"/>
  <c r="L230" i="3"/>
  <c r="L244" i="3"/>
  <c r="L185" i="3"/>
  <c r="L487" i="3"/>
  <c r="L178" i="3"/>
  <c r="C39" i="10" s="1"/>
  <c r="L207" i="3"/>
  <c r="C45" i="10" s="1"/>
  <c r="I567" i="3"/>
  <c r="I39" i="3"/>
  <c r="I572" i="3"/>
  <c r="I174" i="3"/>
  <c r="I94" i="3"/>
  <c r="I719" i="3"/>
  <c r="I713" i="3"/>
  <c r="I660" i="3"/>
  <c r="I503" i="3"/>
  <c r="I297" i="3"/>
  <c r="I470" i="3"/>
  <c r="I75" i="3"/>
  <c r="I690" i="3"/>
  <c r="I293" i="3"/>
  <c r="I21" i="3"/>
  <c r="I581" i="3"/>
  <c r="I371" i="3"/>
  <c r="I81" i="3"/>
  <c r="I310" i="3"/>
  <c r="I664" i="3"/>
  <c r="I446" i="3"/>
  <c r="I458" i="3"/>
  <c r="I281" i="3"/>
  <c r="I346" i="3"/>
  <c r="I289" i="3"/>
  <c r="I30" i="3"/>
  <c r="Q519" i="3"/>
  <c r="I36" i="3"/>
  <c r="I706" i="3"/>
  <c r="O230" i="3"/>
  <c r="L215" i="3"/>
  <c r="L266" i="3"/>
  <c r="Q285" i="3"/>
  <c r="Q86" i="3"/>
  <c r="O102" i="3"/>
  <c r="Q102" i="3" s="1"/>
  <c r="Q606" i="3"/>
  <c r="Q81" i="3"/>
  <c r="M46" i="3"/>
  <c r="Q46" i="3" s="1"/>
  <c r="Q588" i="3"/>
  <c r="Q690" i="3"/>
  <c r="J136" i="3"/>
  <c r="Q596" i="3"/>
  <c r="Q289" i="3"/>
  <c r="O75" i="3"/>
  <c r="Q75" i="3" s="1"/>
  <c r="J102" i="3"/>
  <c r="K128" i="3"/>
  <c r="L126" i="3"/>
  <c r="K111" i="3"/>
  <c r="L109" i="3"/>
  <c r="Q680" i="3"/>
  <c r="Q220" i="3"/>
  <c r="M215" i="3"/>
  <c r="Q182" i="3"/>
  <c r="M178" i="3"/>
  <c r="J259" i="3"/>
  <c r="Q537" i="3"/>
  <c r="O136" i="3"/>
  <c r="Q136" i="3" s="1"/>
  <c r="L155" i="3"/>
  <c r="K78" i="3"/>
  <c r="L75" i="3"/>
  <c r="C22" i="10" s="1"/>
  <c r="L149" i="3"/>
  <c r="J273" i="3"/>
  <c r="Q475" i="3"/>
  <c r="M259" i="3"/>
  <c r="O126" i="3"/>
  <c r="M544" i="3"/>
  <c r="Q544" i="3" s="1"/>
  <c r="M398" i="3"/>
  <c r="Q398" i="3" s="1"/>
  <c r="Q422" i="3"/>
  <c r="M416" i="3"/>
  <c r="Q416" i="3" s="1"/>
  <c r="Q249" i="3"/>
  <c r="M244" i="3"/>
  <c r="Q190" i="3"/>
  <c r="M185" i="3"/>
  <c r="Q118" i="3"/>
  <c r="M114" i="3"/>
  <c r="Q381" i="3"/>
  <c r="Q464" i="3"/>
  <c r="Q674" i="3"/>
  <c r="L46" i="3"/>
  <c r="C15" i="10" s="1"/>
  <c r="L102" i="3"/>
  <c r="C28" i="10" s="1"/>
  <c r="P4" i="3"/>
  <c r="Q357" i="3"/>
  <c r="Q458" i="3"/>
  <c r="J618" i="3"/>
  <c r="Q529" i="3"/>
  <c r="Q513" i="3"/>
  <c r="Q470" i="3"/>
  <c r="Q446" i="3"/>
  <c r="Q437" i="3"/>
  <c r="Q427" i="3"/>
  <c r="Q407" i="3"/>
  <c r="Q346" i="3"/>
  <c r="Q334" i="3"/>
  <c r="Q322" i="3"/>
  <c r="Q310" i="3"/>
  <c r="O618" i="3"/>
  <c r="Q618" i="3" s="1"/>
  <c r="Q43" i="3"/>
  <c r="N42" i="3"/>
  <c r="Q379" i="3"/>
  <c r="P378" i="3"/>
  <c r="Q378" i="3" s="1"/>
  <c r="Q576" i="3"/>
  <c r="P575" i="3"/>
  <c r="Q575" i="3" s="1"/>
  <c r="Q639" i="3"/>
  <c r="P638" i="3"/>
  <c r="Q638" i="3" s="1"/>
  <c r="Q652" i="3"/>
  <c r="P651" i="3"/>
  <c r="Q651" i="3" s="1"/>
  <c r="Q671" i="3"/>
  <c r="P670" i="3"/>
  <c r="Q670" i="3" s="1"/>
  <c r="Q642" i="3"/>
  <c r="P641" i="3"/>
  <c r="Q641" i="3" s="1"/>
  <c r="Q698" i="3"/>
  <c r="P697" i="3"/>
  <c r="Q697" i="3" s="1"/>
  <c r="Q92" i="3"/>
  <c r="N91" i="3"/>
  <c r="Q649" i="3"/>
  <c r="P648" i="3"/>
  <c r="Q648" i="3" s="1"/>
  <c r="Q585" i="3"/>
  <c r="P584" i="3"/>
  <c r="Q584" i="3" s="1"/>
  <c r="Q375" i="3"/>
  <c r="P374" i="3"/>
  <c r="Q374" i="3" s="1"/>
  <c r="Q704" i="3"/>
  <c r="M703" i="3"/>
  <c r="Q703" i="3" s="1"/>
  <c r="F154" i="10" s="1"/>
  <c r="Q579" i="3"/>
  <c r="P578" i="3"/>
  <c r="Q578" i="3" s="1"/>
  <c r="J612" i="3"/>
  <c r="O614" i="3"/>
  <c r="Q368" i="3"/>
  <c r="P367" i="3"/>
  <c r="Q367" i="3" s="1"/>
  <c r="Q717" i="3"/>
  <c r="O716" i="3"/>
  <c r="Q716" i="3" s="1"/>
  <c r="F158" i="10" s="1"/>
  <c r="Q365" i="3"/>
  <c r="P364" i="3"/>
  <c r="Q364" i="3" s="1"/>
  <c r="Q568" i="3"/>
  <c r="P567" i="3"/>
  <c r="Q567" i="3" s="1"/>
  <c r="Q582" i="3"/>
  <c r="P581" i="3"/>
  <c r="Q581" i="3" s="1"/>
  <c r="Q646" i="3"/>
  <c r="P645" i="3"/>
  <c r="Q645" i="3" s="1"/>
  <c r="Q658" i="3"/>
  <c r="P657" i="3"/>
  <c r="Q657" i="3" s="1"/>
  <c r="Q372" i="3"/>
  <c r="P371" i="3"/>
  <c r="Q371" i="3" s="1"/>
  <c r="Q655" i="3"/>
  <c r="P654" i="3"/>
  <c r="Q654" i="3" s="1"/>
  <c r="Q40" i="3"/>
  <c r="M39" i="3"/>
  <c r="Q39" i="3" s="1"/>
  <c r="Q573" i="3"/>
  <c r="P572" i="3"/>
  <c r="Q572" i="3" s="1"/>
  <c r="Q175" i="3"/>
  <c r="P174" i="3"/>
  <c r="Q95" i="3"/>
  <c r="N94" i="3"/>
  <c r="Q94" i="3" s="1"/>
  <c r="Q720" i="3"/>
  <c r="M719" i="3"/>
  <c r="Q719" i="3" s="1"/>
  <c r="F159" i="10" s="1"/>
  <c r="Q714" i="3"/>
  <c r="O713" i="3"/>
  <c r="Q713" i="3" s="1"/>
  <c r="F157" i="10" s="1"/>
  <c r="Q661" i="3"/>
  <c r="P660" i="3"/>
  <c r="Q660" i="3" s="1"/>
  <c r="J601" i="3"/>
  <c r="M604" i="3"/>
  <c r="Q37" i="3"/>
  <c r="P36" i="3"/>
  <c r="Q36" i="3" s="1"/>
  <c r="Q707" i="3"/>
  <c r="M706" i="3"/>
  <c r="Q706" i="3" s="1"/>
  <c r="F155" i="10" s="1"/>
  <c r="Q277" i="3"/>
  <c r="M273" i="3"/>
  <c r="M30" i="3"/>
  <c r="Q30" i="3" s="1"/>
  <c r="P33" i="3"/>
  <c r="Q33" i="3" s="1"/>
  <c r="F103" i="10" l="1"/>
  <c r="Q200" i="3"/>
  <c r="Q126" i="3"/>
  <c r="Q244" i="3"/>
  <c r="Q63" i="3"/>
  <c r="Q192" i="3"/>
  <c r="Q389" i="3"/>
  <c r="Q178" i="3"/>
  <c r="E49" i="11" s="1"/>
  <c r="Q97" i="3"/>
  <c r="F27" i="10" s="1"/>
  <c r="E181" i="11"/>
  <c r="F142" i="10"/>
  <c r="E12" i="11"/>
  <c r="F12" i="10"/>
  <c r="Q487" i="3"/>
  <c r="E10" i="11"/>
  <c r="F10" i="10"/>
  <c r="E179" i="11"/>
  <c r="F140" i="10"/>
  <c r="E180" i="11"/>
  <c r="F141" i="10"/>
  <c r="E177" i="11"/>
  <c r="F138" i="10"/>
  <c r="E191" i="11"/>
  <c r="F152" i="10"/>
  <c r="E184" i="11"/>
  <c r="F145" i="10"/>
  <c r="E97" i="11"/>
  <c r="F79" i="10"/>
  <c r="E186" i="11"/>
  <c r="F147" i="10"/>
  <c r="E187" i="11"/>
  <c r="F148" i="10"/>
  <c r="E189" i="11"/>
  <c r="F150" i="10"/>
  <c r="E188" i="11"/>
  <c r="F149" i="10"/>
  <c r="E11" i="11"/>
  <c r="F11" i="10"/>
  <c r="E33" i="11"/>
  <c r="F26" i="10"/>
  <c r="E9" i="11"/>
  <c r="F9" i="10"/>
  <c r="E158" i="11"/>
  <c r="F124" i="10"/>
  <c r="E183" i="11"/>
  <c r="F144" i="10"/>
  <c r="E176" i="11"/>
  <c r="F137" i="10"/>
  <c r="E147" i="11"/>
  <c r="F116" i="10"/>
  <c r="E174" i="11"/>
  <c r="F135" i="10"/>
  <c r="E178" i="11"/>
  <c r="F139" i="10"/>
  <c r="E98" i="11"/>
  <c r="F80" i="10"/>
  <c r="E164" i="11"/>
  <c r="F127" i="10"/>
  <c r="E23" i="11"/>
  <c r="F18" i="10"/>
  <c r="E154" i="11"/>
  <c r="F122" i="10"/>
  <c r="E153" i="11"/>
  <c r="F121" i="10"/>
  <c r="E168" i="11"/>
  <c r="F131" i="10"/>
  <c r="E61" i="11"/>
  <c r="F48" i="10"/>
  <c r="E84" i="11"/>
  <c r="F68" i="10"/>
  <c r="E112" i="11"/>
  <c r="F89" i="10"/>
  <c r="E133" i="11"/>
  <c r="F106" i="10"/>
  <c r="E86" i="11"/>
  <c r="F70" i="10"/>
  <c r="E138" i="11"/>
  <c r="F111" i="10"/>
  <c r="E29" i="11"/>
  <c r="F22" i="10"/>
  <c r="E30" i="11"/>
  <c r="F23" i="10"/>
  <c r="E75" i="11"/>
  <c r="F60" i="10"/>
  <c r="E43" i="11"/>
  <c r="F35" i="10"/>
  <c r="E7" i="11"/>
  <c r="F7" i="10"/>
  <c r="E129" i="11"/>
  <c r="F102" i="10"/>
  <c r="E151" i="11"/>
  <c r="F119" i="10"/>
  <c r="E90" i="11"/>
  <c r="F73" i="10"/>
  <c r="E91" i="11"/>
  <c r="F74" i="10"/>
  <c r="E94" i="11"/>
  <c r="F77" i="10"/>
  <c r="E173" i="11"/>
  <c r="F134" i="10"/>
  <c r="E82" i="11"/>
  <c r="F66" i="10"/>
  <c r="E67" i="11"/>
  <c r="F54" i="10"/>
  <c r="E85" i="11"/>
  <c r="F69" i="10"/>
  <c r="E113" i="11"/>
  <c r="F90" i="10"/>
  <c r="E136" i="11"/>
  <c r="F109" i="10"/>
  <c r="E120" i="11"/>
  <c r="F96" i="10"/>
  <c r="E107" i="11"/>
  <c r="F86" i="10"/>
  <c r="E41" i="11"/>
  <c r="F33" i="10"/>
  <c r="E42" i="11"/>
  <c r="F34" i="10"/>
  <c r="E57" i="11"/>
  <c r="F44" i="10"/>
  <c r="E77" i="11"/>
  <c r="F62" i="10"/>
  <c r="E166" i="11"/>
  <c r="F129" i="10"/>
  <c r="E76" i="11"/>
  <c r="F61" i="10"/>
  <c r="E58" i="11"/>
  <c r="F45" i="10"/>
  <c r="E155" i="11"/>
  <c r="F123" i="10"/>
  <c r="E28" i="11"/>
  <c r="F21" i="10"/>
  <c r="E137" i="11"/>
  <c r="F110" i="10"/>
  <c r="E26" i="11"/>
  <c r="F20" i="10"/>
  <c r="E18" i="11"/>
  <c r="F15" i="10"/>
  <c r="E35" i="11"/>
  <c r="F28" i="10"/>
  <c r="E69" i="11"/>
  <c r="F56" i="10"/>
  <c r="E125" i="11"/>
  <c r="F100" i="10"/>
  <c r="J700" i="3"/>
  <c r="E93" i="11"/>
  <c r="F76" i="10"/>
  <c r="E152" i="11"/>
  <c r="F120" i="10"/>
  <c r="E79" i="11"/>
  <c r="F64" i="10"/>
  <c r="E104" i="11"/>
  <c r="F83" i="10"/>
  <c r="E114" i="11"/>
  <c r="F91" i="10"/>
  <c r="E55" i="11"/>
  <c r="F42" i="10"/>
  <c r="E83" i="11"/>
  <c r="F67" i="10"/>
  <c r="E106" i="11"/>
  <c r="F85" i="10"/>
  <c r="E123" i="11"/>
  <c r="F98" i="10"/>
  <c r="E118" i="11"/>
  <c r="F94" i="10"/>
  <c r="E65" i="11"/>
  <c r="F52" i="10"/>
  <c r="E105" i="11"/>
  <c r="F84" i="10"/>
  <c r="E124" i="11"/>
  <c r="F99" i="10"/>
  <c r="E78" i="11"/>
  <c r="F63" i="10"/>
  <c r="E31" i="11"/>
  <c r="F24" i="10"/>
  <c r="E134" i="11"/>
  <c r="F107" i="10"/>
  <c r="E38" i="11"/>
  <c r="F30" i="10"/>
  <c r="E64" i="11"/>
  <c r="F51" i="10"/>
  <c r="E6" i="11"/>
  <c r="F6" i="10"/>
  <c r="C35" i="10"/>
  <c r="C30" i="10"/>
  <c r="C102" i="10"/>
  <c r="C50" i="10"/>
  <c r="C56" i="10"/>
  <c r="C41" i="10"/>
  <c r="C44" i="10"/>
  <c r="C34" i="10"/>
  <c r="C36" i="10"/>
  <c r="C33" i="10"/>
  <c r="C47" i="10"/>
  <c r="C52" i="10"/>
  <c r="C86" i="10"/>
  <c r="Q215" i="3"/>
  <c r="I97" i="3"/>
  <c r="Q259" i="3"/>
  <c r="Q230" i="3"/>
  <c r="Q155" i="3"/>
  <c r="Q185" i="3"/>
  <c r="Q120" i="3"/>
  <c r="Q114" i="3"/>
  <c r="Q42" i="3"/>
  <c r="Q4" i="3"/>
  <c r="I612" i="3"/>
  <c r="I618" i="3"/>
  <c r="I102" i="3"/>
  <c r="I230" i="3"/>
  <c r="I149" i="3"/>
  <c r="I136" i="3"/>
  <c r="I601" i="3"/>
  <c r="I273" i="3"/>
  <c r="I259" i="3"/>
  <c r="I544" i="3"/>
  <c r="Q174" i="3"/>
  <c r="Q614" i="3"/>
  <c r="O612" i="3"/>
  <c r="Q91" i="3"/>
  <c r="Q604" i="3"/>
  <c r="M601" i="3"/>
  <c r="Q601" i="3" s="1"/>
  <c r="Q273" i="3"/>
  <c r="F39" i="10" l="1"/>
  <c r="E34" i="11"/>
  <c r="E13" i="11"/>
  <c r="F13" i="10"/>
  <c r="E32" i="11"/>
  <c r="F25" i="10"/>
  <c r="E5" i="11"/>
  <c r="F5" i="10"/>
  <c r="E40" i="11"/>
  <c r="F32" i="10"/>
  <c r="E68" i="11"/>
  <c r="F55" i="10"/>
  <c r="E165" i="11"/>
  <c r="F128" i="10"/>
  <c r="E54" i="11"/>
  <c r="F41" i="10"/>
  <c r="E70" i="11"/>
  <c r="F57" i="10"/>
  <c r="E60" i="11"/>
  <c r="F47" i="10"/>
  <c r="E45" i="11"/>
  <c r="F37" i="10"/>
  <c r="E44" i="11"/>
  <c r="F36" i="10"/>
  <c r="E39" i="11"/>
  <c r="F31" i="10"/>
  <c r="E63" i="11"/>
  <c r="F50" i="10"/>
  <c r="Q612" i="3"/>
  <c r="E167" i="11" l="1"/>
  <c r="E198" i="11" s="1"/>
  <c r="F130" i="10"/>
  <c r="O1150" i="3"/>
  <c r="O1" i="3" s="1"/>
  <c r="M1150" i="3"/>
  <c r="M1" i="3" s="1"/>
  <c r="P1150" i="3"/>
  <c r="P1" i="3" s="1"/>
  <c r="N1150" i="3"/>
  <c r="N1" i="3" s="1"/>
  <c r="J1150" i="3"/>
  <c r="J1218" i="3" s="1"/>
  <c r="Q1150" i="3"/>
  <c r="E280" i="11" l="1"/>
  <c r="F235" i="10"/>
  <c r="J1" i="3"/>
  <c r="Q1" i="3"/>
  <c r="E291" i="11" l="1"/>
</calcChain>
</file>

<file path=xl/comments1.xml><?xml version="1.0" encoding="utf-8"?>
<comments xmlns="http://schemas.openxmlformats.org/spreadsheetml/2006/main">
  <authors>
    <author>Brett Thiele</author>
  </authors>
  <commentList>
    <comment ref="C71" authorId="0">
      <text>
        <r>
          <rPr>
            <b/>
            <sz val="9"/>
            <color indexed="81"/>
            <rFont val="Tahoma"/>
            <family val="2"/>
          </rPr>
          <t>Brett Thiele:</t>
        </r>
        <r>
          <rPr>
            <sz val="9"/>
            <color indexed="81"/>
            <rFont val="Tahoma"/>
            <family val="2"/>
          </rPr>
          <t xml:space="preserve">
This allows the durations of each task to be turned into days, Durations in hours are rounded up to the nearest full day based on this number.</t>
        </r>
      </text>
    </comment>
  </commentList>
</comments>
</file>

<file path=xl/comments2.xml><?xml version="1.0" encoding="utf-8"?>
<comments xmlns="http://schemas.openxmlformats.org/spreadsheetml/2006/main">
  <authors>
    <author>tc={3F1052F8-03B7-4EB7-A127-5F2C173BED34}</author>
    <author>tc={D324CC9F-C578-4D8F-A6A5-95EE69CD9FF7}</author>
    <author>tc={CE97E748-2484-4914-89EF-E56793F3A31F}</author>
    <author>Brett Thiele</author>
  </authors>
  <commentList>
    <comment ref="A2"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WBS</t>
        </r>
      </text>
    </comment>
    <comment ref="B2"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Description or Task</t>
        </r>
      </text>
    </comment>
    <comment ref="C2" authorI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Duration of Task, calculated from the estimate based on quantity and productivity.</t>
        </r>
      </text>
    </comment>
    <comment ref="F2" authorId="3">
      <text>
        <r>
          <rPr>
            <b/>
            <sz val="9"/>
            <color indexed="81"/>
            <rFont val="Tahoma"/>
            <family val="2"/>
          </rPr>
          <t>Brett Thiele:</t>
        </r>
        <r>
          <rPr>
            <sz val="9"/>
            <color indexed="81"/>
            <rFont val="Tahoma"/>
            <family val="2"/>
          </rPr>
          <t xml:space="preserve">
This is the budegt which is calculated from the estimate.</t>
        </r>
      </text>
    </comment>
    <comment ref="G2" authorId="3">
      <text>
        <r>
          <rPr>
            <b/>
            <sz val="9"/>
            <color indexed="81"/>
            <rFont val="Tahoma"/>
            <family val="2"/>
          </rPr>
          <t>Brett Thiele:</t>
        </r>
        <r>
          <rPr>
            <sz val="9"/>
            <color indexed="81"/>
            <rFont val="Tahoma"/>
            <family val="2"/>
          </rPr>
          <t xml:space="preserve">
%C based on Prgress Claims - Columns G - N</t>
        </r>
      </text>
    </comment>
    <comment ref="H2" authorId="3">
      <text>
        <r>
          <rPr>
            <b/>
            <sz val="9"/>
            <color indexed="81"/>
            <rFont val="Tahoma"/>
            <family val="2"/>
          </rPr>
          <t>Brett Thiele:</t>
        </r>
        <r>
          <rPr>
            <sz val="9"/>
            <color indexed="81"/>
            <rFont val="Tahoma"/>
            <family val="2"/>
          </rPr>
          <t xml:space="preserve">
Brett Thiele:
%C based on Prgress Claims - Columns G - N</t>
        </r>
      </text>
    </comment>
    <comment ref="I2" authorId="3">
      <text>
        <r>
          <rPr>
            <b/>
            <sz val="9"/>
            <color indexed="81"/>
            <rFont val="Tahoma"/>
            <family val="2"/>
          </rPr>
          <t>Brett Thiele:</t>
        </r>
        <r>
          <rPr>
            <sz val="9"/>
            <color indexed="81"/>
            <rFont val="Tahoma"/>
            <family val="2"/>
          </rPr>
          <t xml:space="preserve">
Brett Thiele:
%C based on Prgress Claims - Columns G - N</t>
        </r>
      </text>
    </comment>
    <comment ref="J2" authorId="3">
      <text>
        <r>
          <rPr>
            <b/>
            <sz val="9"/>
            <color indexed="81"/>
            <rFont val="Tahoma"/>
            <family val="2"/>
          </rPr>
          <t>Brett Thiele:</t>
        </r>
        <r>
          <rPr>
            <sz val="9"/>
            <color indexed="81"/>
            <rFont val="Tahoma"/>
            <family val="2"/>
          </rPr>
          <t xml:space="preserve">
Brett Thiele:
%C based on Prgress Claims - Columns G - N</t>
        </r>
      </text>
    </comment>
    <comment ref="K2" authorId="3">
      <text>
        <r>
          <rPr>
            <b/>
            <sz val="9"/>
            <color indexed="81"/>
            <rFont val="Tahoma"/>
            <family val="2"/>
          </rPr>
          <t>Brett Thiele:</t>
        </r>
        <r>
          <rPr>
            <sz val="9"/>
            <color indexed="81"/>
            <rFont val="Tahoma"/>
            <family val="2"/>
          </rPr>
          <t xml:space="preserve">
Brett Thiele:
%C based on Prgress Claims - Columns G - N</t>
        </r>
      </text>
    </comment>
    <comment ref="L2" authorId="3">
      <text>
        <r>
          <rPr>
            <b/>
            <sz val="9"/>
            <color indexed="81"/>
            <rFont val="Tahoma"/>
            <family val="2"/>
          </rPr>
          <t>Brett Thiele:</t>
        </r>
        <r>
          <rPr>
            <sz val="9"/>
            <color indexed="81"/>
            <rFont val="Tahoma"/>
            <family val="2"/>
          </rPr>
          <t xml:space="preserve">
Brett Thiele:
%C based on Prgress Claims - Columns G - N</t>
        </r>
      </text>
    </comment>
    <comment ref="M2" authorId="3">
      <text>
        <r>
          <rPr>
            <b/>
            <sz val="9"/>
            <color indexed="81"/>
            <rFont val="Tahoma"/>
            <family val="2"/>
          </rPr>
          <t>Brett Thiele:</t>
        </r>
        <r>
          <rPr>
            <sz val="9"/>
            <color indexed="81"/>
            <rFont val="Tahoma"/>
            <family val="2"/>
          </rPr>
          <t xml:space="preserve">
Brett Thiele:
%C based on Prgress Claims - Columns G - N</t>
        </r>
      </text>
    </comment>
    <comment ref="N2" authorId="3">
      <text>
        <r>
          <rPr>
            <b/>
            <sz val="9"/>
            <color indexed="81"/>
            <rFont val="Tahoma"/>
            <family val="2"/>
          </rPr>
          <t>Brett Thiele:</t>
        </r>
        <r>
          <rPr>
            <sz val="9"/>
            <color indexed="81"/>
            <rFont val="Tahoma"/>
            <family val="2"/>
          </rPr>
          <t xml:space="preserve">
Brett Thiele:
%C based on Prgress Claims - Columns G - N</t>
        </r>
      </text>
    </comment>
  </commentList>
</comments>
</file>

<file path=xl/sharedStrings.xml><?xml version="1.0" encoding="utf-8"?>
<sst xmlns="http://schemas.openxmlformats.org/spreadsheetml/2006/main" count="14336" uniqueCount="1869">
  <si>
    <t>Line No.</t>
  </si>
  <si>
    <t>Resource Name</t>
  </si>
  <si>
    <t>Unit</t>
  </si>
  <si>
    <t>No</t>
  </si>
  <si>
    <t>Production</t>
  </si>
  <si>
    <t>Quantity</t>
  </si>
  <si>
    <t>Rate</t>
  </si>
  <si>
    <t>Labour</t>
  </si>
  <si>
    <t>Material</t>
  </si>
  <si>
    <t>Plant</t>
  </si>
  <si>
    <t>Subcontract</t>
  </si>
  <si>
    <t>Total</t>
  </si>
  <si>
    <t>Line No 21
Item No 1.1</t>
  </si>
  <si>
    <t>Site establishment &amp; disestablishment including but not limited to, mandatory permits and fees</t>
  </si>
  <si>
    <t xml:space="preserve">Item </t>
  </si>
  <si>
    <t>CAR</t>
  </si>
  <si>
    <t>Float</t>
  </si>
  <si>
    <t xml:space="preserve">LS   </t>
  </si>
  <si>
    <t xml:space="preserve">hr   </t>
  </si>
  <si>
    <t>Project Supervisor</t>
  </si>
  <si>
    <t xml:space="preserve">week </t>
  </si>
  <si>
    <t>Project Engineer</t>
  </si>
  <si>
    <t>Line No 22
Item No 1.2</t>
  </si>
  <si>
    <t>Establishment and maintenance of Provision for Traffic in accordance with AS 1742 Manual of uniform traffic control devices and as directed by the Superintendent</t>
  </si>
  <si>
    <t>Water Barriers</t>
  </si>
  <si>
    <t xml:space="preserve">m    </t>
  </si>
  <si>
    <t>Traffic Control Crew</t>
  </si>
  <si>
    <t>Line No 23
Item No 1.3</t>
  </si>
  <si>
    <t>Construction Survey Set out</t>
  </si>
  <si>
    <t>Surveyor</t>
  </si>
  <si>
    <t>Line No 24
Item No 1.4</t>
  </si>
  <si>
    <t>As constructed drawings and data, including surveying &amp; drafting in accordance with Council Standards</t>
  </si>
  <si>
    <t>Line No 25
Item No 1.5</t>
  </si>
  <si>
    <t>Preparation &amp; implementation of project quality &amp; OHS&amp;R plans</t>
  </si>
  <si>
    <t>Line No 26
Item No 1.6</t>
  </si>
  <si>
    <t>Geotechnical Testing</t>
  </si>
  <si>
    <t>Geotech Level One</t>
  </si>
  <si>
    <t>Line No 27
Item No 1.7</t>
  </si>
  <si>
    <t>Portable Long Service Levy</t>
  </si>
  <si>
    <t>Line No 28
Item No 1.8</t>
  </si>
  <si>
    <t>Enviromental Management (including ASS management)</t>
  </si>
  <si>
    <t>Line No 29
Item No 1.9</t>
  </si>
  <si>
    <t>Provision for Water</t>
  </si>
  <si>
    <t xml:space="preserve">kL   </t>
  </si>
  <si>
    <t>Line No 33
Item No 2.1</t>
  </si>
  <si>
    <t>Establishment and maintenance of interim site drainage as required, sediment and erosion control devices as nominated on drawings and as directed by the Superintendent complete in place</t>
  </si>
  <si>
    <t>Silt Fence</t>
  </si>
  <si>
    <t>Pickets</t>
  </si>
  <si>
    <t xml:space="preserve">each </t>
  </si>
  <si>
    <t>Bobcat</t>
  </si>
  <si>
    <t xml:space="preserve">Line No 38
Item No </t>
  </si>
  <si>
    <t>Tree protection including installation, maintenance and removal at the completion of works (Provisional Quantity)</t>
  </si>
  <si>
    <t>Line No 41
Item No 3.2.1</t>
  </si>
  <si>
    <t>Clearing, grubbing vegetation and disposal off site of cleared vegetation, including but not limited to loading, transportation and dumping fees as nominated on the project drawings</t>
  </si>
  <si>
    <t xml:space="preserve">m2   </t>
  </si>
  <si>
    <t>Excavator - 25T</t>
  </si>
  <si>
    <t>Mulcher</t>
  </si>
  <si>
    <t>Line No 43
Item No 3.2.2.1</t>
  </si>
  <si>
    <t>Existing Bitumen Seal</t>
  </si>
  <si>
    <t>CAT297</t>
  </si>
  <si>
    <t>Water Cart - Hire</t>
  </si>
  <si>
    <t>Line No 44
Item No 3.2.2.2</t>
  </si>
  <si>
    <t>Existing Concrete Kerb / Kerb &amp; Channel</t>
  </si>
  <si>
    <t>Tip Fees</t>
  </si>
  <si>
    <t>tonne</t>
  </si>
  <si>
    <t>Excavator - 30T</t>
  </si>
  <si>
    <t>Tipper</t>
  </si>
  <si>
    <t>Line No 45
Item No 3.2.3</t>
  </si>
  <si>
    <t>Remove existing structures, slabs, tanks etc.</t>
  </si>
  <si>
    <t>Line No 46
Item No 3.2.4</t>
  </si>
  <si>
    <t>Backfill and compact existing well to WRC requirements</t>
  </si>
  <si>
    <t>Stabilised Sand</t>
  </si>
  <si>
    <t xml:space="preserve">m³   </t>
  </si>
  <si>
    <t>Sand</t>
  </si>
  <si>
    <t>Line No 47
Item No 3.2.5</t>
  </si>
  <si>
    <t>Relocate existing hazard marker and street sign</t>
  </si>
  <si>
    <t>Signs - General</t>
  </si>
  <si>
    <t>Line No 48
Item No 3.2.6</t>
  </si>
  <si>
    <t>Remove and stack existing unused signage as directed</t>
  </si>
  <si>
    <t xml:space="preserve">item </t>
  </si>
  <si>
    <t>Line No 49
Item No 3.2.7</t>
  </si>
  <si>
    <t>Reinstate existing island and landscaping upon completion of stormwater drainage</t>
  </si>
  <si>
    <t>Grass Seeding</t>
  </si>
  <si>
    <t xml:space="preserve">m²   </t>
  </si>
  <si>
    <t>Line No 50
Item No 3.2.8</t>
  </si>
  <si>
    <t>Remove abandoned Storm Water Lines and headwalls and dispose off site</t>
  </si>
  <si>
    <t>Line No 53
Item No 3.3.1</t>
  </si>
  <si>
    <t>Strip and stockpile topsoil from areas of excavation and filling in accordance with the specification (measured as a solid volume, calculated based on an average 100mm natural topsoil depth)</t>
  </si>
  <si>
    <t xml:space="preserve">m3   </t>
  </si>
  <si>
    <t>Line No 54
Item No 3.3.2</t>
  </si>
  <si>
    <t>Respread topsoil in accordance with the specification (measured as a solid volume, calculated based on an average 100mm natural topsoil depth)</t>
  </si>
  <si>
    <t>Backhoe</t>
  </si>
  <si>
    <t>Line No 55
Item No 3.3.3</t>
  </si>
  <si>
    <t>Remove from site unused grip material as directed (Provisional)</t>
  </si>
  <si>
    <t>Line No 56
Item No 3.3.4</t>
  </si>
  <si>
    <t>Cut to fill including but not limited to, moisture control and compaction as specified (in-place compacted volume of filling)</t>
  </si>
  <si>
    <t>Grader</t>
  </si>
  <si>
    <t>PF Roller</t>
  </si>
  <si>
    <t xml:space="preserve">day  </t>
  </si>
  <si>
    <t>Line No 57
Item No 3.3.5</t>
  </si>
  <si>
    <t>Imported Fill material including but not limited to, moisture control and compaction as specified (in-place compacted volume of filling)</t>
  </si>
  <si>
    <t>D6</t>
  </si>
  <si>
    <t>Truck &amp; Dog</t>
  </si>
  <si>
    <t>Line No 58
Item No 3.3.6</t>
  </si>
  <si>
    <t>Cut to spoil including but not limited to loading, transportation and tip fees (Provisional)</t>
  </si>
  <si>
    <t>Line No 59
Item No 3.3.7</t>
  </si>
  <si>
    <t>Line No 60
Item No 3.3.8</t>
  </si>
  <si>
    <t>Grass seeding to disturbed areas as directed by the Superintendent.</t>
  </si>
  <si>
    <t>Line No 64
Item No 4.1</t>
  </si>
  <si>
    <t>Sub grade preparation as specified including, but not limited to scarifying, moisture control, blending, spreading, compaction and trimming</t>
  </si>
  <si>
    <t>SD Roller</t>
  </si>
  <si>
    <t>Line No 69
Item No 4.2.1.1</t>
  </si>
  <si>
    <t>Base Course - 125mm Type 2.1</t>
  </si>
  <si>
    <t>Line No 70
Item No 4.2.1.2</t>
  </si>
  <si>
    <t>Sub-base Course - 100mm Type 2.3</t>
  </si>
  <si>
    <t>CBR45</t>
  </si>
  <si>
    <t>Line No 72
Item No 4.2.3.1</t>
  </si>
  <si>
    <t>Line No 73
Item No 4.2.3.2</t>
  </si>
  <si>
    <t>Line No 75
Item No 4.2.4.1</t>
  </si>
  <si>
    <t>Line No 76
Item No 4.2.4.2</t>
  </si>
  <si>
    <t>Sub-Base Course - 100mm Type 2.3</t>
  </si>
  <si>
    <t>Line No 78
Item No 4.2.5.1</t>
  </si>
  <si>
    <t>Base Course - 150mm Type 2.1</t>
  </si>
  <si>
    <t>Line No 79
Item No 4.2.5.2</t>
  </si>
  <si>
    <t>Upper Sub-Base Course - 150mm Type 2.3</t>
  </si>
  <si>
    <t>Line No 80
Item No 4.2.5.3</t>
  </si>
  <si>
    <t>Lower Sub-Base Course - 150mm Type 2.3</t>
  </si>
  <si>
    <t>Line No 82
Item No 4.2.6.1</t>
  </si>
  <si>
    <t>Line No 83
Item No 4.2.6.2</t>
  </si>
  <si>
    <t>Upper Sub Base Course - 150mm Type 2.3</t>
  </si>
  <si>
    <t>Line No 84
Item No 4.2.6.3</t>
  </si>
  <si>
    <t>Lower Base Course - 150mm Type 2.3</t>
  </si>
  <si>
    <t>Line No 85
Item No 4.3</t>
  </si>
  <si>
    <t>Final Trim to Pavement</t>
  </si>
  <si>
    <t>Line No 90
Item No 4.4.1.1</t>
  </si>
  <si>
    <t>Barrier Kerb &amp; Channel Type B1 600mm wide</t>
  </si>
  <si>
    <t>S32 - Kerb Mix</t>
  </si>
  <si>
    <t>Kerb Subbie</t>
  </si>
  <si>
    <t>Line No 91
Item No 4.4.1.2</t>
  </si>
  <si>
    <t>Barrier Kerb Type B2</t>
  </si>
  <si>
    <t>Line No 92
Item No 4.4.1.3</t>
  </si>
  <si>
    <t>Semi Mountable Kerb Type SM4</t>
  </si>
  <si>
    <t>Line No 93
Item No 4.4.2</t>
  </si>
  <si>
    <t>Kerb Ramp</t>
  </si>
  <si>
    <t xml:space="preserve">No.  </t>
  </si>
  <si>
    <t>N25</t>
  </si>
  <si>
    <t>Line No 94
Item No 4.4.3</t>
  </si>
  <si>
    <t>Raised Threshold Pedestrian Crossing</t>
  </si>
  <si>
    <t>N32</t>
  </si>
  <si>
    <t>SL72</t>
  </si>
  <si>
    <t>Dowels</t>
  </si>
  <si>
    <t>Concrete Subbie</t>
  </si>
  <si>
    <t>Line No 97
Item No 4.4.4.1</t>
  </si>
  <si>
    <t>Concrete Footpaths 2.45m wide</t>
  </si>
  <si>
    <t>Line No 98
Item No 4.4.4.2</t>
  </si>
  <si>
    <t>Concrete Footpaths 2.5m wide</t>
  </si>
  <si>
    <t>Line No 99
Item No 4.4.4.3</t>
  </si>
  <si>
    <t>Concrete Footpaths 3m wide</t>
  </si>
  <si>
    <t>Line No 100
Item No 4.4.4.4</t>
  </si>
  <si>
    <t>Concrete Infill to Median Islands to carparks and round about island, complete in place</t>
  </si>
  <si>
    <t>Line No 101
Item No 4.4.4.5</t>
  </si>
  <si>
    <t>Wheelstops, complete in place (in accordance with AS2890.1)</t>
  </si>
  <si>
    <t>Wheelstops</t>
  </si>
  <si>
    <t>Line No 105
Item No 4.5.1.1</t>
  </si>
  <si>
    <t>First Seal: 7mm CRS60</t>
  </si>
  <si>
    <t>Line No 106
Item No 4.5.1.2</t>
  </si>
  <si>
    <t>Second Seal: 40mm AC Surfacing, (DG10) complete in place, including but not limited to supply, compaction and prime coat)</t>
  </si>
  <si>
    <t>Line No 108
Item No 4.6.2.1</t>
  </si>
  <si>
    <t>First Seal: 7mm CRS60 Primerseal</t>
  </si>
  <si>
    <t>Line No 109
Item No 4.6.2.2</t>
  </si>
  <si>
    <t>Line No 112
Item No 4.7.1</t>
  </si>
  <si>
    <t>Signage and pavement marking, complete in place.  All work to be in accordance with the requirements of AS 1742 Manual of Uniform Traffic Control Devices (Provisional Sum)</t>
  </si>
  <si>
    <t>Line Marking</t>
  </si>
  <si>
    <t>Line No 113
Item No 4.7.2</t>
  </si>
  <si>
    <t>Signage complete in place including supply and installation. All work to be in accordance with the requirements of AS 1742 Manual of Uniform Traffic Control Devices(Provisional Sum)</t>
  </si>
  <si>
    <t>Signs Complete</t>
  </si>
  <si>
    <t>Line No 119
Item No 5.1.1</t>
  </si>
  <si>
    <t>375mm dia Class 2 RRJ</t>
  </si>
  <si>
    <t>375 RCP</t>
  </si>
  <si>
    <t>Trench Roller</t>
  </si>
  <si>
    <t>Line No 120
Item No 5.1.2</t>
  </si>
  <si>
    <t>375mm dia Class 3 RRJ</t>
  </si>
  <si>
    <t>Line No 121
Item No 5.1.3</t>
  </si>
  <si>
    <t>450mm dia Class 2 RRJ</t>
  </si>
  <si>
    <t>450 RCP FJ CL2</t>
  </si>
  <si>
    <t>Line No 122
Item No 5.1.4</t>
  </si>
  <si>
    <t>450mm dia Class 3 RRJ</t>
  </si>
  <si>
    <t>Line No 127
Item No 5.2.1.1</t>
  </si>
  <si>
    <t>1050mm dia Access Chamber</t>
  </si>
  <si>
    <t>1050 Surround &amp; Lid</t>
  </si>
  <si>
    <t>Line No 128
Item No 5.2.1.2</t>
  </si>
  <si>
    <t>900x900 mm Access Chamber</t>
  </si>
  <si>
    <t>Y12</t>
  </si>
  <si>
    <t>Form Ply</t>
  </si>
  <si>
    <t>Line No 129
Item No 5.2.1.3</t>
  </si>
  <si>
    <t>4/10 - 900x900 Manhole</t>
  </si>
  <si>
    <t xml:space="preserve">Line No 133
Item No </t>
  </si>
  <si>
    <t>2.4m Lintel</t>
  </si>
  <si>
    <t>2.4 Lintel Complete</t>
  </si>
  <si>
    <t xml:space="preserve">Line No 135
Item No </t>
  </si>
  <si>
    <t>Line No 138
Item No 5.2.3.1</t>
  </si>
  <si>
    <t>Humes Precast Headwall or equivalent for 375mm pipe</t>
  </si>
  <si>
    <t>HW - 375</t>
  </si>
  <si>
    <t>Line No 139
Item No 5.2.3.2</t>
  </si>
  <si>
    <t>Humes Precast Headwall or equivalent for 450mm pipe</t>
  </si>
  <si>
    <t>HW - 450</t>
  </si>
  <si>
    <t>Line No 140
Item No 5.2.4</t>
  </si>
  <si>
    <t>Rock Protection at Outlet Drains (300 Deep)</t>
  </si>
  <si>
    <t>Gabion Rock</t>
  </si>
  <si>
    <t>Line No 144
Item No 6.1</t>
  </si>
  <si>
    <t>Trenching for electrical, lighting and communications service Conduits, complete in place, including trenching, backfilling, reinstatment of surface and maintence of trench while open. (trench configuration not specified)</t>
  </si>
  <si>
    <t>Line No 145
Item No 6.2</t>
  </si>
  <si>
    <t>100 LD uPVC Electrical</t>
  </si>
  <si>
    <t>Draw Rope - Conduits</t>
  </si>
  <si>
    <t>Warning Tape</t>
  </si>
  <si>
    <t>Line No 146
Item No 6.3</t>
  </si>
  <si>
    <t>40 HD uPVC Electrical</t>
  </si>
  <si>
    <t>Line No 147
Item No 6.4</t>
  </si>
  <si>
    <t>100 Communication Conduit</t>
  </si>
  <si>
    <t>Line No 148
Item No 6.5</t>
  </si>
  <si>
    <t>Installation of electrical pit, complete in place, including trenching, bedding, supplying, laying, marker tape/hard cover and backfill. (trench configuration not specified)</t>
  </si>
  <si>
    <t>Electrical Pit - Type 66</t>
  </si>
  <si>
    <t>Line No 149
Item No 6.6</t>
  </si>
  <si>
    <t>Installation of communications pit, complete in place, including trenching, bedding, supplying, laying, marker tape/hard cover and backfill. (trench configuration not specified)</t>
  </si>
  <si>
    <t>Comms Pit - J8</t>
  </si>
  <si>
    <t>Line No 150
Item No 6.7</t>
  </si>
  <si>
    <t>Supply and installation of distribution board complete in place including all ground works, plinth and circuit breakers</t>
  </si>
  <si>
    <t>Electrician</t>
  </si>
  <si>
    <t>Line No 151
Item No 6.8</t>
  </si>
  <si>
    <t>Supply and installation of electrical and communication conduits to gate controllers from nearest pits including all trenching and coordination with gate installer</t>
  </si>
  <si>
    <t>100 Comms Bend Cl9 584R</t>
  </si>
  <si>
    <t>40 HD 90 Degree Bend 304R</t>
  </si>
  <si>
    <t>Line No 152
Item No 6.9</t>
  </si>
  <si>
    <t>Supply and installation of electrical and communication conduits to ticket machines from nearest pits including all trenching and coordination with ticket machine installer</t>
  </si>
  <si>
    <t>Line No 153
Item No 6.10</t>
  </si>
  <si>
    <t>Supply and installation of new car park lights and poles to match existing including footing installation, pole and all cabling from distribution board</t>
  </si>
  <si>
    <t>Rag Bolt</t>
  </si>
  <si>
    <t>Light Pole - 10.5m</t>
  </si>
  <si>
    <t>Line No 154
Item No 6.11</t>
  </si>
  <si>
    <t>Supply and installation of services pillar at car wash bays P1, P2,P3 incl socket outlets (IP56), Safety Switch and Hose Cock and all cabling back to distribution board including all cabling back to distribution board</t>
  </si>
  <si>
    <t>Line No 162
Item No 7.1.3</t>
  </si>
  <si>
    <t>Existing above ground services to be raised to compliment proposed earthworks level (50mm)</t>
  </si>
  <si>
    <t>Plumber</t>
  </si>
  <si>
    <t>Line No 166
Item No 7.2.1.1</t>
  </si>
  <si>
    <t>Trafficked roadways and busbays within the extents of stage 1 boundary</t>
  </si>
  <si>
    <t>Line No 167
Item No 7.2.1.2</t>
  </si>
  <si>
    <t>Extension of Trafficked roadways beyond stage 1 boundary. (prevent vehicles leaving roadway and parking outside formal carpark)</t>
  </si>
  <si>
    <t>Line No 168
Item No 7.2.1.3</t>
  </si>
  <si>
    <t>Public Carpark</t>
  </si>
  <si>
    <t>Line No 169
Item No 7.2.3.1</t>
  </si>
  <si>
    <t>Pedestrian Safety Fence</t>
  </si>
  <si>
    <t>Line No 170
Item No 7.2.3.2</t>
  </si>
  <si>
    <t>Supply &amp; Installation of Fixed Bollards</t>
  </si>
  <si>
    <t>Line No 173
Item No 7.3.1</t>
  </si>
  <si>
    <t>Temporary Fencing &amp; Signage</t>
  </si>
  <si>
    <t>Temporary Fencing</t>
  </si>
  <si>
    <t>Line No 179
Item No 1.1</t>
  </si>
  <si>
    <t>Clearing &amp; Grubbing</t>
  </si>
  <si>
    <t>Line No 180
Item No 1.2</t>
  </si>
  <si>
    <t>Strip &amp; Stockpile Topsoil</t>
  </si>
  <si>
    <t>Line No 181
Item No 1.3</t>
  </si>
  <si>
    <t>Placement of Topsoil</t>
  </si>
  <si>
    <t>Line No 182
Item No 1.4</t>
  </si>
  <si>
    <t>Disposal of excess topsoil as directed</t>
  </si>
  <si>
    <t>Line No 183
Item No 1.5</t>
  </si>
  <si>
    <t>Gravel access and hardstand from airport pit min CBR10 300 thick(Provisional)</t>
  </si>
  <si>
    <t>Line No 188
Item No 2.1.3</t>
  </si>
  <si>
    <t>Connection of existing DN100 AC gravity sewers to new ssanitary drain</t>
  </si>
  <si>
    <t>Sewer Subbie</t>
  </si>
  <si>
    <t>Line No 189
Item No 2.1.4</t>
  </si>
  <si>
    <t>Decommision existing Septic Tanks and associated pipework (excluding demolition of tanks - refer schedule A)</t>
  </si>
  <si>
    <t>Line No 191
Item No 2.2.1</t>
  </si>
  <si>
    <t>Supply &amp; delivery of Proprietry PE Pump Station (incl pumps, pipework, electrical controls etc)</t>
  </si>
  <si>
    <t>Line No 192
Item No 2.2.2</t>
  </si>
  <si>
    <t>Installation of Sewerage Pump Station (including concrete ballast)</t>
  </si>
  <si>
    <t>Line No 193
Item No 2.2.3</t>
  </si>
  <si>
    <t>Connection of gravity sewer pipe</t>
  </si>
  <si>
    <t>Line No 194
Item No 2.2.4</t>
  </si>
  <si>
    <t>Supply and construction of DN50 vent</t>
  </si>
  <si>
    <t>Line No 195
Item No 2.2.5</t>
  </si>
  <si>
    <t>Electrical connections from mains supply</t>
  </si>
  <si>
    <t>Line No 196
Item No 2.2.6</t>
  </si>
  <si>
    <t>Commisioning Pump Station and electrical controls</t>
  </si>
  <si>
    <t>Line No 198
Item No 2.3.1</t>
  </si>
  <si>
    <t>Supply and construction of DN32 PE rising main (40OD PE100 PN16) incl 3 No. tees, ball vavles, pits for future STP connection</t>
  </si>
  <si>
    <t>Valve Box &amp; Surround</t>
  </si>
  <si>
    <t>150 x 150 Tee</t>
  </si>
  <si>
    <t>150 SV So-So</t>
  </si>
  <si>
    <t>Line No 199
Item No 2.3.2</t>
  </si>
  <si>
    <t>Connection to new wet weather storage tanks</t>
  </si>
  <si>
    <t>Line No 201
Item No 2.4.1</t>
  </si>
  <si>
    <t>Supply and construction of DN32 PE water supply main (40OD PE100 PN16) to  carpark hosecocks.</t>
  </si>
  <si>
    <t>Line No 202
Item No 2.4.2</t>
  </si>
  <si>
    <t>Supply and installation of DN32 RPZD in enclosure complete</t>
  </si>
  <si>
    <t>150 Vari-Gib</t>
  </si>
  <si>
    <t>Line No 203
Item No 2.4.3</t>
  </si>
  <si>
    <t>Supply, installation &amp; connection of hosecocks to carwash Service Pillars complete (excluding pillars, refer Schedule A, 6.11)</t>
  </si>
  <si>
    <t>Hose Cock</t>
  </si>
  <si>
    <t>Line No 204
Item No 2.4.4</t>
  </si>
  <si>
    <t>Supply and construct DN25 water supply main (32OD PE100 PN16) to STP</t>
  </si>
  <si>
    <t>Line No 206
Item No 2.5.1</t>
  </si>
  <si>
    <t>Gate to STP Access</t>
  </si>
  <si>
    <t>Log Fence</t>
  </si>
  <si>
    <t xml:space="preserve">Line No OH  1
Item No </t>
  </si>
  <si>
    <t>Project Supervision</t>
  </si>
  <si>
    <t xml:space="preserve">Line No OH  2
Item No </t>
  </si>
  <si>
    <t xml:space="preserve">Line No OH  3
Item No </t>
  </si>
  <si>
    <t>Resource Balance</t>
  </si>
  <si>
    <t xml:space="preserve">Line No OH  4
Item No </t>
  </si>
  <si>
    <t>Dual Grade Laser</t>
  </si>
  <si>
    <t xml:space="preserve">Line No OH  5
Item No </t>
  </si>
  <si>
    <t>Site Facilities</t>
  </si>
  <si>
    <t>Crib Facilities</t>
  </si>
  <si>
    <t xml:space="preserve">Line No OH  6
Item No </t>
  </si>
  <si>
    <t>Wet Weather</t>
  </si>
  <si>
    <t>Description</t>
  </si>
  <si>
    <t>Base Rate</t>
  </si>
  <si>
    <t>Concretor</t>
  </si>
  <si>
    <t>L</t>
  </si>
  <si>
    <t>AUD</t>
  </si>
  <si>
    <t>Plant Operator</t>
  </si>
  <si>
    <t>Pipe Layer</t>
  </si>
  <si>
    <t>Project Engineer - Weekly Rate</t>
  </si>
  <si>
    <t>Weekly Rate - Project Manager</t>
  </si>
  <si>
    <t>Survey Team</t>
  </si>
  <si>
    <t>Traffic Controller with Vehicle</t>
  </si>
  <si>
    <t>Work Place Health &amp; Safety Officer</t>
  </si>
  <si>
    <t>M</t>
  </si>
  <si>
    <t>100 diameter Comms Bend</t>
  </si>
  <si>
    <t>6m 100 dia communications conduit</t>
  </si>
  <si>
    <t>1050 pre-cast man hole rings (sewer / storm water)</t>
  </si>
  <si>
    <t>1050 Reducer Slab for 1050 Manhole</t>
  </si>
  <si>
    <t>1050 Concrete Surround with CI Class D Lid</t>
  </si>
  <si>
    <t>2.4m Pre-cats Lintel with IPWEAQ grate.</t>
  </si>
  <si>
    <t xml:space="preserve">ton  </t>
  </si>
  <si>
    <t>A24 - Bidum</t>
  </si>
  <si>
    <t>A64 Bidum</t>
  </si>
  <si>
    <t>Bro Pit 1 Chamber, 1 Trough</t>
  </si>
  <si>
    <t>Bro Pit - 1 Chamber, 2 Trough</t>
  </si>
  <si>
    <t>CBR15 Road Base</t>
  </si>
  <si>
    <t>CBR45 Road Base</t>
  </si>
  <si>
    <t>CBR80 Road Base - Delivered</t>
  </si>
  <si>
    <t>Cast Iron Lid (Class D) &amp; Surround for Man Holes</t>
  </si>
  <si>
    <t>Bulk GP / GB Cement</t>
  </si>
  <si>
    <t>Cement Powder - 2 Tonne Bag</t>
  </si>
  <si>
    <t>Communications Pit with steel lid</t>
  </si>
  <si>
    <t>50m Roll</t>
  </si>
  <si>
    <t>50m roll</t>
  </si>
  <si>
    <t>110m Roll</t>
  </si>
  <si>
    <t>90 PE - 100m roll</t>
  </si>
  <si>
    <t>Denso Tape</t>
  </si>
  <si>
    <t>Drainage Aggregate</t>
  </si>
  <si>
    <t>Electrical Pit with Steel Lid</t>
  </si>
  <si>
    <t>Gabion Rock (150 - 300)</t>
  </si>
  <si>
    <t>General Fill</t>
  </si>
  <si>
    <t>CBR 15 General Fill</t>
  </si>
  <si>
    <t>Head Wall 375 RCP</t>
  </si>
  <si>
    <t>Light POle 10.5m 1200 cross arm</t>
  </si>
  <si>
    <t>Luminaires to suit</t>
  </si>
  <si>
    <t>N20 Concrete</t>
  </si>
  <si>
    <t>N25 Concrete</t>
  </si>
  <si>
    <t>N32 Concrete</t>
  </si>
  <si>
    <t>DN200 - PE100 MDPE Pipe</t>
  </si>
  <si>
    <t>Star Pickets</t>
  </si>
  <si>
    <t>RCBC Crown Unit - 3600 x 900</t>
  </si>
  <si>
    <t>RCBC Base Slab 1800 x 600</t>
  </si>
  <si>
    <t>RCBC Base Slab 2100 x 600</t>
  </si>
  <si>
    <t>SL72 - Reinforcing Mesh</t>
  </si>
  <si>
    <t>SL82 Reinforcing Mesh</t>
  </si>
  <si>
    <t>Bedding Sand</t>
  </si>
  <si>
    <t>General signs &amp; delineation for traffic control.</t>
  </si>
  <si>
    <t>Warning Tape - Detectable (200m Roll)</t>
  </si>
  <si>
    <t>Water Rate per kL.</t>
  </si>
  <si>
    <t>Pre-cast wheel stops</t>
  </si>
  <si>
    <t>Wheel Stop with 2 x Galv pins</t>
  </si>
  <si>
    <t>Y12 - Reinforcing Bar</t>
  </si>
  <si>
    <t>P</t>
  </si>
  <si>
    <t>Backhoe - Wet Hire</t>
  </si>
  <si>
    <t>Bobcat - Wet Hire</t>
  </si>
  <si>
    <t>Bomag 124DH-3 SD Roller (3.5 T) - No Operator</t>
  </si>
  <si>
    <t>Stand Down SD Roller</t>
  </si>
  <si>
    <t>CAT297C MTL - No Operator</t>
  </si>
  <si>
    <t>CAT297 Stabiliser - No operator</t>
  </si>
  <si>
    <t>CAT311D - 12T Excavator (No Operator)</t>
  </si>
  <si>
    <t>Site Office &amp; Tiolet, 1 Pump out during project.</t>
  </si>
  <si>
    <t>D6 Dozer</t>
  </si>
  <si>
    <t>15T Excavator - Wet Hire</t>
  </si>
  <si>
    <t>25T Excavator - Wet Hire</t>
  </si>
  <si>
    <t>30T Excavator - Wet Hire</t>
  </si>
  <si>
    <t>8T Excavator - Wet Hire</t>
  </si>
  <si>
    <t>Excavator 25T - RATE ONLY</t>
  </si>
  <si>
    <t>FAE Mixer with Tractor</t>
  </si>
  <si>
    <t>Ford Ranger 4WD Utility</t>
  </si>
  <si>
    <t>Grader - Wet Hire</t>
  </si>
  <si>
    <t>Rock Hammer</t>
  </si>
  <si>
    <t>Multi Wheel Roller - Day rate including fuel</t>
  </si>
  <si>
    <t>Manhole Formwork Hire</t>
  </si>
  <si>
    <t>New Holland Compact Grader - No Operator</t>
  </si>
  <si>
    <t>Pad Foot Roller - Dry</t>
  </si>
  <si>
    <t>Plate Compactor - Dry Hire</t>
  </si>
  <si>
    <t>Excavator - Wet Hire with Rock Breaker</t>
  </si>
  <si>
    <t>SD Roller - Dry</t>
  </si>
  <si>
    <t>SD Roller Wet Hire - No Operator</t>
  </si>
  <si>
    <t>Shake-down grid complete</t>
  </si>
  <si>
    <t>Spreader Truck - 30T</t>
  </si>
  <si>
    <t>Tipper (Wet Hire)</t>
  </si>
  <si>
    <t>Tipper - Allciv (No Driver)</t>
  </si>
  <si>
    <t>Toyota Landcruiser 100 Utility</t>
  </si>
  <si>
    <t>Truck &amp; Dog - Wet Hire</t>
  </si>
  <si>
    <t>UD Spreader Truck - No Driver</t>
  </si>
  <si>
    <t>Variable Message Board</t>
  </si>
  <si>
    <t>Water Cart Allciv - No Operator</t>
  </si>
  <si>
    <t>Water Cart Hire</t>
  </si>
  <si>
    <t>10mm Spary Seal</t>
  </si>
  <si>
    <t>S</t>
  </si>
  <si>
    <t>14mm Primerseal</t>
  </si>
  <si>
    <t>7mm Primer Seal</t>
  </si>
  <si>
    <t>Accommodation &amp; 3 meals Rate</t>
  </si>
  <si>
    <t>Broons Impact Roller First day hire</t>
  </si>
  <si>
    <t>Broons Impact Roller - Daily hire after day one</t>
  </si>
  <si>
    <t>CAR Insurance</t>
  </si>
  <si>
    <t>Cylinders - Set of Three</t>
  </si>
  <si>
    <t>Concrete Sub-contractor (Slab on Ground)</t>
  </si>
  <si>
    <t>Slab on Ground</t>
  </si>
  <si>
    <t>Travel rate per km.</t>
  </si>
  <si>
    <t xml:space="preserve">km   </t>
  </si>
  <si>
    <t>Gravel Properties Testing</t>
  </si>
  <si>
    <t>Guard Rail Subbie, including bull nose</t>
  </si>
  <si>
    <t>Establish Hydromulch / seeding contractor</t>
  </si>
  <si>
    <t>Place &amp; Finish Kerb Ramp</t>
  </si>
  <si>
    <t>Log Barrier Fence</t>
  </si>
  <si>
    <t>PL Insurance</t>
  </si>
  <si>
    <t>Contract Rate per pit</t>
  </si>
  <si>
    <t>Modify Manholes</t>
  </si>
  <si>
    <t>Primer Seal - Subcontract Rate sqm</t>
  </si>
  <si>
    <t>2 x 25kL Sewer Tanks</t>
  </si>
  <si>
    <t>Field Density via Sand Replacement Method</t>
  </si>
  <si>
    <t>Security Fence - Three Strand Barb &amp; Crank</t>
  </si>
  <si>
    <t>Sub Soil Clean Out - Inst</t>
  </si>
  <si>
    <t>Tip fees per ton of waste</t>
  </si>
  <si>
    <t>2 x TC's + Ute, Signs &amp; Comms</t>
  </si>
  <si>
    <t>WHS Insurance / Levy</t>
  </si>
  <si>
    <t>Water Barriers Hire per m.</t>
  </si>
  <si>
    <t>Cost</t>
  </si>
  <si>
    <t>Duration</t>
  </si>
  <si>
    <r>
      <t>Prod</t>
    </r>
    <r>
      <rPr>
        <b/>
        <vertAlign val="superscript"/>
        <sz val="8"/>
        <color theme="1"/>
        <rFont val="Calibri"/>
        <family val="2"/>
        <scheme val="minor"/>
      </rPr>
      <t>n</t>
    </r>
  </si>
  <si>
    <t xml:space="preserve">PV02        </t>
  </si>
  <si>
    <t>Additional Clearing &amp; Grubbing - Moving rental car park 10m to the north to avoid fibre optic cable.</t>
  </si>
  <si>
    <t xml:space="preserve"> </t>
  </si>
  <si>
    <t xml:space="preserve">PV03 b      </t>
  </si>
  <si>
    <t>Additional Fill, road base gravel, spray seal &amp; AC to elongated access ramp</t>
  </si>
  <si>
    <t xml:space="preserve">     </t>
  </si>
  <si>
    <t xml:space="preserve">PV03 b.1    </t>
  </si>
  <si>
    <t>Imported General Fill (BOQ Item 3.3.5)</t>
  </si>
  <si>
    <t xml:space="preserve">PV03 b.2    </t>
  </si>
  <si>
    <t>Additional sub-grade preparation (BOQ item 4.1)</t>
  </si>
  <si>
    <t xml:space="preserve">PV03 b.5    </t>
  </si>
  <si>
    <t>Additional final trim (BOQ Item 4.3)</t>
  </si>
  <si>
    <t xml:space="preserve">PV03 b.6    </t>
  </si>
  <si>
    <t xml:space="preserve">PV03 b.7    </t>
  </si>
  <si>
    <t xml:space="preserve">PV03 b.3    </t>
  </si>
  <si>
    <t>Additional 2.3 Material (BOQ Item 4.2.3.2)</t>
  </si>
  <si>
    <t xml:space="preserve">PV03 b.4    </t>
  </si>
  <si>
    <t>Additional 2.1 Material (BOQ Item 4.2.3.1)</t>
  </si>
  <si>
    <t xml:space="preserve">PV03 a      </t>
  </si>
  <si>
    <t>Additional Material for Revised Levels (Main Pad)</t>
  </si>
  <si>
    <t xml:space="preserve">PV03 a.1    </t>
  </si>
  <si>
    <t>Additional Imported General Fill (BOQ Item 3.3.5)</t>
  </si>
  <si>
    <t xml:space="preserve">PV03 c      </t>
  </si>
  <si>
    <t>Additional Kerb &amp; Channel (Type B1)</t>
  </si>
  <si>
    <t xml:space="preserve">PV03 c.1    </t>
  </si>
  <si>
    <t>B1 Barrier Kerb &amp; Channel (BOQ Item 4.4.1.1)</t>
  </si>
  <si>
    <t xml:space="preserve">PV03 d      </t>
  </si>
  <si>
    <t>Additional Footpath</t>
  </si>
  <si>
    <t xml:space="preserve">PV03 d.1    </t>
  </si>
  <si>
    <t>Additional Concrete Footpath 2.45m Wide (BOQ Item 4.4.4.1)</t>
  </si>
  <si>
    <t xml:space="preserve">PV03 e      </t>
  </si>
  <si>
    <t>Additional Storm Water</t>
  </si>
  <si>
    <t xml:space="preserve">PV03 e.1    </t>
  </si>
  <si>
    <t>Additional 450 mm Diameter Class 2 RRJ (BOQ Item 5.1.3)</t>
  </si>
  <si>
    <t xml:space="preserve">PV03 f      </t>
  </si>
  <si>
    <t>Additional General Fill between rental car aprk and batter of new road one</t>
  </si>
  <si>
    <t xml:space="preserve">PV03 f.1    </t>
  </si>
  <si>
    <t>Cut to Fill (BOQ Item 3.3.4)</t>
  </si>
  <si>
    <t xml:space="preserve">PV03 g      </t>
  </si>
  <si>
    <t>Additional Conduit &amp; Trenching</t>
  </si>
  <si>
    <t xml:space="preserve">PV03 g.1    </t>
  </si>
  <si>
    <t>Additional Trenching (BOQ Item 6.1)</t>
  </si>
  <si>
    <t xml:space="preserve">PV03 g.3    </t>
  </si>
  <si>
    <t>Additional 100 diameter electrical conduit (BOQ Item 6.2)</t>
  </si>
  <si>
    <t xml:space="preserve">PV03 g.2    </t>
  </si>
  <si>
    <t>Additional 100 diameter communications conduit</t>
  </si>
  <si>
    <t xml:space="preserve">PV04        </t>
  </si>
  <si>
    <t>Remove &amp; Replace Unsuitable (Extra Over BOQ Item 3.3.7)</t>
  </si>
  <si>
    <t xml:space="preserve">PV05        </t>
  </si>
  <si>
    <t>Remove &amp; Replace Soft Spots - Rental Car Park</t>
  </si>
  <si>
    <t xml:space="preserve">PV06        </t>
  </si>
  <si>
    <t>Extension To Commercial Car Park</t>
  </si>
  <si>
    <t xml:space="preserve">PV06.k      </t>
  </si>
  <si>
    <t>Topsoil to Back of Kerb (BOQ Item 3.3.2)</t>
  </si>
  <si>
    <t xml:space="preserve">PV06.b      </t>
  </si>
  <si>
    <t>Stripping Topsoil (BOQ item 3.3.1)</t>
  </si>
  <si>
    <t xml:space="preserve">PV06.h      </t>
  </si>
  <si>
    <t>SM4 Kerb (BOQ Item 4.4.1.3)</t>
  </si>
  <si>
    <t xml:space="preserve">PV06.g      </t>
  </si>
  <si>
    <t>Primer Seal (7mm) (BOQ Item 4.5.1.1)</t>
  </si>
  <si>
    <t xml:space="preserve">PV06.d      </t>
  </si>
  <si>
    <t>Prepare Sub-grade (BOQ Item 4.1)</t>
  </si>
  <si>
    <t xml:space="preserve">PV06.r      </t>
  </si>
  <si>
    <t>New 2.4m Kerb Lintel</t>
  </si>
  <si>
    <t xml:space="preserve">PV06.c      </t>
  </si>
  <si>
    <t>Import General Fill (BOQ Item 3.3.5)</t>
  </si>
  <si>
    <t xml:space="preserve">PV06.f      </t>
  </si>
  <si>
    <t>Import 2.3 (BOQ Item 4.2.3.2)</t>
  </si>
  <si>
    <t xml:space="preserve">PV06.e      </t>
  </si>
  <si>
    <t>Import 2.1 (BOQ Item 4.2.3.1)</t>
  </si>
  <si>
    <t xml:space="preserve">PV06.m      </t>
  </si>
  <si>
    <t>Final Trim (BOQ Item 4.3)</t>
  </si>
  <si>
    <t xml:space="preserve">PV06.a      </t>
  </si>
  <si>
    <t>Clear &amp; Grubbing (BOQ Item 3.2.1)</t>
  </si>
  <si>
    <t xml:space="preserve">PV06.j      </t>
  </si>
  <si>
    <t>B2 Kerb (BOQ Item 4.4.1.2)</t>
  </si>
  <si>
    <t xml:space="preserve">PV06.i      </t>
  </si>
  <si>
    <t>B1 Kerb (BOQ Item 4.4.1.1)</t>
  </si>
  <si>
    <t xml:space="preserve">PV06.p      </t>
  </si>
  <si>
    <t>Additional Wheel Stops (BOQ Item 4.4.4.5)</t>
  </si>
  <si>
    <t xml:space="preserve">ea   </t>
  </si>
  <si>
    <t xml:space="preserve">PV06.q      </t>
  </si>
  <si>
    <t>Additional Log Barrier Fence (BOQ Item 7.2.1.1)</t>
  </si>
  <si>
    <t xml:space="preserve">PV06.s      </t>
  </si>
  <si>
    <t xml:space="preserve">PV06.n      </t>
  </si>
  <si>
    <t>Additional Conduit Trenching (BOQ Item 6.1)</t>
  </si>
  <si>
    <t xml:space="preserve">PV06.o      </t>
  </si>
  <si>
    <t>Additional Conduit (BOQ Item 6.3)</t>
  </si>
  <si>
    <t xml:space="preserve">PV06.l      </t>
  </si>
  <si>
    <t>Additional 450 RCP (BOQ Item 5.1.4)</t>
  </si>
  <si>
    <t xml:space="preserve">PV07        </t>
  </si>
  <si>
    <t>Additional Box Out &amp; General Fill</t>
  </si>
  <si>
    <t xml:space="preserve">PV07.b      </t>
  </si>
  <si>
    <t xml:space="preserve">PV07.a      </t>
  </si>
  <si>
    <t>Cut To Spoil (BOQ Item 3.3.6)</t>
  </si>
  <si>
    <t xml:space="preserve">PV08        </t>
  </si>
  <si>
    <t>Remove &amp; Replace Unsuitable - Bus Bay &amp; Round-a-bout</t>
  </si>
  <si>
    <t xml:space="preserve">PV08.a      </t>
  </si>
  <si>
    <t>Remove Soft Spots (BOQ Item 3.3.7)</t>
  </si>
  <si>
    <t xml:space="preserve">PV08.b      </t>
  </si>
  <si>
    <t xml:space="preserve">PV09        </t>
  </si>
  <si>
    <t>Stabilise Sub-Grade</t>
  </si>
  <si>
    <t xml:space="preserve">PV09.a      </t>
  </si>
  <si>
    <t>Supply GB Cement Stabilising Agent</t>
  </si>
  <si>
    <t xml:space="preserve">PV09.b      </t>
  </si>
  <si>
    <t>In-situ Stabilising Sub-grade</t>
  </si>
  <si>
    <t xml:space="preserve">PV10        </t>
  </si>
  <si>
    <t>Supply &amp; Install Visi-ball Tank Level Indicator</t>
  </si>
  <si>
    <t xml:space="preserve">PV11        </t>
  </si>
  <si>
    <t>Centre Median Footpath Beam Thickening</t>
  </si>
  <si>
    <t xml:space="preserve">PV11.b      </t>
  </si>
  <si>
    <t>Supply, cut, tie and place SL72 Reinforcing Mesh</t>
  </si>
  <si>
    <t xml:space="preserve">PV11.a      </t>
  </si>
  <si>
    <t>Excavate for, Supply, Place and Finish Additional N25 Concrete</t>
  </si>
  <si>
    <t xml:space="preserve">PV12        </t>
  </si>
  <si>
    <t>Install 150mm &amp; 225mm Roof water drainage lines from terminal building, including road crossings and stubs to existing stormwater pits</t>
  </si>
  <si>
    <t xml:space="preserve">PV13        </t>
  </si>
  <si>
    <t>Installation of STP Irrigation System</t>
  </si>
  <si>
    <t xml:space="preserve">PV13.h      </t>
  </si>
  <si>
    <t>Supply &amp; installation of signal cable as per clarification email</t>
  </si>
  <si>
    <t xml:space="preserve">PV13.g      </t>
  </si>
  <si>
    <t>Supply &amp; installation of irrigation area (3,000 sqm) as per H103 including air &amp; flush valves</t>
  </si>
  <si>
    <t xml:space="preserve">PV13.f      </t>
  </si>
  <si>
    <t>Supply &amp; Installation of rising main from Pump well No. 02 to irrigation area as per H101 in existing cleared areas</t>
  </si>
  <si>
    <t xml:space="preserve">PV13.c      </t>
  </si>
  <si>
    <t>Supply &amp; Installation of Electrical as Per E002 &amp; Clarification Letter</t>
  </si>
  <si>
    <t xml:space="preserve">PV13.e      </t>
  </si>
  <si>
    <t>Supply &amp; Install light to roof of container</t>
  </si>
  <si>
    <t xml:space="preserve">PV13.b      </t>
  </si>
  <si>
    <t>Supply &amp; Install Pump &amp; Well No. 02</t>
  </si>
  <si>
    <t xml:space="preserve">PV13.d      </t>
  </si>
  <si>
    <t>Raise STP pad height 500mm and provide 100mm reinforced concrete slab</t>
  </si>
  <si>
    <t xml:space="preserve">PV13.a      </t>
  </si>
  <si>
    <t>Installation only of Pump No. 01 &amp; Pump Well</t>
  </si>
  <si>
    <t xml:space="preserve">PV14        </t>
  </si>
  <si>
    <t>Installation of Edge Restraint</t>
  </si>
  <si>
    <t xml:space="preserve">PV15        </t>
  </si>
  <si>
    <t>Fie Lay Away</t>
  </si>
  <si>
    <t xml:space="preserve">PV15.d      </t>
  </si>
  <si>
    <t>Supply &amp; Place 2.1 Gravel</t>
  </si>
  <si>
    <t xml:space="preserve">PV15.e      </t>
  </si>
  <si>
    <t>Primer Seal</t>
  </si>
  <si>
    <t xml:space="preserve">PV15.b      </t>
  </si>
  <si>
    <t>Prepare &amp; Trim Sub-grade</t>
  </si>
  <si>
    <t xml:space="preserve">PV15.c      </t>
  </si>
  <si>
    <t>Edge Restraint</t>
  </si>
  <si>
    <t xml:space="preserve">PV15.f      </t>
  </si>
  <si>
    <t>DG10 Asphalt (40mm)</t>
  </si>
  <si>
    <t xml:space="preserve">PV15.a      </t>
  </si>
  <si>
    <t>Cut To Spoil</t>
  </si>
  <si>
    <t xml:space="preserve">PV16        </t>
  </si>
  <si>
    <t>Bin Area</t>
  </si>
  <si>
    <t xml:space="preserve">PV16.b      </t>
  </si>
  <si>
    <t>Supply &amp; Place Type 2.1 Gravel</t>
  </si>
  <si>
    <t xml:space="preserve">PV16.a      </t>
  </si>
  <si>
    <t xml:space="preserve">PV16.c      </t>
  </si>
  <si>
    <t>Colourbonfd Fence (1800 High - 20m)</t>
  </si>
  <si>
    <t xml:space="preserve">PV17        </t>
  </si>
  <si>
    <t>Additional Edge Restraint</t>
  </si>
  <si>
    <t xml:space="preserve">PV18        </t>
  </si>
  <si>
    <t>Supply &amp; Install Additional Electrical Pit</t>
  </si>
  <si>
    <t xml:space="preserve">PV19        </t>
  </si>
  <si>
    <t>Extra Over Log Barrier Fenec - Monowills Pedestrian Safety Fence</t>
  </si>
  <si>
    <t xml:space="preserve">PV20        </t>
  </si>
  <si>
    <t>Additional AC</t>
  </si>
  <si>
    <t xml:space="preserve">PV21        </t>
  </si>
  <si>
    <t>Miscellaneous Additional Works</t>
  </si>
  <si>
    <t>Work Hours Per Day</t>
  </si>
  <si>
    <t>PRELIMINARIES</t>
  </si>
  <si>
    <t>SEDIMENT &amp; EROSION CONTROL</t>
  </si>
  <si>
    <t>EARTHWORKS</t>
  </si>
  <si>
    <t>Tree Protection</t>
  </si>
  <si>
    <t>Clearing, Grubbing &amp; Demolition</t>
  </si>
  <si>
    <t>Earthworks</t>
  </si>
  <si>
    <t>ROAD WORKS</t>
  </si>
  <si>
    <t>Pavement A1</t>
  </si>
  <si>
    <t>Pavement A2 - Roadways</t>
  </si>
  <si>
    <t>Pavement A2 - Rental Car Park</t>
  </si>
  <si>
    <t>Pavement B - Roadway</t>
  </si>
  <si>
    <t>Pavement B - Public Car Park including Road 3</t>
  </si>
  <si>
    <t>Concrete Works</t>
  </si>
  <si>
    <t>Concrete Kerb &amp; Channel as specified in place, including but not limited to transitions, ramps &amp; gullies</t>
  </si>
  <si>
    <t>Additional Concrete Works</t>
  </si>
  <si>
    <t>Surfacing Works</t>
  </si>
  <si>
    <t>Existing Public Carpark</t>
  </si>
  <si>
    <t>Roadways and New Carpark</t>
  </si>
  <si>
    <t>Signage and Pavement Marking</t>
  </si>
  <si>
    <t>STORMWATER DRAINAGE</t>
  </si>
  <si>
    <t>Pipework</t>
  </si>
  <si>
    <t>Material Supply</t>
  </si>
  <si>
    <t>Place Sand</t>
  </si>
  <si>
    <t>Form &amp; Place</t>
  </si>
  <si>
    <t>Form &amp; Supply</t>
  </si>
  <si>
    <t>Excavation &amp; Laying</t>
  </si>
  <si>
    <t>Drainage Structures</t>
  </si>
  <si>
    <t>Manholes as per IPWEA STD Drawings:</t>
  </si>
  <si>
    <t>Kerb Inlets</t>
  </si>
  <si>
    <t>On Grade (L)</t>
  </si>
  <si>
    <t>On Grade(RH)</t>
  </si>
  <si>
    <t>Pre-Cast Headwalls</t>
  </si>
  <si>
    <t>ELECTRICAL AND LIGHTING</t>
  </si>
  <si>
    <t>MISCELLANEOUS</t>
  </si>
  <si>
    <t>Existing Services</t>
  </si>
  <si>
    <t>Service Conduit Crossings and Alterations to existing services, as required</t>
  </si>
  <si>
    <t>Fencing &amp; Vehicle Barriers</t>
  </si>
  <si>
    <t>Vehicle Barriers - CCA Treated Logs</t>
  </si>
  <si>
    <t>Construction Management &amp; Mitigation Works</t>
  </si>
  <si>
    <t>SCHEDULE B - SEWER WORKS</t>
  </si>
  <si>
    <t>Win Material from Local Pit</t>
  </si>
  <si>
    <t>Load &amp; Cart</t>
  </si>
  <si>
    <t>Place &amp; Compact</t>
  </si>
  <si>
    <t>Final Trim</t>
  </si>
  <si>
    <t>SEWER WORKS</t>
  </si>
  <si>
    <t>Gravity Sewer</t>
  </si>
  <si>
    <t>Sewerage Pump Station</t>
  </si>
  <si>
    <t>Rising Main</t>
  </si>
  <si>
    <t>Water Supply</t>
  </si>
  <si>
    <t>Miscellaneous</t>
  </si>
  <si>
    <t>PROJECT OVERHEADS (TO BE SPREAD ACROSS ABOVE ITEMS)</t>
  </si>
  <si>
    <t>Concretor - Labour</t>
  </si>
  <si>
    <t>Engineer / CQR</t>
  </si>
  <si>
    <t>Foreman - Hourly</t>
  </si>
  <si>
    <t>Labour - RATE ONLY</t>
  </si>
  <si>
    <t>Operator</t>
  </si>
  <si>
    <t>PM</t>
  </si>
  <si>
    <t>Pipelayer</t>
  </si>
  <si>
    <t>Project Manager</t>
  </si>
  <si>
    <t>Traffic Controller</t>
  </si>
  <si>
    <t>WHSO</t>
  </si>
  <si>
    <t>100 Bend - 11.25 deg</t>
  </si>
  <si>
    <t>100 Bend - 22.5 deg</t>
  </si>
  <si>
    <t>100 Bend - 45 deg</t>
  </si>
  <si>
    <t>100 End Cap</t>
  </si>
  <si>
    <t>100 Gasket Set</t>
  </si>
  <si>
    <t>100 SV So-So</t>
  </si>
  <si>
    <t>100 x 100 Tee</t>
  </si>
  <si>
    <t>1050 Manhole per metre</t>
  </si>
  <si>
    <t>1050 Reducer Slab</t>
  </si>
  <si>
    <t>1200 RCP FJ CL2</t>
  </si>
  <si>
    <t>125 LD uPVC Electrical</t>
  </si>
  <si>
    <t>150 Bend - 11.25 deg</t>
  </si>
  <si>
    <t>150 Bend - 22.5 deg</t>
  </si>
  <si>
    <t>150 Bend - 45 deg</t>
  </si>
  <si>
    <t>150 Bend - 90 deg</t>
  </si>
  <si>
    <t>150 End Cap</t>
  </si>
  <si>
    <t>150 Gasket Set</t>
  </si>
  <si>
    <t>150 SN8 Sewer Pipe</t>
  </si>
  <si>
    <t>150 Water Meter - Helix</t>
  </si>
  <si>
    <t>150 x 100 Tee</t>
  </si>
  <si>
    <t>20mm Drainage Agg</t>
  </si>
  <si>
    <t>300 RCP</t>
  </si>
  <si>
    <t>300 RCP FJ CL3</t>
  </si>
  <si>
    <t>375 RCP FJ CL3</t>
  </si>
  <si>
    <t>375 Sloping Headwall</t>
  </si>
  <si>
    <t>40mm Drainage Agg</t>
  </si>
  <si>
    <t>450 RCP FJ CL4</t>
  </si>
  <si>
    <t>50 HD uPVC Electrical</t>
  </si>
  <si>
    <t>50 uPVC Communications</t>
  </si>
  <si>
    <t>525 RCP FJ CL2</t>
  </si>
  <si>
    <t>63 HD VX Electrical</t>
  </si>
  <si>
    <t>675 RCP FJ CL3</t>
  </si>
  <si>
    <t>750 HW</t>
  </si>
  <si>
    <t>750 RCP</t>
  </si>
  <si>
    <t>80 uPVC Communications</t>
  </si>
  <si>
    <t>900 RCP FJ CL2</t>
  </si>
  <si>
    <t>A24</t>
  </si>
  <si>
    <t xml:space="preserve">A34  </t>
  </si>
  <si>
    <t>A64</t>
  </si>
  <si>
    <t>Abel Flex</t>
  </si>
  <si>
    <t>Bar Chairs</t>
  </si>
  <si>
    <t>Bollard - Plain</t>
  </si>
  <si>
    <t>Bolts</t>
  </si>
  <si>
    <t>Bro Pit - 1C1T</t>
  </si>
  <si>
    <t>Bro Pit - 1C2T</t>
  </si>
  <si>
    <t>CBR15</t>
  </si>
  <si>
    <t>CBR80</t>
  </si>
  <si>
    <t>Cast Iron Lid &amp; Surround</t>
  </si>
  <si>
    <t>Cement</t>
  </si>
  <si>
    <t>Cement - 2 Tonne Bag</t>
  </si>
  <si>
    <t>Cement - GP Bulk</t>
  </si>
  <si>
    <t>Cold Mix AC</t>
  </si>
  <si>
    <t>Crusher Dust - Delivered</t>
  </si>
  <si>
    <t>DN100 uPVC PN18</t>
  </si>
  <si>
    <t>DN100 uPVC SN10</t>
  </si>
  <si>
    <t>DN100 uPVC SN8</t>
  </si>
  <si>
    <t>DN150 uPVC PN16</t>
  </si>
  <si>
    <t>DN150 uPVC PN18</t>
  </si>
  <si>
    <t>DN150 uPVC SN8</t>
  </si>
  <si>
    <t>DN25 PE100 PN12.5</t>
  </si>
  <si>
    <t>DN32 PE100 PN12.5</t>
  </si>
  <si>
    <t>DN40 PE100 ON12.5</t>
  </si>
  <si>
    <t>DN50 PE100 PN12.5</t>
  </si>
  <si>
    <t>DN63 PE100 PN12.5</t>
  </si>
  <si>
    <t>DN63 PE80B SDR11 (Gas)</t>
  </si>
  <si>
    <t>DN90 PE100 PN12.5</t>
  </si>
  <si>
    <t>Daneley Joints</t>
  </si>
  <si>
    <t>Delineation</t>
  </si>
  <si>
    <t>Drainage Agg</t>
  </si>
  <si>
    <t>Electrical Pit - Precast</t>
  </si>
  <si>
    <t>Ferrule &amp; Bonnet - 25mm</t>
  </si>
  <si>
    <t>Ferrule &amp; Bonnet - 40mm</t>
  </si>
  <si>
    <t>Ferrule &amp; Bonnet - 50mm</t>
  </si>
  <si>
    <t>Fire Booster Assembly</t>
  </si>
  <si>
    <t>Fire Booster Cabinet</t>
  </si>
  <si>
    <t>Form Boards</t>
  </si>
  <si>
    <t>GCL</t>
  </si>
  <si>
    <t>Gates</t>
  </si>
  <si>
    <t>General Fill (CBR15)</t>
  </si>
  <si>
    <t>Grate &amp; Frame</t>
  </si>
  <si>
    <t>Guide Post</t>
  </si>
  <si>
    <t>HW - 1200 x 450 RCBC</t>
  </si>
  <si>
    <t>HW - 1800 x 600 RCBC</t>
  </si>
  <si>
    <t>HW - 2400 x 900 RCBC</t>
  </si>
  <si>
    <t>HW - 3/1200 x 300 RCBC</t>
  </si>
  <si>
    <t>HW - 300</t>
  </si>
  <si>
    <t>HW - 450 Sloping</t>
  </si>
  <si>
    <t>HW - 600 x 375 RCBC</t>
  </si>
  <si>
    <t>HW - 675</t>
  </si>
  <si>
    <t>HW - 750 x 450 RCBC</t>
  </si>
  <si>
    <t>HW 1200 x 600 RCBC</t>
  </si>
  <si>
    <t>Hard Cover - Electrical</t>
  </si>
  <si>
    <t>Hay Bale</t>
  </si>
  <si>
    <t>Hazard Board</t>
  </si>
  <si>
    <t>Hydrant Riser</t>
  </si>
  <si>
    <t>Hydrant Riser - 100 Dual</t>
  </si>
  <si>
    <t>Hydrant Riser 150 Dual</t>
  </si>
  <si>
    <t>Kerb Adaptors</t>
  </si>
  <si>
    <t>Luminaires</t>
  </si>
  <si>
    <t>MDPE Junctions</t>
  </si>
  <si>
    <t>Marker Post</t>
  </si>
  <si>
    <t>N20</t>
  </si>
  <si>
    <t>PN10 : 200 DiaPE100</t>
  </si>
  <si>
    <t>Palings</t>
  </si>
  <si>
    <t>Pugmill</t>
  </si>
  <si>
    <t>RCBC - 1200 x 300</t>
  </si>
  <si>
    <t>RCBC - 1200 x 450</t>
  </si>
  <si>
    <t>RCBC - 1200 x 600</t>
  </si>
  <si>
    <t>RCBC - 1800 x 600</t>
  </si>
  <si>
    <t>RCBC - 2100 x 600</t>
  </si>
  <si>
    <t>RCBC - 2400 x 900</t>
  </si>
  <si>
    <t>RCBC - 3600 x 900</t>
  </si>
  <si>
    <t>RCBC - 750 x 450</t>
  </si>
  <si>
    <t>RCBC 600 x 375</t>
  </si>
  <si>
    <t>Rag Bolt - Small</t>
  </si>
  <si>
    <t>Reinforcing Steel</t>
  </si>
  <si>
    <t>S32 - Exposed Aggregate</t>
  </si>
  <si>
    <t>SL82</t>
  </si>
  <si>
    <t>Sand Bags</t>
  </si>
  <si>
    <t>Single Check Detector</t>
  </si>
  <si>
    <t>Small Signs</t>
  </si>
  <si>
    <t>Small Tools</t>
  </si>
  <si>
    <t>Sub Soil Drain</t>
  </si>
  <si>
    <t>Tack Coat</t>
  </si>
  <si>
    <t>Tapping Band - 100 x 25</t>
  </si>
  <si>
    <t>Tapping Band - 100 x 50</t>
  </si>
  <si>
    <t>Tapping Band 100 x 40</t>
  </si>
  <si>
    <t>Type 5 Elec Pit</t>
  </si>
  <si>
    <t>Type 7 Elec Pit</t>
  </si>
  <si>
    <t>Type A Sewer Junction</t>
  </si>
  <si>
    <t>Water Charge</t>
  </si>
  <si>
    <t>Water Meter Interface</t>
  </si>
  <si>
    <t>Wheel Stops</t>
  </si>
  <si>
    <t>A25</t>
  </si>
  <si>
    <t>Back Hoe</t>
  </si>
  <si>
    <t>Bobcat - RATE ONLY</t>
  </si>
  <si>
    <t>Bomag 124DH</t>
  </si>
  <si>
    <t>Bomag 124DH (Stand Down)</t>
  </si>
  <si>
    <t>CAT297 Stabiliser</t>
  </si>
  <si>
    <t>CAT311</t>
  </si>
  <si>
    <t>Container</t>
  </si>
  <si>
    <t>Crane - 30Ton</t>
  </si>
  <si>
    <t>Crane Truck</t>
  </si>
  <si>
    <t>EWP</t>
  </si>
  <si>
    <t>Excavator - 15T</t>
  </si>
  <si>
    <t>Excavator - 8T</t>
  </si>
  <si>
    <t>Excavator &lt; 24 RATE ONLY</t>
  </si>
  <si>
    <t>FAE Mixer</t>
  </si>
  <si>
    <t>Ford Utility</t>
  </si>
  <si>
    <t>Generator</t>
  </si>
  <si>
    <t>Grader - RATE ONLY</t>
  </si>
  <si>
    <t>Hammer</t>
  </si>
  <si>
    <t>MW Roller</t>
  </si>
  <si>
    <t>Manhole Forms (1050)</t>
  </si>
  <si>
    <t>NH Grader</t>
  </si>
  <si>
    <t>PF Roller Wet - No OP</t>
  </si>
  <si>
    <t>Plant Float - Allciv</t>
  </si>
  <si>
    <t>Plate Compactor</t>
  </si>
  <si>
    <t>Rock Breaker</t>
  </si>
  <si>
    <t>SD Roller - RATE ONLY</t>
  </si>
  <si>
    <t>SD Roller - Wet (No Op)</t>
  </si>
  <si>
    <t>Scraper - RATE ONLY</t>
  </si>
  <si>
    <t>Shake-down</t>
  </si>
  <si>
    <t>T&amp;D - RATE ONLY</t>
  </si>
  <si>
    <t>Tipper - Allciv</t>
  </si>
  <si>
    <t>Toyota Utility</t>
  </si>
  <si>
    <t>Truck - RATE ONLY</t>
  </si>
  <si>
    <t>UD Spreader</t>
  </si>
  <si>
    <t>UD Spreader - Daily</t>
  </si>
  <si>
    <t>WC - Allciv</t>
  </si>
  <si>
    <t>Water Cart - RATE ONLY</t>
  </si>
  <si>
    <t>10mm Seal</t>
  </si>
  <si>
    <t>16mm Primer Seal</t>
  </si>
  <si>
    <t>AMC0 Prime</t>
  </si>
  <si>
    <t>Accommodation</t>
  </si>
  <si>
    <t>Bollards</t>
  </si>
  <si>
    <t>Broons - Day One</t>
  </si>
  <si>
    <t>Broons - Day Two +</t>
  </si>
  <si>
    <t>CBR Test</t>
  </si>
  <si>
    <t>CCTV</t>
  </si>
  <si>
    <t>Concrete Cylinders</t>
  </si>
  <si>
    <t>Concrete Sub-contract</t>
  </si>
  <si>
    <t>Conduit Subbie</t>
  </si>
  <si>
    <t>Council Fee</t>
  </si>
  <si>
    <t>Distribution Board</t>
  </si>
  <si>
    <t>Fencing Subbie</t>
  </si>
  <si>
    <t>Field Density</t>
  </si>
  <si>
    <t>Final Seal</t>
  </si>
  <si>
    <t>GPO</t>
  </si>
  <si>
    <t>Geotech Travel</t>
  </si>
  <si>
    <t>Grinder</t>
  </si>
  <si>
    <t>Guard Rail</t>
  </si>
  <si>
    <t>HDPE Liner</t>
  </si>
  <si>
    <t>Hydromulch - Establish</t>
  </si>
  <si>
    <t>Kerb Ramp Subbie</t>
  </si>
  <si>
    <t>Lab Compaction</t>
  </si>
  <si>
    <t>Light Cables</t>
  </si>
  <si>
    <t>Manhole Builder (1-2m)</t>
  </si>
  <si>
    <t>Manhole Builder (2-3m)</t>
  </si>
  <si>
    <t>PE Welder</t>
  </si>
  <si>
    <t>PL</t>
  </si>
  <si>
    <t>PLSL</t>
  </si>
  <si>
    <t>Pavement Subbie</t>
  </si>
  <si>
    <t>Pavement Test</t>
  </si>
  <si>
    <t>Pit Builder</t>
  </si>
  <si>
    <t>Pit Builder - Modify</t>
  </si>
  <si>
    <t>Pot Holes R Us</t>
  </si>
  <si>
    <t>Power</t>
  </si>
  <si>
    <t>Pram Ramps</t>
  </si>
  <si>
    <t>Profiling Subbie</t>
  </si>
  <si>
    <t>RPM Enviro</t>
  </si>
  <si>
    <t>Retention Costs</t>
  </si>
  <si>
    <t>SAMI Seal</t>
  </si>
  <si>
    <t>Safety Rails</t>
  </si>
  <si>
    <t>Sand Replacements</t>
  </si>
  <si>
    <t>Seal Visit Eight</t>
  </si>
  <si>
    <t>Seal Visit Five</t>
  </si>
  <si>
    <t>Seal Visit Four</t>
  </si>
  <si>
    <t>Seal Visit One</t>
  </si>
  <si>
    <t>Seal Visit Seven</t>
  </si>
  <si>
    <t>Seal Visit Six</t>
  </si>
  <si>
    <t>Seal Visit Three</t>
  </si>
  <si>
    <t>Seal Visit Two</t>
  </si>
  <si>
    <t>Security Fence</t>
  </si>
  <si>
    <t>Service Locator</t>
  </si>
  <si>
    <t>Soil Tests</t>
  </si>
  <si>
    <t>Steel Fixing</t>
  </si>
  <si>
    <t>Stone Pitching</t>
  </si>
  <si>
    <t>Survey - Boundary Pegs</t>
  </si>
  <si>
    <t>Traffic Ute</t>
  </si>
  <si>
    <t>Turf Subbie</t>
  </si>
  <si>
    <t>WHS</t>
  </si>
  <si>
    <t>Water Subbie</t>
  </si>
  <si>
    <t>DG10</t>
  </si>
  <si>
    <t>DG14</t>
  </si>
  <si>
    <t>Type</t>
  </si>
  <si>
    <t>Win Material From Local Pit</t>
  </si>
  <si>
    <t>Add day with Bobcat to cut Kerb Pads</t>
  </si>
  <si>
    <t>Excavatio to spoil</t>
  </si>
  <si>
    <t>Placement of Gravel</t>
  </si>
  <si>
    <t>Win material from local pit</t>
  </si>
  <si>
    <t>Excavate Trench</t>
  </si>
  <si>
    <t>Backfill &amp; Compact</t>
  </si>
  <si>
    <t>Materials</t>
  </si>
  <si>
    <t>Installation of Footing Cages</t>
  </si>
  <si>
    <t>Installation of Poles &amp; Lights</t>
  </si>
  <si>
    <t>Australia Day</t>
  </si>
  <si>
    <t>Labour Day</t>
  </si>
  <si>
    <t>ANZAC Day</t>
  </si>
  <si>
    <t>Queen's Birthday</t>
  </si>
  <si>
    <t>Christmas Day</t>
  </si>
  <si>
    <t>Boxing Day</t>
  </si>
  <si>
    <t>New Years Day</t>
  </si>
  <si>
    <t>Good Friday</t>
  </si>
  <si>
    <t>Easter Monday</t>
  </si>
  <si>
    <t>Xmas S/D</t>
  </si>
  <si>
    <t>Non-Working Calendar 2011 - 2015 (Queensland - Australia)</t>
  </si>
  <si>
    <t>Initial Set-up</t>
  </si>
  <si>
    <t>Ongoing Maintenance</t>
  </si>
  <si>
    <r>
      <t xml:space="preserve">Removal of unsuitable material including excavation, filling and spoiling material </t>
    </r>
    <r>
      <rPr>
        <b/>
        <sz val="8"/>
        <color rgb="FF00B050"/>
        <rFont val="Calibri"/>
        <family val="2"/>
        <scheme val="minor"/>
      </rPr>
      <t>(provisional)</t>
    </r>
  </si>
  <si>
    <t>Usage</t>
  </si>
  <si>
    <t>Supply only of electrical conduits (100 diameter), conuits and marker tape</t>
  </si>
  <si>
    <t>Supply only of electrical conduits (40 diameter), conuits and marker tape</t>
  </si>
  <si>
    <t>Supply only, conduits and marker tape</t>
  </si>
  <si>
    <t>Additional Spray Seal (BOQ Item 4.5.1.1)</t>
  </si>
  <si>
    <t>Additional AC (BOQ Item 4.5.1.2)</t>
  </si>
  <si>
    <t>Portfolio WBS</t>
  </si>
  <si>
    <t>CSA</t>
  </si>
  <si>
    <t>Stabilising Sub-Grade</t>
  </si>
  <si>
    <t>RSM</t>
  </si>
  <si>
    <t>QMS</t>
  </si>
  <si>
    <t>C25</t>
  </si>
  <si>
    <t>Electrical Subbie</t>
  </si>
  <si>
    <t>QM2.1</t>
  </si>
  <si>
    <t>CKM</t>
  </si>
  <si>
    <t>Additional Kerb - 95m</t>
  </si>
  <si>
    <t>Additional Line Marking (Lump Sum)</t>
  </si>
  <si>
    <t>Additional Fencing (Lump Sum)</t>
  </si>
  <si>
    <t>Additional Work at STP</t>
  </si>
  <si>
    <t>Additional Rag Bolt</t>
  </si>
  <si>
    <t>Additional Engineering</t>
  </si>
  <si>
    <t>Additional Supervision</t>
  </si>
  <si>
    <t>C32</t>
  </si>
  <si>
    <t>RSB</t>
  </si>
  <si>
    <t>RFS</t>
  </si>
  <si>
    <t>SWP</t>
  </si>
  <si>
    <t>SWL</t>
  </si>
  <si>
    <t>SWH</t>
  </si>
  <si>
    <t>QMR</t>
  </si>
  <si>
    <t>ETC</t>
  </si>
  <si>
    <t>ETM</t>
  </si>
  <si>
    <t>ETP</t>
  </si>
  <si>
    <t>WW</t>
  </si>
  <si>
    <t>Additional Line Marking (BOQ Item 4.7.1)</t>
  </si>
  <si>
    <t>Variation No.</t>
  </si>
  <si>
    <t>Q</t>
  </si>
  <si>
    <t>Removal of unsuitable material including excavation, filling and spoiling material (provisional)</t>
  </si>
  <si>
    <t>WBS</t>
  </si>
  <si>
    <t>DESCRIPTION</t>
  </si>
  <si>
    <t>TYPE</t>
  </si>
  <si>
    <t>CONTRACT AWARD</t>
  </si>
  <si>
    <t>PRACTICAL COMPLETION</t>
  </si>
  <si>
    <t>4,8,10,136,11</t>
  </si>
  <si>
    <t>36,7,31,69,9,111,123,148,223,226,240,238,243,213,6,12</t>
  </si>
  <si>
    <t>1,10,8,11</t>
  </si>
  <si>
    <t>5,12,14,102,103,104,107,7</t>
  </si>
  <si>
    <t>4,8</t>
  </si>
  <si>
    <t>5,8</t>
  </si>
  <si>
    <t>4,30</t>
  </si>
  <si>
    <t>20,29,126,159,185</t>
  </si>
  <si>
    <t>22,27</t>
  </si>
  <si>
    <t>79,67,68,115,215,173</t>
  </si>
  <si>
    <t>34,38,187FF,161,163FF,206FF</t>
  </si>
  <si>
    <t>82,101,146,183FF,164FF,212,208</t>
  </si>
  <si>
    <t>41,47,59</t>
  </si>
  <si>
    <t>40,44</t>
  </si>
  <si>
    <t>72,53</t>
  </si>
  <si>
    <t>54,63</t>
  </si>
  <si>
    <t>49,189,166FF</t>
  </si>
  <si>
    <t>50,190,165FF</t>
  </si>
  <si>
    <t>75,197FF,167FF</t>
  </si>
  <si>
    <t>40,93,193FF</t>
  </si>
  <si>
    <t>62,227,231FF,192FF</t>
  </si>
  <si>
    <t>66,173FF</t>
  </si>
  <si>
    <t>2,200FF</t>
  </si>
  <si>
    <t>56,95</t>
  </si>
  <si>
    <t>76,233FF,168FF</t>
  </si>
  <si>
    <t>78,118,147,242,234FF,191FF,169FF</t>
  </si>
  <si>
    <t>79,203FF</t>
  </si>
  <si>
    <t>84,88,97,217</t>
  </si>
  <si>
    <t>83,88,217</t>
  </si>
  <si>
    <t>85,89,175FF</t>
  </si>
  <si>
    <t>84,89</t>
  </si>
  <si>
    <t>59,90</t>
  </si>
  <si>
    <t>85,97</t>
  </si>
  <si>
    <t>4,101FF</t>
  </si>
  <si>
    <t>105,181FF</t>
  </si>
  <si>
    <t>106,240FF</t>
  </si>
  <si>
    <t>1,143FF</t>
  </si>
  <si>
    <t>33FF</t>
  </si>
  <si>
    <t>38FF,163,179</t>
  </si>
  <si>
    <t>54FF,164,175,181</t>
  </si>
  <si>
    <t>53FF,165,171</t>
  </si>
  <si>
    <t>56FF,166</t>
  </si>
  <si>
    <t>75FF,167</t>
  </si>
  <si>
    <t>76FF,168</t>
  </si>
  <si>
    <t>65FF,169</t>
  </si>
  <si>
    <t>84FF,164,177</t>
  </si>
  <si>
    <t>32FF,163</t>
  </si>
  <si>
    <t>101FF</t>
  </si>
  <si>
    <t>102FF</t>
  </si>
  <si>
    <t>32,33FF,186</t>
  </si>
  <si>
    <t>76FF,190</t>
  </si>
  <si>
    <t>61FF,191</t>
  </si>
  <si>
    <t>59FF,192</t>
  </si>
  <si>
    <t>60FF,193</t>
  </si>
  <si>
    <t>30FF,194</t>
  </si>
  <si>
    <t>85FF,195</t>
  </si>
  <si>
    <t>56FF,196</t>
  </si>
  <si>
    <t>101FF,197</t>
  </si>
  <si>
    <t>199FF</t>
  </si>
  <si>
    <t>198FF</t>
  </si>
  <si>
    <t>69FF,199</t>
  </si>
  <si>
    <t>78FF,202</t>
  </si>
  <si>
    <t>212FF</t>
  </si>
  <si>
    <t>216SS</t>
  </si>
  <si>
    <t>215SS</t>
  </si>
  <si>
    <t>220FF</t>
  </si>
  <si>
    <t>219FF</t>
  </si>
  <si>
    <t>224,221FF</t>
  </si>
  <si>
    <t>230,236FF</t>
  </si>
  <si>
    <t>229FF</t>
  </si>
  <si>
    <t>SUBCONTRACT RESOURCES</t>
  </si>
  <si>
    <t>LABOUR RESOURCES</t>
  </si>
  <si>
    <t>MATERIAL RESOURCES</t>
  </si>
  <si>
    <t>PLANT RESOURCES</t>
  </si>
  <si>
    <t>Currency</t>
  </si>
  <si>
    <t>UOM</t>
  </si>
  <si>
    <t>MODEL INPUT</t>
  </si>
  <si>
    <t>Item No</t>
  </si>
  <si>
    <t>Tender Quantity</t>
  </si>
  <si>
    <t>Contract Quantity</t>
  </si>
  <si>
    <t>Tender Rate</t>
  </si>
  <si>
    <t>Tender Total</t>
  </si>
  <si>
    <t>Contract Total</t>
  </si>
  <si>
    <t>Claim 01</t>
  </si>
  <si>
    <t>Claim 02</t>
  </si>
  <si>
    <t>Claim 03</t>
  </si>
  <si>
    <t>Claim 04</t>
  </si>
  <si>
    <t>Claim 05</t>
  </si>
  <si>
    <t>Claim 06</t>
  </si>
  <si>
    <t>Claim 07</t>
  </si>
  <si>
    <t>Claim 08</t>
  </si>
  <si>
    <t>Contract Items</t>
  </si>
  <si>
    <t xml:space="preserve">            </t>
  </si>
  <si>
    <t>Original Tender Difference</t>
  </si>
  <si>
    <t>Sub-Total Preliminaries</t>
  </si>
  <si>
    <t>SEDIMENT AND EROSION CONTROL</t>
  </si>
  <si>
    <t>Sub-Total Sediment &amp; Erosion Control</t>
  </si>
  <si>
    <t>Clearing, Grubbing and Demolition</t>
  </si>
  <si>
    <t xml:space="preserve">3.2.1       </t>
  </si>
  <si>
    <t xml:space="preserve">3.2.2       </t>
  </si>
  <si>
    <t>Removal of existing infrastructure and services including but not limited to loading, transportation and dumping fees as nominated on the project</t>
  </si>
  <si>
    <t xml:space="preserve">3.2.2.1     </t>
  </si>
  <si>
    <t xml:space="preserve">3.2.2.2     </t>
  </si>
  <si>
    <t xml:space="preserve">3.2.3       </t>
  </si>
  <si>
    <t xml:space="preserve">3.2.4       </t>
  </si>
  <si>
    <t xml:space="preserve">3.2.5       </t>
  </si>
  <si>
    <t xml:space="preserve">3.2.6       </t>
  </si>
  <si>
    <t xml:space="preserve">3.2.7       </t>
  </si>
  <si>
    <t xml:space="preserve">3.2.8       </t>
  </si>
  <si>
    <t xml:space="preserve">3.3.1       </t>
  </si>
  <si>
    <t xml:space="preserve">3.3.2       </t>
  </si>
  <si>
    <t xml:space="preserve">3.3.3       </t>
  </si>
  <si>
    <t xml:space="preserve">3.3.4       </t>
  </si>
  <si>
    <t xml:space="preserve">3.3.5       </t>
  </si>
  <si>
    <t xml:space="preserve">3.3.6       </t>
  </si>
  <si>
    <t xml:space="preserve">3.3.7       </t>
  </si>
  <si>
    <t xml:space="preserve">3.3.8       </t>
  </si>
  <si>
    <t>Sub-Total Earthworks</t>
  </si>
  <si>
    <t>ROADWORKS</t>
  </si>
  <si>
    <t>New Pavements</t>
  </si>
  <si>
    <t>Pavement material complete in place including, but not limited to supply, spreading, moisture control, compaction, and trimming as specified (solid measure)</t>
  </si>
  <si>
    <t xml:space="preserve">4.2.1       </t>
  </si>
  <si>
    <t xml:space="preserve">4.2.1.1     </t>
  </si>
  <si>
    <t xml:space="preserve">4.2.1.2     </t>
  </si>
  <si>
    <t xml:space="preserve">4.2.3       </t>
  </si>
  <si>
    <t xml:space="preserve">4.2.3.1     </t>
  </si>
  <si>
    <t xml:space="preserve">4.2.3.2     </t>
  </si>
  <si>
    <t xml:space="preserve">4.2.4       </t>
  </si>
  <si>
    <t>Pavement A2 - Rental Carpark</t>
  </si>
  <si>
    <t xml:space="preserve">4.2.4.1     </t>
  </si>
  <si>
    <t xml:space="preserve">4.2.4.2     </t>
  </si>
  <si>
    <t xml:space="preserve">4.2.5       </t>
  </si>
  <si>
    <t xml:space="preserve">4.2.5.1     </t>
  </si>
  <si>
    <t xml:space="preserve">4.2.5.2     </t>
  </si>
  <si>
    <t xml:space="preserve">4.2.5.3     </t>
  </si>
  <si>
    <t xml:space="preserve">4.2.6       </t>
  </si>
  <si>
    <t>Pavement B - Public Carpark including Road 3</t>
  </si>
  <si>
    <t xml:space="preserve">4.2.6.1     </t>
  </si>
  <si>
    <t xml:space="preserve">4.2.6.2     </t>
  </si>
  <si>
    <t xml:space="preserve">4.2.6.3     </t>
  </si>
  <si>
    <t>The following concrete works rates are to include an allowance for compaction, finishing and testing</t>
  </si>
  <si>
    <t xml:space="preserve">4.4.1       </t>
  </si>
  <si>
    <t>Concrete kerb and kerb and channel as specified complete in place including, but not limited to transitions at kerb ends, ramps and gullies, and testing</t>
  </si>
  <si>
    <t xml:space="preserve">4.4.1.1     </t>
  </si>
  <si>
    <t xml:space="preserve">4.4.1.2     </t>
  </si>
  <si>
    <t xml:space="preserve">4.4.1.3     </t>
  </si>
  <si>
    <t xml:space="preserve">4.4.2       </t>
  </si>
  <si>
    <t xml:space="preserve">4.4.3       </t>
  </si>
  <si>
    <t xml:space="preserve">4.4.4       </t>
  </si>
  <si>
    <t>Additional concrete works</t>
  </si>
  <si>
    <t xml:space="preserve">4.4.4.1     </t>
  </si>
  <si>
    <t xml:space="preserve">4.4.4.2     </t>
  </si>
  <si>
    <t xml:space="preserve">4.4.4.3     </t>
  </si>
  <si>
    <t xml:space="preserve">4.4.4.4     </t>
  </si>
  <si>
    <t xml:space="preserve">4.4.4.5     </t>
  </si>
  <si>
    <t xml:space="preserve">4.5.1       </t>
  </si>
  <si>
    <t xml:space="preserve">4.5.1.1     </t>
  </si>
  <si>
    <t xml:space="preserve">4.5.1.2     </t>
  </si>
  <si>
    <t xml:space="preserve">4.6.2       </t>
  </si>
  <si>
    <t xml:space="preserve">4.6.2.1     </t>
  </si>
  <si>
    <t xml:space="preserve">4.6.2.2     </t>
  </si>
  <si>
    <t xml:space="preserve">4.7.1       </t>
  </si>
  <si>
    <t xml:space="preserve">4.7.2       </t>
  </si>
  <si>
    <t>Sub-Total Roadworks</t>
  </si>
  <si>
    <t>Reinforced concrete pipework complete in place and including, but not limited to, supply, transportation, excavation, benching and or shoring as required, bedding, laying, jointing, removal of spoil as specified, backfilling, moisture control and compaction</t>
  </si>
  <si>
    <t xml:space="preserve">5.1.1       </t>
  </si>
  <si>
    <t xml:space="preserve">5.1.2       </t>
  </si>
  <si>
    <t xml:space="preserve">5.1.3       </t>
  </si>
  <si>
    <t xml:space="preserve">5.1.4       </t>
  </si>
  <si>
    <t>As nominated on the drawings complete in place and including, but not limited to, supply, transportation, excavation, reinforcement, benching, rendering, 100mm dia slotted uPVC weepholes, step irons, covers and grates as detailed, backfilling, moisture control and compaction</t>
  </si>
  <si>
    <t xml:space="preserve">5.2.1       </t>
  </si>
  <si>
    <t>Manholes  as per IPWEA Std Dwg D-0010 and  IPWEA Std Dwg D-0011 or WRC Std Dwg</t>
  </si>
  <si>
    <t xml:space="preserve">5.2.1.1     </t>
  </si>
  <si>
    <t xml:space="preserve">5.2.1.2     </t>
  </si>
  <si>
    <t xml:space="preserve">5.2.1.3     </t>
  </si>
  <si>
    <t xml:space="preserve">5.3.1       </t>
  </si>
  <si>
    <t xml:space="preserve">5.3.1.1     </t>
  </si>
  <si>
    <t xml:space="preserve">5.3.1.2     </t>
  </si>
  <si>
    <t>On Grade (R)</t>
  </si>
  <si>
    <t xml:space="preserve">5.2.3       </t>
  </si>
  <si>
    <t>Precast Headwalls</t>
  </si>
  <si>
    <t xml:space="preserve">5.2.3.1     </t>
  </si>
  <si>
    <t xml:space="preserve">5.2.3.2     </t>
  </si>
  <si>
    <t xml:space="preserve">5.2.4       </t>
  </si>
  <si>
    <t>Sub-Total Stormwater Drainage</t>
  </si>
  <si>
    <t>Supply and installation of electrical conduits (100 diameter) complete in place including bedding, conuits and marker tape</t>
  </si>
  <si>
    <t>Supply and installation of electrical conduits (40 diameter) complete in place including bedding, conuits and marker tape</t>
  </si>
  <si>
    <t>Supply and installation of communication conduits (100 diameter) complete in place including bedding, conuits and marker tape</t>
  </si>
  <si>
    <t>Sub-Total Electrical &amp; Lighting</t>
  </si>
  <si>
    <t>Service conduit crossings and alterations to existing services, as required, complete in place.</t>
  </si>
  <si>
    <t xml:space="preserve">7.1.1       </t>
  </si>
  <si>
    <t>Water</t>
  </si>
  <si>
    <t xml:space="preserve">PS   </t>
  </si>
  <si>
    <t xml:space="preserve">7.1.2       </t>
  </si>
  <si>
    <t>Sewer</t>
  </si>
  <si>
    <t xml:space="preserve">7.1.3       </t>
  </si>
  <si>
    <t xml:space="preserve">7.2.1       </t>
  </si>
  <si>
    <t>Vehicle Barrier - CCA Treated Log Barrier as per IPWEAQ Standard Drawing SEQ G-042</t>
  </si>
  <si>
    <t xml:space="preserve">7.2.1.1     </t>
  </si>
  <si>
    <t xml:space="preserve">7.2.1.2     </t>
  </si>
  <si>
    <t xml:space="preserve">7.2.1.3     </t>
  </si>
  <si>
    <t xml:space="preserve">7.2.3.1     </t>
  </si>
  <si>
    <t xml:space="preserve">7.2.3.2     </t>
  </si>
  <si>
    <t>Construction Management &amp; Mitigation of Works</t>
  </si>
  <si>
    <t xml:space="preserve">7.3.1       </t>
  </si>
  <si>
    <t>Sub-Total Miscellaneous</t>
  </si>
  <si>
    <t>Gravity Sewerage</t>
  </si>
  <si>
    <t xml:space="preserve">2.1.3       </t>
  </si>
  <si>
    <t xml:space="preserve">2.1.4       </t>
  </si>
  <si>
    <t>Sewage Pump Station</t>
  </si>
  <si>
    <t xml:space="preserve">2.2.1       </t>
  </si>
  <si>
    <t xml:space="preserve">2.2.2       </t>
  </si>
  <si>
    <t xml:space="preserve">2.2.3       </t>
  </si>
  <si>
    <t xml:space="preserve">2.2.4       </t>
  </si>
  <si>
    <t xml:space="preserve">2.2.5       </t>
  </si>
  <si>
    <t xml:space="preserve">2.2.6       </t>
  </si>
  <si>
    <t xml:space="preserve">2.3.1       </t>
  </si>
  <si>
    <t xml:space="preserve">2.3.2       </t>
  </si>
  <si>
    <t xml:space="preserve">2.4.1       </t>
  </si>
  <si>
    <t xml:space="preserve">2.4.2       </t>
  </si>
  <si>
    <t xml:space="preserve">2.4.3       </t>
  </si>
  <si>
    <t xml:space="preserve">2.4.4       </t>
  </si>
  <si>
    <t xml:space="preserve">2.5.1       </t>
  </si>
  <si>
    <t>Sub-Total Sewer Works</t>
  </si>
  <si>
    <t>SEWERAGE TREATMENT AND DISPOSAL</t>
  </si>
  <si>
    <t>Supply and installation on hardstand of 30,000L wet weather storage tanks, including balance pipe, fitting and hold downs complete. (PC Item)</t>
  </si>
  <si>
    <t>Sub-Total Sewerage Treatment and Disposal</t>
  </si>
  <si>
    <t>Variations</t>
  </si>
  <si>
    <t xml:space="preserve">PV01        </t>
  </si>
  <si>
    <t>Changes In Tender Drawings - Nullify Line Item 1.10.</t>
  </si>
  <si>
    <t>Additional Spray Seal (BOQ Item 4.5.2.1)</t>
  </si>
  <si>
    <t>Additional AC (BOQ Item 4.5.2.2)</t>
  </si>
  <si>
    <t>Additional Line Marking (BOQ Item 4.6.1)</t>
  </si>
  <si>
    <t>Total, all contract items and variations</t>
  </si>
  <si>
    <t>%C - Claim 01</t>
  </si>
  <si>
    <t>%C - Claim 02</t>
  </si>
  <si>
    <t>%C - Claim 03</t>
  </si>
  <si>
    <t>%C - Claim 04</t>
  </si>
  <si>
    <t>%C - Claim 05</t>
  </si>
  <si>
    <t>%C - Claim 06</t>
  </si>
  <si>
    <t>%C - Claim 07</t>
  </si>
  <si>
    <t>%C - Claim 08</t>
  </si>
  <si>
    <t>BAC</t>
  </si>
  <si>
    <t>BAC Rate</t>
  </si>
  <si>
    <t>Final Qty</t>
  </si>
  <si>
    <t>Final Cost</t>
  </si>
  <si>
    <t>Final Rate</t>
  </si>
  <si>
    <t>SQ</t>
  </si>
  <si>
    <t>AQ</t>
  </si>
  <si>
    <t>AC</t>
  </si>
  <si>
    <t>PQ</t>
  </si>
  <si>
    <t>PV</t>
  </si>
  <si>
    <t>EV</t>
  </si>
  <si>
    <t>Survey - Construction</t>
  </si>
  <si>
    <t>hrs</t>
  </si>
  <si>
    <t>QA Testing</t>
  </si>
  <si>
    <t>item</t>
  </si>
  <si>
    <t>Service Locations</t>
  </si>
  <si>
    <t>Clearing to Stockpile</t>
  </si>
  <si>
    <r>
      <t>m</t>
    </r>
    <r>
      <rPr>
        <vertAlign val="superscript"/>
        <sz val="11"/>
        <color theme="1"/>
        <rFont val="Calibri"/>
        <family val="2"/>
        <scheme val="minor"/>
      </rPr>
      <t>3</t>
    </r>
  </si>
  <si>
    <t>Disposal offsite - Clearing waste</t>
  </si>
  <si>
    <t>Mulching</t>
  </si>
  <si>
    <t>Strip Topsoil to Stockpile</t>
  </si>
  <si>
    <t>Disposal offsite - topsoil</t>
  </si>
  <si>
    <t>Re-spread topsoil</t>
  </si>
  <si>
    <t>Demolition works</t>
  </si>
  <si>
    <t>Cut to Fill</t>
  </si>
  <si>
    <t>Stockpile to Fill</t>
  </si>
  <si>
    <t>Cut to Spoil</t>
  </si>
  <si>
    <t>Remove &amp; Replace unsuitable</t>
  </si>
  <si>
    <t>Subgrade Preparation</t>
  </si>
  <si>
    <r>
      <t>m</t>
    </r>
    <r>
      <rPr>
        <vertAlign val="superscript"/>
        <sz val="11"/>
        <color theme="1"/>
        <rFont val="Calibri"/>
        <family val="2"/>
        <scheme val="minor"/>
      </rPr>
      <t>2</t>
    </r>
  </si>
  <si>
    <t>Place &amp; Compact Gravel</t>
  </si>
  <si>
    <t>Trim All Layers</t>
  </si>
  <si>
    <t>Sweep &amp; Prime / Primer seal or Seal</t>
  </si>
  <si>
    <t>Asphalt</t>
  </si>
  <si>
    <t>Linemarking</t>
  </si>
  <si>
    <t>Install Road Furniture</t>
  </si>
  <si>
    <t>each</t>
  </si>
  <si>
    <t>In-situ Stabilising</t>
  </si>
  <si>
    <t>Place Kerb &amp; Channel / Inverts</t>
  </si>
  <si>
    <t>m</t>
  </si>
  <si>
    <t>Form &amp; Place Footpath</t>
  </si>
  <si>
    <t>&gt; 450</t>
  </si>
  <si>
    <t>Install SW Pits &amp; Chambers</t>
  </si>
  <si>
    <t>Sewer Sub-contractors</t>
  </si>
  <si>
    <t>Water Sub-contractor</t>
  </si>
  <si>
    <t>Install Conduits / pits / rag bolts</t>
  </si>
  <si>
    <t>Electrical Conduit Sub-contractor</t>
  </si>
  <si>
    <t>Electrical Sub-contract works</t>
  </si>
  <si>
    <t>Landscaping Sub-contractors</t>
  </si>
  <si>
    <t>Fencing Sub-contractors</t>
  </si>
  <si>
    <t>Traffic Controllers</t>
  </si>
  <si>
    <t>Hire of Control Devices</t>
  </si>
  <si>
    <t>week</t>
  </si>
  <si>
    <t>Supply &amp; Place Silt fences &amp; protective devices</t>
  </si>
  <si>
    <t>Supply &amp; install safety devices</t>
  </si>
  <si>
    <t>Day Works</t>
  </si>
  <si>
    <t>Project Management</t>
  </si>
  <si>
    <t>Project Facilities</t>
  </si>
  <si>
    <t>Project Insurance, Fees &amp; Levies</t>
  </si>
  <si>
    <t>Site Establishment</t>
  </si>
  <si>
    <t>De-Establishment &amp; Cleanup</t>
  </si>
  <si>
    <t>25 Mpa</t>
  </si>
  <si>
    <t>32 Mpa</t>
  </si>
  <si>
    <t>Kerb Mix</t>
  </si>
  <si>
    <t xml:space="preserve">Cement Powder ( stabilising) </t>
  </si>
  <si>
    <t>Conduits</t>
  </si>
  <si>
    <t>Miscellaneous (rope, glue, plugs etc)</t>
  </si>
  <si>
    <t>Pits &amp; Lids</t>
  </si>
  <si>
    <t>Signs</t>
  </si>
  <si>
    <t>Straight / Bent Bar</t>
  </si>
  <si>
    <t>Mesh</t>
  </si>
  <si>
    <t>Headwalls</t>
  </si>
  <si>
    <t>Grates, Frames &amp; Lids</t>
  </si>
  <si>
    <t>RCP</t>
  </si>
  <si>
    <t>Wet Weather Allowance for labourers for down time</t>
  </si>
  <si>
    <t>Rock</t>
  </si>
  <si>
    <t>Revenue Claim 01</t>
  </si>
  <si>
    <t>Revenue Claim 02</t>
  </si>
  <si>
    <t>Revenue Claim 03</t>
  </si>
  <si>
    <t>Revenue Claim 04</t>
  </si>
  <si>
    <t>Revenue Claim 05</t>
  </si>
  <si>
    <t>Revenue Claim 06</t>
  </si>
  <si>
    <t>Revenue Claim 07</t>
  </si>
  <si>
    <t>Revenue Claim 08</t>
  </si>
  <si>
    <t>Tender Budget</t>
  </si>
  <si>
    <t>Date</t>
  </si>
  <si>
    <t>Resource</t>
  </si>
  <si>
    <t>BOQ No.</t>
  </si>
  <si>
    <t>Survey Team - Inv SI3624729</t>
  </si>
  <si>
    <t xml:space="preserve">Surveyor                 </t>
  </si>
  <si>
    <t>Survey Team - Inv SI3626127</t>
  </si>
  <si>
    <t>Survey Team - Inv SI3627800</t>
  </si>
  <si>
    <t>Survey Team  Inv - SI3630067</t>
  </si>
  <si>
    <t>Survey Team  Inv - SI3631479</t>
  </si>
  <si>
    <t>Survey Team Inv No Si3633885</t>
  </si>
  <si>
    <t xml:space="preserve">Subtotal for 011                   </t>
  </si>
  <si>
    <t>Survey Team - Inv SI3621340</t>
  </si>
  <si>
    <t>Inv No - SI3636319</t>
  </si>
  <si>
    <t xml:space="preserve">Field Density            </t>
  </si>
  <si>
    <t>Inv 69103134</t>
  </si>
  <si>
    <t>Inv 69103259</t>
  </si>
  <si>
    <t>Inv 69103326</t>
  </si>
  <si>
    <t>inv 69121055</t>
  </si>
  <si>
    <t>Inv 69121114</t>
  </si>
  <si>
    <t>Inv 69121246 - Compressive test</t>
  </si>
  <si>
    <t>inv-69121327</t>
  </si>
  <si>
    <t>inv -69121355</t>
  </si>
  <si>
    <t>Survey Team  Moisture Dentisty Relationship  Inv - 69121624</t>
  </si>
  <si>
    <t>Survey Team  Inv - CBW 69121780</t>
  </si>
  <si>
    <t xml:space="preserve">Subtotal for 013                   </t>
  </si>
  <si>
    <t>Inv 102480</t>
  </si>
  <si>
    <t xml:space="preserve">Service Locator          </t>
  </si>
  <si>
    <t xml:space="preserve"> Inv - 102578</t>
  </si>
  <si>
    <t>Survey Team  Inv - 102651</t>
  </si>
  <si>
    <t xml:space="preserve">Subtotal for 015                   </t>
  </si>
  <si>
    <t>20 Tonne Excavator Hire</t>
  </si>
  <si>
    <t xml:space="preserve">Berry Excavations - 20T  </t>
  </si>
  <si>
    <t>Tipper Hire</t>
  </si>
  <si>
    <t xml:space="preserve">K.C Truck Hire           </t>
  </si>
  <si>
    <t>Berry Excavations -Tipper</t>
  </si>
  <si>
    <t>Chainsaw Hire - Flexihire</t>
  </si>
  <si>
    <t xml:space="preserve">Chainsaw                 </t>
  </si>
  <si>
    <t xml:space="preserve">Pollards Earthmoving     </t>
  </si>
  <si>
    <t xml:space="preserve">Lovell Earthmoving       </t>
  </si>
  <si>
    <t xml:space="preserve">Subtotal for 021                   </t>
  </si>
  <si>
    <t>Dry Hire - Grader Hire</t>
  </si>
  <si>
    <t xml:space="preserve">Puccini Plant Hire       </t>
  </si>
  <si>
    <t xml:space="preserve">Michael J Biles          </t>
  </si>
  <si>
    <t>Backhoe Hire</t>
  </si>
  <si>
    <t xml:space="preserve">McDowall Earthmoving     </t>
  </si>
  <si>
    <t xml:space="preserve">Subtotal for 031                   </t>
  </si>
  <si>
    <t xml:space="preserve">Subtotal for 033                   </t>
  </si>
  <si>
    <t xml:space="preserve">Raymond Truck Hire       </t>
  </si>
  <si>
    <t>Side Tipper Hire</t>
  </si>
  <si>
    <t xml:space="preserve">Subtotal for 041                   </t>
  </si>
  <si>
    <t>Pad Foot Roller - Flexihire</t>
  </si>
  <si>
    <t xml:space="preserve">PF Roller                </t>
  </si>
  <si>
    <t>SD Roller - Flexihire</t>
  </si>
  <si>
    <t xml:space="preserve">SD Roller                </t>
  </si>
  <si>
    <t>5T Twin Drum Roller</t>
  </si>
  <si>
    <t xml:space="preserve">Twin Drum Roller         </t>
  </si>
  <si>
    <t>Pad Foot Roller - Dry - Flexihire</t>
  </si>
  <si>
    <t>SD Roller - Dry - Flexihire</t>
  </si>
  <si>
    <t>Pad Foot Roller - Dry  Inv - 253679</t>
  </si>
  <si>
    <t xml:space="preserve">Subtotal for 051                   </t>
  </si>
  <si>
    <t xml:space="preserve">Copp &amp; Co Plant Hire </t>
  </si>
  <si>
    <t>Location of Services Inv 102382</t>
  </si>
  <si>
    <t>Hire trash Pump &amp; Hoses - Delivery</t>
  </si>
  <si>
    <t xml:space="preserve">Pump                     </t>
  </si>
  <si>
    <t>Hire trash Pump &amp; Hoses - 24/5/11 to 31/5/11</t>
  </si>
  <si>
    <t>Hire trash Pump &amp; Hoses</t>
  </si>
  <si>
    <t>Truck Driver</t>
  </si>
  <si>
    <t xml:space="preserve">PR &amp; HT Gourlay          </t>
  </si>
  <si>
    <t xml:space="preserve">Talbot Earthmoving       </t>
  </si>
  <si>
    <t>Tipper Hire x 2</t>
  </si>
  <si>
    <t xml:space="preserve">Askew Truck Hire         </t>
  </si>
  <si>
    <t>Dozer Hire</t>
  </si>
  <si>
    <t xml:space="preserve">Allans Earthmoving       </t>
  </si>
  <si>
    <t>Grader Operator</t>
  </si>
  <si>
    <t xml:space="preserve">Barry Thompson           </t>
  </si>
  <si>
    <t>SD Roller - Dry - flexi hire</t>
  </si>
  <si>
    <t>labour</t>
  </si>
  <si>
    <t>truck hire</t>
  </si>
  <si>
    <t xml:space="preserve">Subtotal for 052                   </t>
  </si>
  <si>
    <t xml:space="preserve">Subtotal for 053                   </t>
  </si>
  <si>
    <t xml:space="preserve">CAT297 Stabiliser        </t>
  </si>
  <si>
    <t xml:space="preserve">UD Spreader              </t>
  </si>
  <si>
    <t>project supervisor</t>
  </si>
  <si>
    <t xml:space="preserve">Subtotal for 057                   </t>
  </si>
  <si>
    <t>Bulk GP / GB Cement - Inv 8161557</t>
  </si>
  <si>
    <t xml:space="preserve">Cement                   </t>
  </si>
  <si>
    <t>Delivery Costs - Inv 8161557</t>
  </si>
  <si>
    <t xml:space="preserve">Freight                  </t>
  </si>
  <si>
    <t xml:space="preserve">Subtotal for 061                   </t>
  </si>
  <si>
    <t>Plate Compactor - Dry Hire Inv - 2511181</t>
  </si>
  <si>
    <t xml:space="preserve">Plate Compactor          </t>
  </si>
  <si>
    <t>SD Roller - Dry  Inv  2563991</t>
  </si>
  <si>
    <t xml:space="preserve"> Inv - 257484</t>
  </si>
  <si>
    <t xml:space="preserve">MW Roller                </t>
  </si>
  <si>
    <t>SD Roller -  Damage Waiver Inv - 260718</t>
  </si>
  <si>
    <t xml:space="preserve">Insurances               </t>
  </si>
  <si>
    <t>SD Roller - DryFrom the 30/09/2011 to the 31/10/2011 Inv - 260718</t>
  </si>
  <si>
    <t xml:space="preserve">Subtotal for 062                   </t>
  </si>
  <si>
    <t xml:space="preserve"> flexi hire</t>
  </si>
  <si>
    <t xml:space="preserve">Subtotal for 063                   </t>
  </si>
  <si>
    <t>Inv AQCQB4008-001</t>
  </si>
  <si>
    <t xml:space="preserve">7mm Aggregate            </t>
  </si>
  <si>
    <t>Primer Seal - Subcontract Rate sqm - Inv 264740</t>
  </si>
  <si>
    <t xml:space="preserve">Primer Seal              </t>
  </si>
  <si>
    <t>Inv - 256400</t>
  </si>
  <si>
    <t xml:space="preserve">Twin Drum Droller        </t>
  </si>
  <si>
    <t>Primer Seal - Subcontract Rate sqm     Inv - 00264926</t>
  </si>
  <si>
    <t xml:space="preserve">Subtotal for 064                   </t>
  </si>
  <si>
    <t>( Water Truck )</t>
  </si>
  <si>
    <t xml:space="preserve">Talbots                  </t>
  </si>
  <si>
    <t>Primer Seal - Subcontract Rate sqm  Inv - 5613257 RI</t>
  </si>
  <si>
    <t xml:space="preserve">Subtotal for 065                   </t>
  </si>
  <si>
    <t>Inv - 01286732</t>
  </si>
  <si>
    <t xml:space="preserve">Line Marking             </t>
  </si>
  <si>
    <t>Line Marking of the Whitsunday Airport            Inv - 19027</t>
  </si>
  <si>
    <t>Inv No - 20052</t>
  </si>
  <si>
    <t xml:space="preserve">Subtotal for 066                   </t>
  </si>
  <si>
    <t>Rock Hammer  Inv - 10136</t>
  </si>
  <si>
    <t xml:space="preserve">Hammer                   </t>
  </si>
  <si>
    <t>( Bobcat Hire )</t>
  </si>
  <si>
    <t>Labour Hire</t>
  </si>
  <si>
    <t xml:space="preserve">Labour Hire </t>
  </si>
  <si>
    <t>Labour Day Works</t>
  </si>
  <si>
    <t xml:space="preserve">Subtotal for 067                   </t>
  </si>
  <si>
    <t>SD Rolle 13 Tonne Hire from the 31/10/2011 to the 1/11/2011 Inv No 261473</t>
  </si>
  <si>
    <t xml:space="preserve">Subtotal for 068                   </t>
  </si>
  <si>
    <t>Brass Kerb Markers - Inv 19198</t>
  </si>
  <si>
    <t xml:space="preserve">Kerb Adaptors            </t>
  </si>
  <si>
    <t>Slab on Ground Inv 32</t>
  </si>
  <si>
    <t xml:space="preserve">Concrete Subbie          </t>
  </si>
  <si>
    <t>Concrete Sub-contractor (Slab on Ground)                  Inv - 401</t>
  </si>
  <si>
    <t xml:space="preserve">Concrete Sub-contract    </t>
  </si>
  <si>
    <t>1456 L/M of Various Kerb</t>
  </si>
  <si>
    <t xml:space="preserve">Kerb Subbie              </t>
  </si>
  <si>
    <t>Inv 956508</t>
  </si>
  <si>
    <t>Entrance to traffic Island &amp; Parking.                    Inv No - 95611</t>
  </si>
  <si>
    <t xml:space="preserve">Subtotal for 071                   </t>
  </si>
  <si>
    <t>inv-00019291 Bar Chairs, Tie Wire, Crane Truck Hire</t>
  </si>
  <si>
    <t xml:space="preserve">Pipes                    </t>
  </si>
  <si>
    <t>inv-00019291 Square Rib Mesh</t>
  </si>
  <si>
    <t>Slab on Ground Inv - 32</t>
  </si>
  <si>
    <t>Concrete Sub-contractor (Slab on Ground)                  Inv - 40</t>
  </si>
  <si>
    <t>Concrete Sub-contractor (Slab on Ground)                     Inv - 40</t>
  </si>
  <si>
    <t>Set and place footpaths  Inv - 40</t>
  </si>
  <si>
    <t>Concrete Sub-contractor (Slab on Ground) 
  Inv - 40</t>
  </si>
  <si>
    <t>Pram &amp; Baggage Entrance.  Inv No 956511</t>
  </si>
  <si>
    <t>Pram ramp &amp; Baggage Entrance .                    Inv No - 956511</t>
  </si>
  <si>
    <t xml:space="preserve">Subtotal for 073                   </t>
  </si>
  <si>
    <t>Inv 103</t>
  </si>
  <si>
    <t xml:space="preserve">Sewer Subbie             </t>
  </si>
  <si>
    <t xml:space="preserve"> Inv - 286428</t>
  </si>
  <si>
    <t>inv 00000026</t>
  </si>
  <si>
    <t xml:space="preserve">  Inv - 00000026</t>
  </si>
  <si>
    <t xml:space="preserve">Subtotal for 081                   </t>
  </si>
  <si>
    <t>Hire of Concrete Saw &amp; Diamond Blade inv-248738</t>
  </si>
  <si>
    <t>Concrete Saw &amp; Diamond Bl</t>
  </si>
  <si>
    <t>Inv 18</t>
  </si>
  <si>
    <t>Inv - 285869</t>
  </si>
  <si>
    <t xml:space="preserve"> Inv - 00000026</t>
  </si>
  <si>
    <t>Inv - 00000026</t>
  </si>
  <si>
    <t xml:space="preserve">Subtotal for 085                   </t>
  </si>
  <si>
    <t>Tanks - Freight Inv I26559</t>
  </si>
  <si>
    <t xml:space="preserve">Tanks                    </t>
  </si>
  <si>
    <t>Tanks - Inv I26559</t>
  </si>
  <si>
    <t>Inv 98</t>
  </si>
  <si>
    <t>Hire of Concrete Saw &amp; Diamond Blade</t>
  </si>
  <si>
    <t>Inv 099</t>
  </si>
  <si>
    <t>Inv 143743228 - Visiball Water Kevel Indicator</t>
  </si>
  <si>
    <t>Inv C29</t>
  </si>
  <si>
    <t>Inv - 19</t>
  </si>
  <si>
    <t>Inv 00000026</t>
  </si>
  <si>
    <t>Inv No - 0562</t>
  </si>
  <si>
    <t xml:space="preserve">Subtotal for 095                   </t>
  </si>
  <si>
    <t>Inv 99</t>
  </si>
  <si>
    <t>Inv No 130</t>
  </si>
  <si>
    <t xml:space="preserve">Water Subbie             </t>
  </si>
  <si>
    <t xml:space="preserve">Subtotal for 103                   </t>
  </si>
  <si>
    <t>Inv 100</t>
  </si>
  <si>
    <t>Inv - 6585</t>
  </si>
  <si>
    <t xml:space="preserve">Electrical Pit - Precast </t>
  </si>
  <si>
    <t>Terry Flanagan Backhoe Hire</t>
  </si>
  <si>
    <t xml:space="preserve">Terry Flanagan           </t>
  </si>
  <si>
    <t>Coring into man hole, hand drilles &amp; Generator &amp; Water Tank Hire.</t>
  </si>
  <si>
    <t xml:space="preserve">Subtotal for 111                   </t>
  </si>
  <si>
    <t>Service Call to Oziklean sewrage treatment plant.  Inv N0 - 94</t>
  </si>
  <si>
    <t xml:space="preserve">Electrician              </t>
  </si>
  <si>
    <t xml:space="preserve">Subtotal for 112                   </t>
  </si>
  <si>
    <t>Inv 57</t>
  </si>
  <si>
    <t>inv 69</t>
  </si>
  <si>
    <t>Drainage Aggregate Inv - 18</t>
  </si>
  <si>
    <t>Inv - 80</t>
  </si>
  <si>
    <t>Inv - 82</t>
  </si>
  <si>
    <t>Inv -  81</t>
  </si>
  <si>
    <t>Sewer Treatment Plant Power                                          Inv - 85</t>
  </si>
  <si>
    <t xml:space="preserve"> Final Payment Inv - 84</t>
  </si>
  <si>
    <t xml:space="preserve">Subtotal for 113                   </t>
  </si>
  <si>
    <t>Hydromulching of Proserpine Airport Inv- 6075</t>
  </si>
  <si>
    <t xml:space="preserve">landscaping              </t>
  </si>
  <si>
    <t xml:space="preserve">Subtotal for 121                   </t>
  </si>
  <si>
    <t xml:space="preserve"> Hire of Temperary Fencing Inv- 206662</t>
  </si>
  <si>
    <t xml:space="preserve">Fencing                  </t>
  </si>
  <si>
    <t>Purchase of Gate and posts Inv 23131</t>
  </si>
  <si>
    <t xml:space="preserve">Gates                    </t>
  </si>
  <si>
    <t>Inv 6204</t>
  </si>
  <si>
    <t xml:space="preserve">Fencing Subbie           </t>
  </si>
  <si>
    <t xml:space="preserve"> Inv - 6205</t>
  </si>
  <si>
    <t>Inv 369935</t>
  </si>
  <si>
    <t xml:space="preserve">Subtotal for 131                   </t>
  </si>
  <si>
    <t xml:space="preserve"> Hire of Temperary Fencing. Inv N0 - 1202090</t>
  </si>
  <si>
    <t xml:space="preserve">Subtotal for 134                   </t>
  </si>
  <si>
    <t>General signs - Inv ACC18308</t>
  </si>
  <si>
    <t xml:space="preserve">Signs - General          </t>
  </si>
  <si>
    <t>Traffic Controller with Vehicle  Inv - 18019</t>
  </si>
  <si>
    <t xml:space="preserve">Traffic Controller       </t>
  </si>
  <si>
    <t>Docket No 14924        Inv- 19797</t>
  </si>
  <si>
    <t xml:space="preserve">Wheel Stops              </t>
  </si>
  <si>
    <t>Traffic Control Bruce Hwy Proserpine 20/09/2011  Inv - 19027</t>
  </si>
  <si>
    <t xml:space="preserve">Subtotal for 141                   </t>
  </si>
  <si>
    <t>Inv - In-8188186 - Various signs</t>
  </si>
  <si>
    <t>Inv IN-8188204 - BEP Lateral Shift Marker &amp; Cardi Clamp Box edge</t>
  </si>
  <si>
    <t>Traffic Controller with Vehicle  Inv - 18798</t>
  </si>
  <si>
    <t xml:space="preserve">Subtotal for 142                   </t>
  </si>
  <si>
    <t xml:space="preserve">Subtotal for 151                   </t>
  </si>
  <si>
    <t xml:space="preserve">Barrier Mesh             </t>
  </si>
  <si>
    <t xml:space="preserve">Pickets                  </t>
  </si>
  <si>
    <t>Inv 8467/22232 Cable Ties</t>
  </si>
  <si>
    <t xml:space="preserve">Small Tools              </t>
  </si>
  <si>
    <t xml:space="preserve">Subtotal for 152                   </t>
  </si>
  <si>
    <t>Inv - 177227-251</t>
  </si>
  <si>
    <t xml:space="preserve">PVC Conduit              </t>
  </si>
  <si>
    <t xml:space="preserve">Subtotal for 191                   </t>
  </si>
  <si>
    <t>Project Technical Officer</t>
  </si>
  <si>
    <t xml:space="preserve">WHSO                     </t>
  </si>
  <si>
    <t xml:space="preserve">Subtotal for 901                   </t>
  </si>
  <si>
    <t xml:space="preserve">Project Supervisor       </t>
  </si>
  <si>
    <t xml:space="preserve">Subtotal for 902                   </t>
  </si>
  <si>
    <t>Inv 117746</t>
  </si>
  <si>
    <t xml:space="preserve">Container                </t>
  </si>
  <si>
    <t>Tiolet - Delivery</t>
  </si>
  <si>
    <t xml:space="preserve">Crib Facilities          </t>
  </si>
  <si>
    <t>Tiolet - Weekly Rate</t>
  </si>
  <si>
    <t>Site Office - Delivery</t>
  </si>
  <si>
    <t>Site Office Weekly rate</t>
  </si>
  <si>
    <t xml:space="preserve"> Tiolet - Weekly Rate.</t>
  </si>
  <si>
    <t>Site Office Weekly Rate</t>
  </si>
  <si>
    <t>Tiolet - Weekly rate</t>
  </si>
  <si>
    <t>Inv 210236018 - garbage Bin &amp; Bags</t>
  </si>
  <si>
    <t>Site OfficeWeekly Rate</t>
  </si>
  <si>
    <t>9/6/11 to 30/6/11 - Inv243896</t>
  </si>
  <si>
    <t>Tiolet Hire - 7/6/11 to 30/6/11 Inv 243895</t>
  </si>
  <si>
    <t>Tiolet, 1 Pump out during project. Inv 247671</t>
  </si>
  <si>
    <t>Hire of Concrete Saw &amp; Diamond Blade - Inv 247675</t>
  </si>
  <si>
    <t>Site Office - Inv 247672</t>
  </si>
  <si>
    <t>Accommodation Fred Giardina inv 55494</t>
  </si>
  <si>
    <t xml:space="preserve">Accommodation            </t>
  </si>
  <si>
    <t>Accommodation for Fred Giardina inv 55495</t>
  </si>
  <si>
    <t>Inv - 252046 Generator</t>
  </si>
  <si>
    <t>Site Office &amp; Tiolet, 1 Pump out during project. Inv - 252043</t>
  </si>
  <si>
    <t>Site Office &amp; Tiolet, 1 Pump out during project. Inv- 252042</t>
  </si>
  <si>
    <t>Project Insurances Inv - 252046 Generator</t>
  </si>
  <si>
    <t>chemical Toilets  Inv 256397.</t>
  </si>
  <si>
    <t>Hire of Office Shell, fridge microwave, tables chairs  Inv - 256398</t>
  </si>
  <si>
    <t>generator</t>
  </si>
  <si>
    <t xml:space="preserve">Generator                </t>
  </si>
  <si>
    <t>Site Office &amp; Tiolet, 1 Pump out during project. From the 30/09/2011 to the 31/10/2011        Inv - 260717</t>
  </si>
  <si>
    <t>Generator 10 KVA</t>
  </si>
  <si>
    <t>Foreman</t>
  </si>
  <si>
    <t xml:space="preserve"> Office,Fridge,Microwave,Table &amp; Chairs   Hired from the 31/10/2011 to the 30/11/2011        Inv No - 265608</t>
  </si>
  <si>
    <t xml:space="preserve">Subtotal for 903                   </t>
  </si>
  <si>
    <t>Project Insurances - Inv I0923625</t>
  </si>
  <si>
    <t>Project Insurances - QLeave</t>
  </si>
  <si>
    <t>Damage Waiver for Chainsaw hire - Flexihire Inv 237992</t>
  </si>
  <si>
    <t>Hire trash Pump &amp; Hoses - Damage Waiver</t>
  </si>
  <si>
    <t>Damage Waiver - Site Office Inv 243896</t>
  </si>
  <si>
    <t xml:space="preserve">Damage Waiver </t>
  </si>
  <si>
    <t>Damage waiver fees - Pump Hire Inv 243894</t>
  </si>
  <si>
    <t>Damage Waiver - PF Roller Inv 243893</t>
  </si>
  <si>
    <t>Damage Waiver - Toilet Inv 243895</t>
  </si>
  <si>
    <t>Project Insurances - Inv 244648</t>
  </si>
  <si>
    <t>Project Insurances - Damage Waiver Fees inv 247675</t>
  </si>
  <si>
    <t>Project Insurances - Inv 247672</t>
  </si>
  <si>
    <t>Project Insurances - Damage Waiver inv 247671</t>
  </si>
  <si>
    <t>inv -248738 Damage Waver</t>
  </si>
  <si>
    <t xml:space="preserve">Subtotal for 904                   </t>
  </si>
  <si>
    <t>Bar guards for Steel posts</t>
  </si>
  <si>
    <t>12 x Spray &amp; Mark Inv 200108848</t>
  </si>
  <si>
    <t>Fittings for Honda pump</t>
  </si>
  <si>
    <t>Honda Pump</t>
  </si>
  <si>
    <t>Cutting Edges - Puccini Grader</t>
  </si>
  <si>
    <t xml:space="preserve">Cutting Edges            </t>
  </si>
  <si>
    <t>Pipelifter - Longshank</t>
  </si>
  <si>
    <t>Inv 8467/21938</t>
  </si>
  <si>
    <t>Inv 8186699</t>
  </si>
  <si>
    <t>Inv 8467/22567</t>
  </si>
  <si>
    <t>Cable Ties</t>
  </si>
  <si>
    <t>Chain Sling</t>
  </si>
  <si>
    <t>Inv 8467/22839 - 3 x  Paint Spray</t>
  </si>
  <si>
    <t xml:space="preserve">inv- 8467/22839 </t>
  </si>
  <si>
    <t>inv- 8467/22877</t>
  </si>
  <si>
    <t>inv-00019291</t>
  </si>
  <si>
    <t xml:space="preserve">Swift Lifters            </t>
  </si>
  <si>
    <t>Inv - 8467/23244</t>
  </si>
  <si>
    <t>Inv - 8226740  RodThreded Dog, Wheel Metal Ultra Thin, Battery Energizer.</t>
  </si>
  <si>
    <t>inv-8467/23448</t>
  </si>
  <si>
    <t>inv- 8467-23472</t>
  </si>
  <si>
    <t xml:space="preserve"> Cartridges Inv -8593</t>
  </si>
  <si>
    <t>Labour  Inv- 8467/23592</t>
  </si>
  <si>
    <t xml:space="preserve">  Inv - 8467/24169</t>
  </si>
  <si>
    <t>Rack s  Inv - 8467/24169</t>
  </si>
  <si>
    <t>Hose Garden, Hose Fittings,  Inv - 8467/25098</t>
  </si>
  <si>
    <t>Acid Hydro Spirit, Batteries Inv - 8467/25090</t>
  </si>
  <si>
    <t xml:space="preserve">Subtotal for 905                   </t>
  </si>
  <si>
    <t>Silt Fence &amp; Cable Ties</t>
  </si>
  <si>
    <t xml:space="preserve">Silt Fence               </t>
  </si>
  <si>
    <t>Inv 189 - Float Grader to Whitsunday Airport</t>
  </si>
  <si>
    <t xml:space="preserve">Float                    </t>
  </si>
  <si>
    <t>Deliver container to site Inv 1026</t>
  </si>
  <si>
    <t xml:space="preserve"> Float of Dozer</t>
  </si>
  <si>
    <t>Inv 7681</t>
  </si>
  <si>
    <t xml:space="preserve">Spill Kit                </t>
  </si>
  <si>
    <t>Float of Dozer Offsite</t>
  </si>
  <si>
    <t>Delivery of Office - Inv 243896</t>
  </si>
  <si>
    <t>SD Roller - Delivery</t>
  </si>
  <si>
    <t>Delivery of toilet - Inv 243895</t>
  </si>
  <si>
    <t>Inv- 6493 Float Excavator</t>
  </si>
  <si>
    <t>Mini  Float Airport Inv- 4826</t>
  </si>
  <si>
    <t>Mini Excavator with Hammer Doket No 17650  Inv- 4826</t>
  </si>
  <si>
    <t>Inv No - 97</t>
  </si>
  <si>
    <t xml:space="preserve">Subtotal for 907                   </t>
  </si>
  <si>
    <t>Leading Hand</t>
  </si>
  <si>
    <t xml:space="preserve">Subtotal for 910                   </t>
  </si>
  <si>
    <t>N25 Concrete - Inv 7329</t>
  </si>
  <si>
    <t xml:space="preserve">N25                      </t>
  </si>
  <si>
    <t>N25 Concrete inv 7578</t>
  </si>
  <si>
    <t>N25 Concrete inv 7598</t>
  </si>
  <si>
    <t>N25 Concrete Inv- 7624</t>
  </si>
  <si>
    <t>N25 Concrete Inv 7620</t>
  </si>
  <si>
    <t>N25 Concrete Inv- 7634</t>
  </si>
  <si>
    <t>N25 Concrete Inv-7642</t>
  </si>
  <si>
    <t>N25 Concrete Inv- 7655</t>
  </si>
  <si>
    <t>N25 Concrete Inv- 7689</t>
  </si>
  <si>
    <t>N25 Concrete  Inv  - 7764</t>
  </si>
  <si>
    <t>Dock - 3257  Inv - 7881</t>
  </si>
  <si>
    <t xml:space="preserve">concrete                 </t>
  </si>
  <si>
    <t>N25 Concrete  Inv - 7880</t>
  </si>
  <si>
    <t xml:space="preserve"> Doc 3276   Inv - 7903</t>
  </si>
  <si>
    <t>Doc - 3288  Inv - 7907</t>
  </si>
  <si>
    <t xml:space="preserve"> Doc 3304   Inv- 7927</t>
  </si>
  <si>
    <t>Doc - 3309   Inv - 7932</t>
  </si>
  <si>
    <t>Doc - 3309 - Inv - 7932</t>
  </si>
  <si>
    <t xml:space="preserve">Doc  - 3327  Inv 7939
</t>
  </si>
  <si>
    <t xml:space="preserve">  Doc - 3349  Inv7999</t>
  </si>
  <si>
    <t>Doc - 3293/3294 - Inv - 7920</t>
  </si>
  <si>
    <t>N25 Concrete Inv No - 8405</t>
  </si>
  <si>
    <t>N25 Concrete - Inv 8685</t>
  </si>
  <si>
    <t>N25 Concrete Inv No - 66983955</t>
  </si>
  <si>
    <t xml:space="preserve">Subtotal for C25                   </t>
  </si>
  <si>
    <t>N32 Concrete - inv 7491</t>
  </si>
  <si>
    <t xml:space="preserve">N32                      </t>
  </si>
  <si>
    <t>N32 Concrete - inv 7510</t>
  </si>
  <si>
    <t>N32 Concrete- inv 7555</t>
  </si>
  <si>
    <t>N32 Concrete- inv 7559</t>
  </si>
  <si>
    <t>N25 Concrete Inv- 7619</t>
  </si>
  <si>
    <t>Bulk GP / GB Cement  Inv - 7794</t>
  </si>
  <si>
    <t>Inv - 7801</t>
  </si>
  <si>
    <t xml:space="preserve"> Inv 8467024039</t>
  </si>
  <si>
    <t xml:space="preserve">N32 Concrete  Docket No 3240 3234 3235 3239   </t>
  </si>
  <si>
    <t>N32 Concrete  Doc No   3251    Inv-  7869</t>
  </si>
  <si>
    <t>Dock - 3338/3340 - Inv 7979</t>
  </si>
  <si>
    <t>Dock No 3614/17/22 - Inv- 8243</t>
  </si>
  <si>
    <t xml:space="preserve">Subtotal for C32                   </t>
  </si>
  <si>
    <t>20kg Bags of Cement - Inv 1568444</t>
  </si>
  <si>
    <t>20kg bags of cement - Inv 1569588</t>
  </si>
  <si>
    <t>N32 Concrete - Inv 7432</t>
  </si>
  <si>
    <t>N32 Concrete inv 7583</t>
  </si>
  <si>
    <t>Bulk GP / GB Cement   Plus Delivery                    Inv - 1577397</t>
  </si>
  <si>
    <t>Bulk GP / GB Cement  Inv - 7816</t>
  </si>
  <si>
    <t>Bulk GP / GB Cement  Inv - 8254979</t>
  </si>
  <si>
    <t xml:space="preserve"> Brass Kerb Markers "E"  Inv - 19506</t>
  </si>
  <si>
    <t>Inv - 3231, 3233, 3236, 3238  Inv - 7866</t>
  </si>
  <si>
    <t>doc - 3320/3316</t>
  </si>
  <si>
    <t>Bulk GP / GB Cement  Inv 1580203</t>
  </si>
  <si>
    <t xml:space="preserve">Subtotal for CKM                   </t>
  </si>
  <si>
    <t>Bulk GP / GB Cement- inv 94419715</t>
  </si>
  <si>
    <t xml:space="preserve">Subtotal for CSA                   </t>
  </si>
  <si>
    <t>Inv 5841128</t>
  </si>
  <si>
    <t xml:space="preserve">Conduits                 </t>
  </si>
  <si>
    <t>Inv 279964</t>
  </si>
  <si>
    <t>Inv 279965</t>
  </si>
  <si>
    <t>Inv 116288</t>
  </si>
  <si>
    <t>Inv 172293-251</t>
  </si>
  <si>
    <t>Inv 172836-251</t>
  </si>
  <si>
    <t>Inv 1556</t>
  </si>
  <si>
    <t>inv - 173889-251</t>
  </si>
  <si>
    <t xml:space="preserve">Conduit Subbie           </t>
  </si>
  <si>
    <t xml:space="preserve">Subtotal for ETC                   </t>
  </si>
  <si>
    <t>Inv 19038</t>
  </si>
  <si>
    <t xml:space="preserve">Marker Tape              </t>
  </si>
  <si>
    <t>Inv SIP29759 - 4 x Foudation Cages and templates</t>
  </si>
  <si>
    <t>Inv 116274</t>
  </si>
  <si>
    <t xml:space="preserve">Rope                     </t>
  </si>
  <si>
    <t>4 x RND Boulevard &amp; X-Arm - Inv SIP30066</t>
  </si>
  <si>
    <t>Inv 13420 - Electrical Cages</t>
  </si>
  <si>
    <t>Supply Cut Weld and Paint Bollard &amp; Fabricate 3/16mm Threaded Rod Bolts Cages</t>
  </si>
  <si>
    <t xml:space="preserve">Bollards                 </t>
  </si>
  <si>
    <t xml:space="preserve">Subtotal for ETM                   </t>
  </si>
  <si>
    <t>Inv 279566</t>
  </si>
  <si>
    <t>Inv 279567</t>
  </si>
  <si>
    <t>Inv 279568</t>
  </si>
  <si>
    <t>Inv 279758</t>
  </si>
  <si>
    <t>Type 66 Lid   Doc  -  226407</t>
  </si>
  <si>
    <t xml:space="preserve">Pit Builder - Modify     </t>
  </si>
  <si>
    <t>Inv No - 299874</t>
  </si>
  <si>
    <t xml:space="preserve">Subtotal for ETP                   </t>
  </si>
  <si>
    <t>CBR45 Road Base Inv 2902</t>
  </si>
  <si>
    <t xml:space="preserve">CBR45                    </t>
  </si>
  <si>
    <t>2.1 road base- 3201</t>
  </si>
  <si>
    <t xml:space="preserve">2.1 road base            </t>
  </si>
  <si>
    <t>2.1 road base- inv 3215</t>
  </si>
  <si>
    <t>Bedding Sand Inv - 10010964 - FD</t>
  </si>
  <si>
    <t xml:space="preserve">Sand                     </t>
  </si>
  <si>
    <t>Bulk GP / GB Cement Inv -10010873 FD</t>
  </si>
  <si>
    <t>Bedding Sand Inv - 10011034- FD</t>
  </si>
  <si>
    <t>Bulk GP / GB Cement   Inv 10011220 - FD</t>
  </si>
  <si>
    <t>2.1 road base Inv 3324</t>
  </si>
  <si>
    <t>Inv -  10012668 / 1001221</t>
  </si>
  <si>
    <t xml:space="preserve">Bedding Sand   2374.68 T </t>
  </si>
  <si>
    <t>Bedding Sand  1332.92 T            Inv - 3819</t>
  </si>
  <si>
    <t>Bedding Sand  Inv - 4014</t>
  </si>
  <si>
    <t xml:space="preserve">Subtotal for QM2.1                 </t>
  </si>
  <si>
    <t>Stabilised Sand - Inv 7073</t>
  </si>
  <si>
    <t xml:space="preserve">Stabilised Sand          </t>
  </si>
  <si>
    <t>Bedding Sand - Inv 3944</t>
  </si>
  <si>
    <t>Fine Sand - Inv 7409</t>
  </si>
  <si>
    <t>Bedding Sand - Inv 4018</t>
  </si>
  <si>
    <t>Bedding Sand  Inv - 10011863- FD</t>
  </si>
  <si>
    <t>Bedding Sand  Inv - 10011906 - FD</t>
  </si>
  <si>
    <t>Bedding Sand Inv 10012058- FD</t>
  </si>
  <si>
    <t>Bedding Sand  Inv - 10011810 - FD</t>
  </si>
  <si>
    <t>Bedding Sand 10012058- FD</t>
  </si>
  <si>
    <t>2.1 road base  Inv - 100127370/10012677</t>
  </si>
  <si>
    <t>Inv - 4125</t>
  </si>
  <si>
    <t>Bedding Sand Docket No 35593 Inv 4225</t>
  </si>
  <si>
    <t xml:space="preserve">Subtotal for QMS                   </t>
  </si>
  <si>
    <t>General signs &amp; delineation for traffic control. iNV -8188186</t>
  </si>
  <si>
    <t>General signs &amp; delineation for traffic control.  Inv- 8467/23477</t>
  </si>
  <si>
    <t>General signs &amp; delineation for traffic control.  Inv - 8195601</t>
  </si>
  <si>
    <t>General signs &amp; delineation for traffic control.  Inv - SH-195202</t>
  </si>
  <si>
    <t>GeneIral signs &amp; delineation for traffic control.  Inv 8195965</t>
  </si>
  <si>
    <t xml:space="preserve">Single Check Detector    </t>
  </si>
  <si>
    <t xml:space="preserve">Subtotal for RFS                   </t>
  </si>
  <si>
    <t>Inv - 00019364</t>
  </si>
  <si>
    <t xml:space="preserve">Steel Fixing             </t>
  </si>
  <si>
    <t>NF72 Suare Ribmesh, 50/65  Bar Chairs  Inv - 19421</t>
  </si>
  <si>
    <t xml:space="preserve">Subtotal for RSM                   </t>
  </si>
  <si>
    <t>Inv 19076</t>
  </si>
  <si>
    <t xml:space="preserve">Precast Kerb             </t>
  </si>
  <si>
    <t>inv=00019291 Kerb Entry Unit</t>
  </si>
  <si>
    <t xml:space="preserve">Subtotal for SWL                   </t>
  </si>
  <si>
    <t>Inv 18919</t>
  </si>
  <si>
    <t>2.34m x 450 mm class 2 RRJ RC  Inv - 19395</t>
  </si>
  <si>
    <t xml:space="preserve">Subtotal for SWP                   </t>
  </si>
  <si>
    <t>Grand Total</t>
  </si>
  <si>
    <t/>
  </si>
  <si>
    <t>Hire of Temporary Fencing</t>
  </si>
  <si>
    <t>Supervisor</t>
  </si>
  <si>
    <t>4,5,6</t>
  </si>
  <si>
    <t>7,31,36,195FF</t>
  </si>
  <si>
    <t>27,29</t>
  </si>
  <si>
    <t>9,33,187,177FF</t>
  </si>
  <si>
    <t>26,30,99,134,129</t>
  </si>
  <si>
    <t>33,35,206,161</t>
  </si>
  <si>
    <t>43,47</t>
  </si>
  <si>
    <t>40,46,59,55</t>
  </si>
  <si>
    <t>46,60,239</t>
  </si>
  <si>
    <t>53,61,115,194FF</t>
  </si>
  <si>
    <t>30,68,216</t>
  </si>
  <si>
    <t>30,69</t>
  </si>
  <si>
    <t>41,90,98,196FF</t>
  </si>
  <si>
    <t>84,88</t>
  </si>
  <si>
    <t>85,90</t>
  </si>
  <si>
    <t>85,89</t>
  </si>
  <si>
    <t>26,99</t>
  </si>
  <si>
    <t>41,102FF,103FF,104FF,105,240,198FF,179FF</t>
  </si>
  <si>
    <t>136FF,144</t>
  </si>
  <si>
    <t>165,193FF</t>
  </si>
  <si>
    <t>38FF,182</t>
  </si>
  <si>
    <t>171FF,194</t>
  </si>
  <si>
    <t>33FF,205</t>
  </si>
  <si>
    <t>51,211FF</t>
  </si>
  <si>
    <t>61FF,230</t>
  </si>
  <si>
    <t>75FF,232</t>
  </si>
  <si>
    <t>76FF,233</t>
  </si>
  <si>
    <t>101,105FF</t>
  </si>
  <si>
    <t>Task</t>
  </si>
  <si>
    <t>Budget</t>
  </si>
  <si>
    <t>%C Claim 01</t>
  </si>
  <si>
    <t>%C Claim 02</t>
  </si>
  <si>
    <t>%C Claim 03</t>
  </si>
  <si>
    <t>%C Claim 04</t>
  </si>
  <si>
    <t>%C Claim 05</t>
  </si>
  <si>
    <t>%C Claim 06</t>
  </si>
  <si>
    <t>%C Claim 07</t>
  </si>
  <si>
    <t>%C Claim 08</t>
  </si>
  <si>
    <t>Totals</t>
  </si>
  <si>
    <t>Portfolio WBS 011</t>
  </si>
  <si>
    <t>Portfolio WBS 013</t>
  </si>
  <si>
    <t>Portfolio WBS 015</t>
  </si>
  <si>
    <t>Portfolio WBS 021</t>
  </si>
  <si>
    <t>Portfolio WBS 031</t>
  </si>
  <si>
    <t>Portfolio WBS 033</t>
  </si>
  <si>
    <t>Portfolio WBS 041</t>
  </si>
  <si>
    <t>Portfolio WBS 051</t>
  </si>
  <si>
    <t>Portfolio WBS 052</t>
  </si>
  <si>
    <t>Portfolio WBS 053</t>
  </si>
  <si>
    <t>Portfolio WBS 057</t>
  </si>
  <si>
    <t>Portfolio WBS 061</t>
  </si>
  <si>
    <t>Portfolio WBS 062</t>
  </si>
  <si>
    <t>Portfolio WBS 063</t>
  </si>
  <si>
    <t>Portfolio WBS 064</t>
  </si>
  <si>
    <t>Portfolio WBS 065</t>
  </si>
  <si>
    <t>Portfolio WBS 066</t>
  </si>
  <si>
    <t>Portfolio WBS 067</t>
  </si>
  <si>
    <t>Portfolio WBS 068</t>
  </si>
  <si>
    <t>Portfolio WBS 071</t>
  </si>
  <si>
    <t>Portfolio WBS 073</t>
  </si>
  <si>
    <t>Portfolio WBS 081</t>
  </si>
  <si>
    <t>Portfolio WBS 085</t>
  </si>
  <si>
    <t>Portfolio WBS 095</t>
  </si>
  <si>
    <t>Portfolio WBS 103</t>
  </si>
  <si>
    <t>Portfolio WBS 111</t>
  </si>
  <si>
    <t>Portfolio WBS 112</t>
  </si>
  <si>
    <t>Portfolio WBS 113</t>
  </si>
  <si>
    <t>Portfolio WBS 121</t>
  </si>
  <si>
    <t>Portfolio WBS 131</t>
  </si>
  <si>
    <t>Portfolio WBS 134</t>
  </si>
  <si>
    <t>Portfolio WBS 141</t>
  </si>
  <si>
    <t>Portfolio WBS 142</t>
  </si>
  <si>
    <t>Portfolio WBS 151</t>
  </si>
  <si>
    <t>Portfolio WBS 152</t>
  </si>
  <si>
    <t>Portfolio WBS 221</t>
  </si>
  <si>
    <t>Portfolio WBS 901</t>
  </si>
  <si>
    <t>Portfolio WBS 902</t>
  </si>
  <si>
    <t>Portfolio WBS 903</t>
  </si>
  <si>
    <t>Portfolio WBS 904</t>
  </si>
  <si>
    <t>Portfolio WBS 905</t>
  </si>
  <si>
    <t>Portfolio WBS 907</t>
  </si>
  <si>
    <t>Portfolio WBS 910</t>
  </si>
  <si>
    <t>Portfolio WBS C25</t>
  </si>
  <si>
    <t>Portfolio WBS C32</t>
  </si>
  <si>
    <t>Portfolio WBS CKM</t>
  </si>
  <si>
    <t>Portfolio WBS CSA</t>
  </si>
  <si>
    <t>Portfolio WBS ETC</t>
  </si>
  <si>
    <t>Portfolio WBS ETM</t>
  </si>
  <si>
    <t>Portfolio WBS ETP</t>
  </si>
  <si>
    <t>Portfolio WBS QM2.1</t>
  </si>
  <si>
    <t>Portfolio WBS QMS</t>
  </si>
  <si>
    <t>Portfolio WBS RFS</t>
  </si>
  <si>
    <t>Portfolio WBS RSM</t>
  </si>
  <si>
    <t>Portfolio WBS SWL</t>
  </si>
  <si>
    <t>Portfolio WBS SWP</t>
  </si>
  <si>
    <t>Start Date</t>
  </si>
  <si>
    <t>TOTAL</t>
  </si>
  <si>
    <t>Predecessors</t>
  </si>
  <si>
    <t>Successors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</si>
</sst>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quot;$&quot;#,##0.00;[Red]\-&quot;$&quot;#,##0.00"/>
    <numFmt numFmtId="165" formatCode="_-&quot;$&quot;* #,##0.00_-;\-&quot;$&quot;* #,##0.00_-;_-&quot;$&quot;* &quot;-&quot;??_-;_-@_-"/>
    <numFmt numFmtId="166" formatCode="_-* #,##0.00_-;\-* #,##0.00_-;_-* &quot;-&quot;??_-;_-@_-"/>
    <numFmt numFmtId="167" formatCode="#,##0.000;[Red]\-#,##0.000"/>
    <numFmt numFmtId="168" formatCode="#,##0_ ;[Red]\-#,##0\ "/>
    <numFmt numFmtId="169" formatCode="#,##0.0;[Red]\-#,##0.0"/>
    <numFmt numFmtId="170" formatCode="#,##0.0"/>
    <numFmt numFmtId="171" formatCode="ddd"/>
    <numFmt numFmtId="172" formatCode="yyyy"/>
    <numFmt numFmtId="173" formatCode="0;\-0;&quot;-&quot;;@"/>
    <numFmt numFmtId="174" formatCode="#,##0.00_ ;\-#,##0.00\ "/>
    <numFmt numFmtId="175" formatCode="#,##0_ ;\-#,##0\ "/>
    <numFmt numFmtId="176" formatCode="0.00;\-0;&quot;-&quot;;@"/>
    <numFmt numFmtId="177" formatCode="#,##0.00;\-#,##0.00;&quot;-&quot;;@"/>
    <numFmt numFmtId="178" formatCode="_-* #,##0_-;\-* #,##0_-;_-* &quot;-&quot;??_-;_-@_-"/>
    <numFmt numFmtId="179" formatCode="[$-C09]dd\-mmm\-yy;@"/>
    <numFmt numFmtId="180" formatCode="#,##0.000_ ;[Red]\-#,##0.000\ "/>
    <numFmt numFmtId="181" formatCode="_-[$$-C09]* #,##0.00_-;\-[$$-C09]* #,##0.00_-;_-[$$-C09]* &quot;-&quot;??_-;_-@_-"/>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b/>
      <vertAlign val="superscript"/>
      <sz val="8"/>
      <color theme="1"/>
      <name val="Calibri"/>
      <family val="2"/>
      <scheme val="minor"/>
    </font>
    <font>
      <i/>
      <sz val="11"/>
      <color theme="1"/>
      <name val="Calibri"/>
      <family val="2"/>
      <scheme val="minor"/>
    </font>
    <font>
      <b/>
      <sz val="14"/>
      <color rgb="FFFF0000"/>
      <name val="Calibri"/>
      <family val="2"/>
      <scheme val="minor"/>
    </font>
    <font>
      <b/>
      <sz val="9"/>
      <color indexed="81"/>
      <name val="Tahoma"/>
      <family val="2"/>
    </font>
    <font>
      <sz val="9"/>
      <color indexed="81"/>
      <name val="Tahoma"/>
      <family val="2"/>
    </font>
    <font>
      <b/>
      <i/>
      <sz val="11"/>
      <color theme="1"/>
      <name val="Calibri"/>
      <family val="2"/>
      <scheme val="minor"/>
    </font>
    <font>
      <b/>
      <sz val="8"/>
      <color rgb="FF00B050"/>
      <name val="Calibri"/>
      <family val="2"/>
      <scheme val="minor"/>
    </font>
    <font>
      <sz val="11"/>
      <color rgb="FFFF0000"/>
      <name val="Calibri"/>
      <family val="2"/>
      <scheme val="minor"/>
    </font>
    <font>
      <sz val="11"/>
      <color theme="1"/>
      <name val="Calibri"/>
      <family val="2"/>
      <scheme val="minor"/>
    </font>
    <font>
      <vertAlign val="superscript"/>
      <sz val="11"/>
      <color theme="1"/>
      <name val="Calibri"/>
      <family val="2"/>
      <scheme val="minor"/>
    </font>
    <font>
      <sz val="8"/>
      <name val="Calibri"/>
      <family val="2"/>
      <scheme val="minor"/>
    </font>
    <font>
      <b/>
      <sz val="11"/>
      <name val="Calibri"/>
      <family val="2"/>
      <scheme val="minor"/>
    </font>
  </fonts>
  <fills count="14">
    <fill>
      <patternFill patternType="none"/>
    </fill>
    <fill>
      <patternFill patternType="gray125"/>
    </fill>
    <fill>
      <patternFill patternType="solid">
        <fgColor rgb="FFE6E6E6"/>
        <bgColor indexed="64"/>
      </patternFill>
    </fill>
    <fill>
      <patternFill patternType="solid">
        <fgColor rgb="FFFBF5B5"/>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C0C0C0"/>
        <bgColor indexed="64"/>
      </patternFill>
    </fill>
    <fill>
      <patternFill patternType="solid">
        <fgColor theme="4" tint="0.79998168889431442"/>
        <bgColor indexed="64"/>
      </patternFill>
    </fill>
    <fill>
      <patternFill patternType="solid">
        <fgColor rgb="FFFFFF99"/>
        <bgColor indexed="64"/>
      </patternFill>
    </fill>
    <fill>
      <patternFill patternType="solid">
        <fgColor rgb="FFCCFFFF"/>
        <bgColor indexed="64"/>
      </patternFill>
    </fill>
    <fill>
      <patternFill patternType="solid">
        <fgColor rgb="FFCCFF99"/>
        <bgColor indexed="64"/>
      </patternFill>
    </fill>
  </fills>
  <borders count="30">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top/>
      <bottom style="medium">
        <color auto="1"/>
      </bottom>
      <diagonal/>
    </border>
    <border>
      <left/>
      <right/>
      <top style="thin">
        <color indexed="8"/>
      </top>
      <bottom style="thin">
        <color indexed="8"/>
      </bottom>
      <diagonal/>
    </border>
    <border>
      <left style="double">
        <color indexed="8"/>
      </left>
      <right/>
      <top style="thin">
        <color indexed="8"/>
      </top>
      <bottom style="thin">
        <color indexed="8"/>
      </bottom>
      <diagonal/>
    </border>
    <border>
      <left/>
      <right style="double">
        <color indexed="8"/>
      </right>
      <top/>
      <bottom/>
      <diagonal/>
    </border>
    <border>
      <left/>
      <right style="double">
        <color indexed="8"/>
      </right>
      <top style="thin">
        <color indexed="8"/>
      </top>
      <bottom style="thin">
        <color indexed="8"/>
      </bottom>
      <diagonal/>
    </border>
    <border>
      <left/>
      <right style="double">
        <color indexed="8"/>
      </right>
      <top style="thin">
        <color indexed="8"/>
      </top>
      <bottom/>
      <diagonal/>
    </border>
    <border>
      <left/>
      <right/>
      <top style="thin">
        <color indexed="8"/>
      </top>
      <bottom/>
      <diagonal/>
    </border>
    <border>
      <left/>
      <right style="double">
        <color indexed="8"/>
      </right>
      <top style="double">
        <color indexed="8"/>
      </top>
      <bottom style="thin">
        <color indexed="8"/>
      </bottom>
      <diagonal/>
    </border>
    <border>
      <left/>
      <right/>
      <top style="double">
        <color indexed="8"/>
      </top>
      <bottom style="thin">
        <color indexed="8"/>
      </bottom>
      <diagonal/>
    </border>
    <border>
      <left style="double">
        <color indexed="8"/>
      </left>
      <right/>
      <top style="double">
        <color indexed="8"/>
      </top>
      <bottom style="thin">
        <color indexed="8"/>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4">
    <xf numFmtId="0" fontId="0" fillId="0" borderId="0"/>
    <xf numFmtId="166" fontId="13" fillId="0" borderId="0" applyFont="0" applyFill="0" applyBorder="0" applyAlignment="0" applyProtection="0"/>
    <xf numFmtId="165" fontId="13" fillId="0" borderId="0" applyFont="0" applyFill="0" applyBorder="0" applyAlignment="0" applyProtection="0"/>
    <xf numFmtId="9" fontId="13" fillId="0" borderId="0" applyFont="0" applyFill="0" applyBorder="0" applyAlignment="0" applyProtection="0"/>
  </cellStyleXfs>
  <cellXfs count="337">
    <xf numFmtId="0" fontId="0" fillId="0" borderId="0" xfId="0"/>
    <xf numFmtId="0" fontId="3" fillId="0" borderId="0" xfId="0" applyFont="1" applyAlignment="1">
      <alignment vertical="top"/>
    </xf>
    <xf numFmtId="0" fontId="3" fillId="0" borderId="0" xfId="0" applyFont="1" applyAlignment="1">
      <alignment vertical="top" wrapText="1"/>
    </xf>
    <xf numFmtId="0" fontId="3"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right" vertical="top"/>
    </xf>
    <xf numFmtId="0" fontId="4" fillId="2" borderId="0" xfId="0" applyFont="1" applyFill="1" applyAlignment="1">
      <alignment vertical="top" wrapText="1"/>
    </xf>
    <xf numFmtId="0" fontId="4" fillId="2" borderId="0" xfId="0" applyFont="1" applyFill="1" applyAlignment="1">
      <alignment vertical="top"/>
    </xf>
    <xf numFmtId="167" fontId="4" fillId="2" borderId="0" xfId="0" applyNumberFormat="1" applyFont="1" applyFill="1" applyAlignment="1">
      <alignment vertical="top"/>
    </xf>
    <xf numFmtId="38" fontId="4" fillId="2" borderId="0" xfId="0" applyNumberFormat="1" applyFont="1" applyFill="1" applyAlignment="1">
      <alignment vertical="top"/>
    </xf>
    <xf numFmtId="167" fontId="3" fillId="0" borderId="0" xfId="0" applyNumberFormat="1" applyFont="1" applyAlignment="1">
      <alignment vertical="top"/>
    </xf>
    <xf numFmtId="167" fontId="3" fillId="3" borderId="0" xfId="0" applyNumberFormat="1" applyFont="1" applyFill="1" applyAlignment="1">
      <alignment vertical="top"/>
    </xf>
    <xf numFmtId="38" fontId="3" fillId="0" borderId="0" xfId="0" applyNumberFormat="1" applyFont="1" applyAlignment="1">
      <alignment vertical="top"/>
    </xf>
    <xf numFmtId="0" fontId="3" fillId="3" borderId="0" xfId="0" applyFont="1" applyFill="1" applyAlignment="1">
      <alignment vertical="top"/>
    </xf>
    <xf numFmtId="0" fontId="3" fillId="3" borderId="0" xfId="0" applyFont="1" applyFill="1" applyAlignment="1">
      <alignment vertical="top" wrapText="1"/>
    </xf>
    <xf numFmtId="38" fontId="3" fillId="3" borderId="0" xfId="0" applyNumberFormat="1" applyFont="1" applyFill="1" applyAlignment="1">
      <alignment vertical="top"/>
    </xf>
    <xf numFmtId="0" fontId="3" fillId="0" borderId="0" xfId="0" applyFont="1" applyAlignment="1">
      <alignment wrapText="1"/>
    </xf>
    <xf numFmtId="0" fontId="3" fillId="0" borderId="0" xfId="0" applyFont="1" applyFill="1" applyAlignment="1">
      <alignment vertical="top"/>
    </xf>
    <xf numFmtId="0" fontId="3" fillId="0" borderId="0" xfId="0" applyFont="1" applyFill="1" applyAlignment="1">
      <alignment vertical="top" wrapText="1"/>
    </xf>
    <xf numFmtId="167" fontId="3" fillId="0" borderId="0" xfId="0" applyNumberFormat="1" applyFont="1" applyFill="1" applyAlignment="1">
      <alignment vertical="top"/>
    </xf>
    <xf numFmtId="38" fontId="3" fillId="0" borderId="0" xfId="0" applyNumberFormat="1" applyFont="1" applyFill="1" applyAlignment="1">
      <alignment vertical="top"/>
    </xf>
    <xf numFmtId="0" fontId="3" fillId="0" borderId="0" xfId="0" applyFont="1" applyFill="1"/>
    <xf numFmtId="3" fontId="4" fillId="0" borderId="0" xfId="0" applyNumberFormat="1" applyFont="1" applyAlignment="1">
      <alignment vertical="top"/>
    </xf>
    <xf numFmtId="0" fontId="4" fillId="0" borderId="0" xfId="0" applyFont="1"/>
    <xf numFmtId="168" fontId="4" fillId="0" borderId="0" xfId="0" applyNumberFormat="1" applyFont="1" applyAlignment="1">
      <alignment vertical="top"/>
    </xf>
    <xf numFmtId="14" fontId="0" fillId="0" borderId="0" xfId="0" applyNumberFormat="1"/>
    <xf numFmtId="0" fontId="1" fillId="0" borderId="0" xfId="0" applyFont="1"/>
    <xf numFmtId="0" fontId="0" fillId="4" borderId="0" xfId="0" applyFill="1"/>
    <xf numFmtId="0" fontId="1" fillId="0" borderId="0" xfId="0" applyFont="1" applyAlignment="1">
      <alignment wrapText="1"/>
    </xf>
    <xf numFmtId="0" fontId="6" fillId="0" borderId="0" xfId="0" applyFont="1"/>
    <xf numFmtId="0" fontId="6" fillId="0" borderId="0" xfId="0" applyFont="1" applyAlignment="1">
      <alignment wrapText="1"/>
    </xf>
    <xf numFmtId="167" fontId="6" fillId="0" borderId="0" xfId="0" applyNumberFormat="1" applyFont="1"/>
    <xf numFmtId="38" fontId="6" fillId="0" borderId="0" xfId="0" applyNumberFormat="1" applyFont="1"/>
    <xf numFmtId="169" fontId="6" fillId="0" borderId="0" xfId="0" applyNumberFormat="1" applyFont="1"/>
    <xf numFmtId="0" fontId="0" fillId="0" borderId="0" xfId="0" applyAlignment="1">
      <alignment wrapText="1"/>
    </xf>
    <xf numFmtId="167" fontId="4" fillId="5" borderId="0" xfId="0" applyNumberFormat="1" applyFont="1" applyFill="1" applyAlignment="1">
      <alignment vertical="top"/>
    </xf>
    <xf numFmtId="0" fontId="0" fillId="0" borderId="0" xfId="0" applyAlignment="1">
      <alignment horizontal="center"/>
    </xf>
    <xf numFmtId="0" fontId="7" fillId="0" borderId="0" xfId="0" applyFont="1" applyAlignment="1">
      <alignment horizontal="left"/>
    </xf>
    <xf numFmtId="0" fontId="7" fillId="6" borderId="1" xfId="0" applyFont="1" applyFill="1" applyBorder="1" applyAlignment="1">
      <alignment horizontal="center"/>
    </xf>
    <xf numFmtId="0" fontId="0" fillId="0" borderId="0" xfId="0" applyBorder="1"/>
    <xf numFmtId="0" fontId="0" fillId="0" borderId="2" xfId="0" applyBorder="1" applyAlignment="1">
      <alignment horizontal="center"/>
    </xf>
    <xf numFmtId="0" fontId="4" fillId="0" borderId="0" xfId="0" applyFont="1" applyAlignment="1">
      <alignment horizontal="center" vertical="top"/>
    </xf>
    <xf numFmtId="167" fontId="4" fillId="2" borderId="0" xfId="0" applyNumberFormat="1" applyFont="1" applyFill="1" applyAlignment="1">
      <alignment horizontal="center" vertical="top"/>
    </xf>
    <xf numFmtId="167" fontId="3" fillId="3" borderId="0" xfId="0" applyNumberFormat="1" applyFont="1" applyFill="1" applyAlignment="1">
      <alignment horizontal="center" vertical="top"/>
    </xf>
    <xf numFmtId="167" fontId="3" fillId="0" borderId="0" xfId="0" applyNumberFormat="1" applyFont="1" applyAlignment="1">
      <alignment horizontal="center" vertical="top"/>
    </xf>
    <xf numFmtId="167" fontId="3" fillId="0" borderId="0" xfId="0" applyNumberFormat="1" applyFont="1" applyFill="1" applyAlignment="1">
      <alignment horizontal="center" vertical="top"/>
    </xf>
    <xf numFmtId="0" fontId="6" fillId="0" borderId="0" xfId="0" applyFont="1" applyAlignment="1">
      <alignment horizontal="center"/>
    </xf>
    <xf numFmtId="0" fontId="3" fillId="0" borderId="0" xfId="0" applyFont="1" applyAlignment="1">
      <alignment horizontal="center"/>
    </xf>
    <xf numFmtId="170" fontId="4" fillId="0" borderId="0" xfId="0" applyNumberFormat="1" applyFont="1" applyAlignment="1">
      <alignment vertical="top"/>
    </xf>
    <xf numFmtId="170" fontId="4" fillId="0" borderId="0" xfId="0" applyNumberFormat="1" applyFont="1" applyAlignment="1">
      <alignment horizontal="right" vertical="top"/>
    </xf>
    <xf numFmtId="170" fontId="4" fillId="2" borderId="0" xfId="0" applyNumberFormat="1" applyFont="1" applyFill="1" applyAlignment="1">
      <alignment vertical="top"/>
    </xf>
    <xf numFmtId="170" fontId="3" fillId="3" borderId="0" xfId="0" applyNumberFormat="1" applyFont="1" applyFill="1" applyAlignment="1">
      <alignment vertical="top"/>
    </xf>
    <xf numFmtId="170" fontId="3" fillId="0" borderId="0" xfId="0" applyNumberFormat="1" applyFont="1" applyAlignment="1">
      <alignment vertical="top"/>
    </xf>
    <xf numFmtId="170" fontId="3" fillId="0" borderId="0" xfId="0" applyNumberFormat="1" applyFont="1" applyFill="1" applyAlignment="1">
      <alignment vertical="top"/>
    </xf>
    <xf numFmtId="170" fontId="6" fillId="0" borderId="0" xfId="0" applyNumberFormat="1" applyFont="1"/>
    <xf numFmtId="170" fontId="3" fillId="0" borderId="0" xfId="0" applyNumberFormat="1" applyFont="1"/>
    <xf numFmtId="3" fontId="3" fillId="0" borderId="0" xfId="0" applyNumberFormat="1" applyFont="1"/>
    <xf numFmtId="15" fontId="0" fillId="0" borderId="0" xfId="0" applyNumberFormat="1" applyAlignment="1">
      <alignment horizontal="center"/>
    </xf>
    <xf numFmtId="15" fontId="0" fillId="0" borderId="0" xfId="0" applyNumberFormat="1" applyFill="1" applyAlignment="1">
      <alignment horizontal="center"/>
    </xf>
    <xf numFmtId="15" fontId="0" fillId="7" borderId="4" xfId="0" applyNumberFormat="1" applyFill="1" applyBorder="1" applyAlignment="1">
      <alignment horizontal="center"/>
    </xf>
    <xf numFmtId="15" fontId="0" fillId="7" borderId="2" xfId="0" applyNumberFormat="1" applyFill="1" applyBorder="1" applyAlignment="1">
      <alignment horizontal="center"/>
    </xf>
    <xf numFmtId="15" fontId="0" fillId="0" borderId="2" xfId="0" applyNumberFormat="1" applyBorder="1" applyAlignment="1">
      <alignment horizontal="center"/>
    </xf>
    <xf numFmtId="15" fontId="0" fillId="7" borderId="9" xfId="0" applyNumberFormat="1" applyFill="1" applyBorder="1" applyAlignment="1">
      <alignment horizontal="center"/>
    </xf>
    <xf numFmtId="15" fontId="0" fillId="7" borderId="10" xfId="0" applyNumberFormat="1" applyFill="1" applyBorder="1" applyAlignment="1">
      <alignment horizontal="center"/>
    </xf>
    <xf numFmtId="15" fontId="0" fillId="0" borderId="11" xfId="0" applyNumberFormat="1" applyBorder="1" applyAlignment="1">
      <alignment horizontal="center"/>
    </xf>
    <xf numFmtId="15" fontId="0" fillId="7" borderId="11" xfId="0" applyNumberFormat="1" applyFill="1" applyBorder="1" applyAlignment="1">
      <alignment horizontal="center"/>
    </xf>
    <xf numFmtId="0" fontId="0" fillId="0" borderId="11" xfId="0" applyBorder="1" applyAlignment="1">
      <alignment horizontal="center"/>
    </xf>
    <xf numFmtId="15" fontId="0" fillId="7" borderId="5" xfId="0" applyNumberFormat="1" applyFill="1" applyBorder="1" applyAlignment="1">
      <alignment horizontal="center"/>
    </xf>
    <xf numFmtId="15" fontId="0" fillId="7" borderId="3" xfId="0" applyNumberFormat="1" applyFill="1" applyBorder="1" applyAlignment="1">
      <alignment horizontal="center"/>
    </xf>
    <xf numFmtId="15" fontId="0" fillId="0" borderId="3" xfId="0" applyNumberFormat="1" applyBorder="1" applyAlignment="1">
      <alignment horizontal="center"/>
    </xf>
    <xf numFmtId="15" fontId="0" fillId="7" borderId="13" xfId="0" applyNumberFormat="1" applyFill="1" applyBorder="1" applyAlignment="1">
      <alignment horizontal="center"/>
    </xf>
    <xf numFmtId="15" fontId="0" fillId="7" borderId="14" xfId="0" applyNumberFormat="1" applyFill="1" applyBorder="1" applyAlignment="1">
      <alignment horizontal="center"/>
    </xf>
    <xf numFmtId="15" fontId="0" fillId="7" borderId="15" xfId="0" applyNumberFormat="1" applyFill="1" applyBorder="1" applyAlignment="1">
      <alignment horizontal="center"/>
    </xf>
    <xf numFmtId="15" fontId="0" fillId="0" borderId="15" xfId="0" applyNumberFormat="1" applyBorder="1" applyAlignment="1">
      <alignment horizontal="center"/>
    </xf>
    <xf numFmtId="15" fontId="0" fillId="7" borderId="16" xfId="0" applyNumberFormat="1" applyFill="1" applyBorder="1" applyAlignment="1">
      <alignment horizontal="center"/>
    </xf>
    <xf numFmtId="15" fontId="6" fillId="7" borderId="11" xfId="0" applyNumberFormat="1" applyFont="1" applyFill="1" applyBorder="1" applyAlignment="1">
      <alignment horizontal="center"/>
    </xf>
    <xf numFmtId="171" fontId="1" fillId="7" borderId="4" xfId="0" applyNumberFormat="1" applyFont="1" applyFill="1" applyBorder="1" applyAlignment="1">
      <alignment horizontal="center"/>
    </xf>
    <xf numFmtId="171" fontId="1" fillId="7" borderId="2" xfId="0" applyNumberFormat="1" applyFont="1" applyFill="1" applyBorder="1" applyAlignment="1">
      <alignment horizontal="center"/>
    </xf>
    <xf numFmtId="171" fontId="1" fillId="0" borderId="2" xfId="0" applyNumberFormat="1" applyFont="1" applyBorder="1" applyAlignment="1">
      <alignment horizontal="center"/>
    </xf>
    <xf numFmtId="171" fontId="1" fillId="7" borderId="9" xfId="0" applyNumberFormat="1" applyFont="1" applyFill="1" applyBorder="1" applyAlignment="1">
      <alignment horizontal="center"/>
    </xf>
    <xf numFmtId="171" fontId="1" fillId="0" borderId="0" xfId="0" applyNumberFormat="1" applyFont="1"/>
    <xf numFmtId="0" fontId="10" fillId="0" borderId="0" xfId="0" applyFont="1"/>
    <xf numFmtId="0" fontId="3" fillId="4" borderId="0" xfId="0" applyFont="1" applyFill="1"/>
    <xf numFmtId="0" fontId="4" fillId="4" borderId="0" xfId="0" applyFont="1" applyFill="1"/>
    <xf numFmtId="38" fontId="3" fillId="0" borderId="0" xfId="0" applyNumberFormat="1" applyFont="1"/>
    <xf numFmtId="168" fontId="3" fillId="0" borderId="0" xfId="0" applyNumberFormat="1" applyFont="1"/>
    <xf numFmtId="4" fontId="4" fillId="0" borderId="0" xfId="0" applyNumberFormat="1" applyFont="1" applyAlignment="1">
      <alignment vertical="top"/>
    </xf>
    <xf numFmtId="4" fontId="4" fillId="0" borderId="0" xfId="0" applyNumberFormat="1" applyFont="1" applyAlignment="1">
      <alignment horizontal="right" vertical="top"/>
    </xf>
    <xf numFmtId="4" fontId="4" fillId="2" borderId="0" xfId="0" applyNumberFormat="1" applyFont="1" applyFill="1" applyAlignment="1">
      <alignment vertical="top"/>
    </xf>
    <xf numFmtId="4" fontId="3" fillId="3" borderId="0" xfId="0" applyNumberFormat="1" applyFont="1" applyFill="1" applyAlignment="1">
      <alignment vertical="top"/>
    </xf>
    <xf numFmtId="4" fontId="3" fillId="0" borderId="0" xfId="0" applyNumberFormat="1" applyFont="1" applyAlignment="1">
      <alignment vertical="top"/>
    </xf>
    <xf numFmtId="4" fontId="3" fillId="0" borderId="0" xfId="0" applyNumberFormat="1" applyFont="1" applyFill="1" applyAlignment="1">
      <alignment vertical="top"/>
    </xf>
    <xf numFmtId="4" fontId="6" fillId="0" borderId="0" xfId="0" applyNumberFormat="1" applyFont="1"/>
    <xf numFmtId="4" fontId="3" fillId="0" borderId="0" xfId="0" applyNumberFormat="1" applyFont="1"/>
    <xf numFmtId="15" fontId="6" fillId="7" borderId="12" xfId="0" applyNumberFormat="1" applyFont="1" applyFill="1" applyBorder="1" applyAlignment="1">
      <alignment horizontal="center"/>
    </xf>
    <xf numFmtId="0" fontId="3" fillId="0" borderId="0" xfId="0" applyFont="1" applyBorder="1"/>
    <xf numFmtId="0" fontId="3" fillId="3" borderId="0" xfId="0" applyFont="1" applyFill="1" applyBorder="1" applyAlignment="1">
      <alignment vertical="top"/>
    </xf>
    <xf numFmtId="0" fontId="3" fillId="3" borderId="0" xfId="0" applyFont="1" applyFill="1" applyBorder="1" applyAlignment="1">
      <alignment vertical="top" wrapText="1"/>
    </xf>
    <xf numFmtId="167" fontId="3" fillId="3" borderId="0" xfId="0" applyNumberFormat="1" applyFont="1" applyFill="1" applyBorder="1" applyAlignment="1">
      <alignment horizontal="center" vertical="top"/>
    </xf>
    <xf numFmtId="170" fontId="3" fillId="3" borderId="0" xfId="0" applyNumberFormat="1" applyFont="1" applyFill="1" applyBorder="1" applyAlignment="1">
      <alignment vertical="top"/>
    </xf>
    <xf numFmtId="167" fontId="3" fillId="3" borderId="0" xfId="0" applyNumberFormat="1" applyFont="1" applyFill="1" applyBorder="1" applyAlignment="1">
      <alignment vertical="top"/>
    </xf>
    <xf numFmtId="4" fontId="3" fillId="3" borderId="0" xfId="0" applyNumberFormat="1" applyFont="1" applyFill="1" applyBorder="1" applyAlignment="1">
      <alignment vertical="top"/>
    </xf>
    <xf numFmtId="38" fontId="3" fillId="3" borderId="0" xfId="0" applyNumberFormat="1" applyFont="1" applyFill="1" applyBorder="1" applyAlignment="1">
      <alignment vertical="top"/>
    </xf>
    <xf numFmtId="0" fontId="3" fillId="4" borderId="0" xfId="0" applyFont="1" applyFill="1" applyBorder="1"/>
    <xf numFmtId="0" fontId="6" fillId="0" borderId="0" xfId="0" applyFont="1" applyBorder="1"/>
    <xf numFmtId="0" fontId="6" fillId="0" borderId="0" xfId="0" applyFont="1" applyBorder="1" applyAlignment="1">
      <alignment wrapText="1"/>
    </xf>
    <xf numFmtId="170" fontId="6" fillId="0" borderId="0" xfId="0" applyNumberFormat="1" applyFont="1" applyBorder="1"/>
    <xf numFmtId="0" fontId="6" fillId="0" borderId="0" xfId="0" applyFont="1" applyBorder="1" applyAlignment="1">
      <alignment horizontal="center"/>
    </xf>
    <xf numFmtId="170" fontId="3" fillId="0" borderId="0" xfId="0" applyNumberFormat="1" applyFont="1" applyBorder="1"/>
    <xf numFmtId="167" fontId="6" fillId="0" borderId="0" xfId="0" applyNumberFormat="1" applyFont="1" applyBorder="1"/>
    <xf numFmtId="38" fontId="6" fillId="0" borderId="0" xfId="0" applyNumberFormat="1" applyFont="1" applyBorder="1"/>
    <xf numFmtId="4" fontId="6" fillId="0" borderId="0" xfId="0" applyNumberFormat="1" applyFont="1" applyBorder="1"/>
    <xf numFmtId="169" fontId="6" fillId="0" borderId="0" xfId="0" applyNumberFormat="1" applyFont="1" applyBorder="1"/>
    <xf numFmtId="0" fontId="0" fillId="4" borderId="0" xfId="0" applyFill="1" applyBorder="1"/>
    <xf numFmtId="167" fontId="3" fillId="5" borderId="0" xfId="0" applyNumberFormat="1" applyFont="1" applyFill="1" applyAlignment="1">
      <alignment vertical="top"/>
    </xf>
    <xf numFmtId="3" fontId="4" fillId="0" borderId="0" xfId="0" applyNumberFormat="1" applyFont="1" applyAlignment="1">
      <alignment horizontal="center" vertical="top"/>
    </xf>
    <xf numFmtId="38" fontId="4" fillId="2" borderId="0" xfId="0" applyNumberFormat="1" applyFont="1" applyFill="1" applyAlignment="1">
      <alignment horizontal="center" vertical="top"/>
    </xf>
    <xf numFmtId="38" fontId="3" fillId="3" borderId="0" xfId="0" applyNumberFormat="1" applyFont="1" applyFill="1" applyAlignment="1">
      <alignment horizontal="center" vertical="top"/>
    </xf>
    <xf numFmtId="38" fontId="3" fillId="0" borderId="0" xfId="0" applyNumberFormat="1" applyFont="1" applyAlignment="1">
      <alignment horizontal="center" vertical="top"/>
    </xf>
    <xf numFmtId="38" fontId="3" fillId="0" borderId="0" xfId="0" applyNumberFormat="1" applyFont="1" applyFill="1" applyAlignment="1">
      <alignment horizontal="center" vertical="top"/>
    </xf>
    <xf numFmtId="4" fontId="3" fillId="0" borderId="0" xfId="0" applyNumberFormat="1" applyFont="1" applyAlignment="1">
      <alignment horizontal="center" vertical="top"/>
    </xf>
    <xf numFmtId="4" fontId="6" fillId="0" borderId="0" xfId="0" applyNumberFormat="1" applyFont="1" applyAlignment="1">
      <alignment horizontal="center"/>
    </xf>
    <xf numFmtId="38" fontId="3" fillId="3" borderId="0" xfId="0" applyNumberFormat="1" applyFont="1" applyFill="1" applyBorder="1" applyAlignment="1">
      <alignment horizontal="center" vertical="top"/>
    </xf>
    <xf numFmtId="4" fontId="6" fillId="0" borderId="0" xfId="0" applyNumberFormat="1" applyFont="1" applyBorder="1" applyAlignment="1">
      <alignment horizontal="center"/>
    </xf>
    <xf numFmtId="167" fontId="4" fillId="0" borderId="0" xfId="0" applyNumberFormat="1" applyFont="1" applyAlignment="1">
      <alignment horizontal="center" vertical="top"/>
    </xf>
    <xf numFmtId="167" fontId="4" fillId="0" borderId="0" xfId="0" applyNumberFormat="1" applyFont="1" applyAlignment="1">
      <alignment vertical="top"/>
    </xf>
    <xf numFmtId="38" fontId="4" fillId="0" borderId="0" xfId="0" applyNumberFormat="1" applyFont="1" applyAlignment="1">
      <alignment vertical="top"/>
    </xf>
    <xf numFmtId="38" fontId="4" fillId="0" borderId="0" xfId="0" applyNumberFormat="1" applyFont="1" applyAlignment="1">
      <alignment horizontal="center" vertical="top"/>
    </xf>
    <xf numFmtId="167" fontId="4" fillId="8" borderId="0" xfId="0" applyNumberFormat="1" applyFont="1" applyFill="1" applyAlignment="1">
      <alignment vertical="top"/>
    </xf>
    <xf numFmtId="0" fontId="4" fillId="2" borderId="0" xfId="0" applyFont="1" applyFill="1" applyAlignment="1">
      <alignment horizontal="center" vertical="top" wrapText="1"/>
    </xf>
    <xf numFmtId="0" fontId="3" fillId="3" borderId="0" xfId="0" applyFont="1" applyFill="1" applyAlignment="1">
      <alignment horizontal="center" vertical="top"/>
    </xf>
    <xf numFmtId="0" fontId="3" fillId="0" borderId="0" xfId="0" applyFont="1" applyAlignment="1">
      <alignment horizontal="center" vertical="top"/>
    </xf>
    <xf numFmtId="0" fontId="3" fillId="0" borderId="0" xfId="0" applyFont="1" applyFill="1" applyAlignment="1">
      <alignment horizontal="center" vertical="top"/>
    </xf>
    <xf numFmtId="0" fontId="3" fillId="3" borderId="0" xfId="0" applyFont="1" applyFill="1" applyBorder="1" applyAlignment="1">
      <alignment horizontal="center" vertical="top"/>
    </xf>
    <xf numFmtId="0" fontId="4" fillId="0" borderId="0" xfId="0" applyFont="1" applyAlignment="1">
      <alignment vertical="center" textRotation="90"/>
    </xf>
    <xf numFmtId="0" fontId="3" fillId="0" borderId="0" xfId="0" applyFont="1" applyAlignment="1">
      <alignment horizontal="center" vertical="top" wrapText="1"/>
    </xf>
    <xf numFmtId="164" fontId="3" fillId="0" borderId="0" xfId="0" applyNumberFormat="1" applyFont="1" applyAlignment="1">
      <alignment vertical="top"/>
    </xf>
    <xf numFmtId="0" fontId="0" fillId="0" borderId="0" xfId="0" applyFill="1" applyAlignment="1">
      <alignment horizontal="center" wrapText="1"/>
    </xf>
    <xf numFmtId="0" fontId="0" fillId="0" borderId="0" xfId="0" applyFill="1" applyAlignment="1">
      <alignment wrapText="1"/>
    </xf>
    <xf numFmtId="0" fontId="1" fillId="0" borderId="0" xfId="0" applyFont="1" applyAlignment="1">
      <alignment horizontal="right"/>
    </xf>
    <xf numFmtId="167" fontId="0" fillId="0" borderId="0" xfId="0" applyNumberFormat="1"/>
    <xf numFmtId="40" fontId="0" fillId="0" borderId="0" xfId="0" applyNumberFormat="1"/>
    <xf numFmtId="0" fontId="1" fillId="0" borderId="18" xfId="0" applyFont="1" applyBorder="1"/>
    <xf numFmtId="0" fontId="1" fillId="0" borderId="18" xfId="0" applyFont="1" applyBorder="1" applyAlignment="1">
      <alignment wrapText="1"/>
    </xf>
    <xf numFmtId="167" fontId="1" fillId="0" borderId="18" xfId="0" applyNumberFormat="1" applyFont="1" applyBorder="1"/>
    <xf numFmtId="40" fontId="1" fillId="0" borderId="18" xfId="0" applyNumberFormat="1" applyFont="1" applyBorder="1"/>
    <xf numFmtId="173" fontId="0" fillId="0" borderId="0" xfId="0" applyNumberFormat="1"/>
    <xf numFmtId="173" fontId="0" fillId="0" borderId="0" xfId="0" applyNumberFormat="1" applyAlignment="1">
      <alignment wrapText="1"/>
    </xf>
    <xf numFmtId="173" fontId="0" fillId="0" borderId="0" xfId="0" applyNumberFormat="1" applyAlignment="1">
      <alignment horizontal="center"/>
    </xf>
    <xf numFmtId="4" fontId="0" fillId="0" borderId="0" xfId="0" applyNumberFormat="1"/>
    <xf numFmtId="173" fontId="1" fillId="0" borderId="18" xfId="0" applyNumberFormat="1" applyFont="1" applyBorder="1" applyAlignment="1">
      <alignment horizontal="center"/>
    </xf>
    <xf numFmtId="173" fontId="1" fillId="0" borderId="18" xfId="0" applyNumberFormat="1" applyFont="1" applyBorder="1"/>
    <xf numFmtId="173" fontId="1" fillId="0" borderId="19" xfId="0" applyNumberFormat="1" applyFont="1" applyBorder="1" applyAlignment="1">
      <alignment horizontal="center"/>
    </xf>
    <xf numFmtId="173" fontId="1" fillId="0" borderId="0" xfId="0" applyNumberFormat="1" applyFont="1" applyAlignment="1">
      <alignment horizontal="center"/>
    </xf>
    <xf numFmtId="173" fontId="1" fillId="0" borderId="18" xfId="0" applyNumberFormat="1" applyFont="1" applyBorder="1" applyAlignment="1">
      <alignment wrapText="1"/>
    </xf>
    <xf numFmtId="174" fontId="1" fillId="0" borderId="18" xfId="0" applyNumberFormat="1" applyFont="1" applyBorder="1" applyAlignment="1">
      <alignment horizontal="center"/>
    </xf>
    <xf numFmtId="175" fontId="1" fillId="0" borderId="18" xfId="0" applyNumberFormat="1" applyFont="1" applyBorder="1" applyAlignment="1">
      <alignment horizontal="center"/>
    </xf>
    <xf numFmtId="174" fontId="1" fillId="0" borderId="18" xfId="0" applyNumberFormat="1" applyFont="1" applyBorder="1"/>
    <xf numFmtId="176" fontId="1" fillId="0" borderId="18" xfId="0" applyNumberFormat="1" applyFont="1" applyBorder="1" applyAlignment="1">
      <alignment horizontal="center"/>
    </xf>
    <xf numFmtId="173" fontId="1" fillId="0" borderId="21" xfId="0" applyNumberFormat="1" applyFont="1" applyBorder="1" applyAlignment="1">
      <alignment horizontal="center"/>
    </xf>
    <xf numFmtId="174" fontId="0" fillId="0" borderId="0" xfId="0" applyNumberFormat="1"/>
    <xf numFmtId="175" fontId="0" fillId="0" borderId="0" xfId="0" applyNumberFormat="1"/>
    <xf numFmtId="173" fontId="0" fillId="0" borderId="0" xfId="0" applyNumberFormat="1" applyAlignment="1">
      <alignment horizontal="left" wrapText="1"/>
    </xf>
    <xf numFmtId="175" fontId="1" fillId="0" borderId="18" xfId="0" applyNumberFormat="1" applyFont="1" applyBorder="1"/>
    <xf numFmtId="3" fontId="1" fillId="0" borderId="18" xfId="0" applyNumberFormat="1" applyFont="1" applyBorder="1"/>
    <xf numFmtId="4" fontId="1" fillId="0" borderId="18" xfId="0" applyNumberFormat="1" applyFont="1" applyBorder="1"/>
    <xf numFmtId="175" fontId="1" fillId="0" borderId="0" xfId="0" applyNumberFormat="1" applyFont="1" applyAlignment="1">
      <alignment horizontal="center"/>
    </xf>
    <xf numFmtId="176" fontId="0" fillId="0" borderId="0" xfId="0" applyNumberFormat="1"/>
    <xf numFmtId="174" fontId="0" fillId="0" borderId="0" xfId="0" applyNumberFormat="1" applyAlignment="1">
      <alignment horizontal="center" wrapText="1"/>
    </xf>
    <xf numFmtId="3" fontId="1" fillId="0" borderId="21" xfId="0" applyNumberFormat="1" applyFont="1" applyBorder="1"/>
    <xf numFmtId="17" fontId="1" fillId="0" borderId="0" xfId="0" applyNumberFormat="1" applyFont="1" applyAlignment="1">
      <alignment horizontal="center" wrapText="1"/>
    </xf>
    <xf numFmtId="177" fontId="0" fillId="0" borderId="0" xfId="0" applyNumberFormat="1"/>
    <xf numFmtId="177" fontId="0" fillId="0" borderId="22" xfId="0" applyNumberFormat="1" applyBorder="1"/>
    <xf numFmtId="177" fontId="0" fillId="0" borderId="20" xfId="0" applyNumberFormat="1" applyBorder="1"/>
    <xf numFmtId="174" fontId="1" fillId="0" borderId="21" xfId="0" applyNumberFormat="1" applyFont="1" applyBorder="1"/>
    <xf numFmtId="17" fontId="0" fillId="0" borderId="0" xfId="0" applyNumberFormat="1" applyAlignment="1">
      <alignment horizontal="center" wrapText="1"/>
    </xf>
    <xf numFmtId="174" fontId="1" fillId="0" borderId="0" xfId="0" applyNumberFormat="1" applyFont="1" applyAlignment="1">
      <alignment horizontal="center" wrapText="1"/>
    </xf>
    <xf numFmtId="178" fontId="0" fillId="0" borderId="0" xfId="1" applyNumberFormat="1" applyFont="1"/>
    <xf numFmtId="165" fontId="0" fillId="0" borderId="0" xfId="2" applyFont="1"/>
    <xf numFmtId="165" fontId="0" fillId="0" borderId="0" xfId="0" applyNumberFormat="1"/>
    <xf numFmtId="167" fontId="1" fillId="0" borderId="0" xfId="0" applyNumberFormat="1" applyFont="1"/>
    <xf numFmtId="40" fontId="1" fillId="0" borderId="0" xfId="0" applyNumberFormat="1" applyFont="1"/>
    <xf numFmtId="0" fontId="1" fillId="0" borderId="23" xfId="0" applyFont="1" applyBorder="1" applyAlignment="1">
      <alignment wrapText="1"/>
    </xf>
    <xf numFmtId="0" fontId="1" fillId="0" borderId="23" xfId="0" applyFont="1" applyBorder="1"/>
    <xf numFmtId="167" fontId="1" fillId="0" borderId="23" xfId="0" applyNumberFormat="1" applyFont="1" applyBorder="1"/>
    <xf numFmtId="40" fontId="1" fillId="0" borderId="23" xfId="0" applyNumberFormat="1" applyFont="1" applyBorder="1"/>
    <xf numFmtId="179" fontId="1" fillId="0" borderId="0" xfId="0" applyNumberFormat="1" applyFont="1"/>
    <xf numFmtId="179" fontId="0" fillId="0" borderId="0" xfId="0" applyNumberFormat="1"/>
    <xf numFmtId="179" fontId="1" fillId="0" borderId="23" xfId="0" applyNumberFormat="1" applyFont="1" applyBorder="1"/>
    <xf numFmtId="179" fontId="1" fillId="0" borderId="18" xfId="0" applyNumberFormat="1" applyFont="1" applyBorder="1"/>
    <xf numFmtId="0" fontId="0" fillId="0" borderId="0" xfId="0" applyAlignment="1">
      <alignment horizontal="right"/>
    </xf>
    <xf numFmtId="0" fontId="0" fillId="0" borderId="0" xfId="0" applyNumberFormat="1" applyAlignment="1">
      <alignment horizontal="right"/>
    </xf>
    <xf numFmtId="0" fontId="1" fillId="0" borderId="23" xfId="0" applyFont="1" applyBorder="1" applyAlignment="1">
      <alignment horizontal="right"/>
    </xf>
    <xf numFmtId="0" fontId="1" fillId="0" borderId="18" xfId="0" applyFont="1" applyBorder="1" applyAlignment="1">
      <alignment horizontal="right"/>
    </xf>
    <xf numFmtId="0" fontId="2" fillId="0" borderId="0" xfId="0" applyFont="1"/>
    <xf numFmtId="165" fontId="3" fillId="0" borderId="0" xfId="2" applyFont="1"/>
    <xf numFmtId="165" fontId="3" fillId="0" borderId="0" xfId="0" applyNumberFormat="1" applyFont="1"/>
    <xf numFmtId="180" fontId="3" fillId="0" borderId="0" xfId="0" applyNumberFormat="1" applyFont="1"/>
    <xf numFmtId="181" fontId="0" fillId="0" borderId="0" xfId="0" applyNumberFormat="1"/>
    <xf numFmtId="0" fontId="0" fillId="0" borderId="0" xfId="0" applyFill="1"/>
    <xf numFmtId="0" fontId="1" fillId="0" borderId="0" xfId="0" applyFont="1" applyFill="1" applyAlignment="1">
      <alignment horizontal="center" wrapText="1"/>
    </xf>
    <xf numFmtId="0" fontId="1" fillId="10" borderId="2" xfId="0" applyFont="1" applyFill="1" applyBorder="1" applyAlignment="1">
      <alignment horizontal="center" wrapText="1"/>
    </xf>
    <xf numFmtId="0" fontId="0" fillId="0" borderId="2" xfId="0" applyFill="1" applyBorder="1" applyAlignment="1">
      <alignment horizontal="center" wrapText="1"/>
    </xf>
    <xf numFmtId="0" fontId="0" fillId="0" borderId="2" xfId="0" applyFill="1" applyBorder="1" applyAlignment="1">
      <alignment wrapText="1"/>
    </xf>
    <xf numFmtId="10" fontId="0" fillId="0" borderId="2" xfId="3" applyNumberFormat="1" applyFont="1" applyFill="1" applyBorder="1" applyAlignment="1">
      <alignment wrapText="1"/>
    </xf>
    <xf numFmtId="173" fontId="1" fillId="0" borderId="25" xfId="0" applyNumberFormat="1" applyFont="1" applyBorder="1" applyAlignment="1">
      <alignment horizontal="center"/>
    </xf>
    <xf numFmtId="173" fontId="1" fillId="0" borderId="25" xfId="0" applyNumberFormat="1" applyFont="1" applyBorder="1" applyAlignment="1">
      <alignment horizontal="center" wrapText="1"/>
    </xf>
    <xf numFmtId="174" fontId="1" fillId="0" borderId="25" xfId="0" applyNumberFormat="1" applyFont="1" applyBorder="1" applyAlignment="1">
      <alignment horizontal="center"/>
    </xf>
    <xf numFmtId="175" fontId="1" fillId="0" borderId="25" xfId="0" applyNumberFormat="1" applyFont="1" applyBorder="1" applyAlignment="1">
      <alignment horizontal="center"/>
    </xf>
    <xf numFmtId="174" fontId="1" fillId="0" borderId="24" xfId="0" applyNumberFormat="1" applyFont="1" applyBorder="1" applyAlignment="1">
      <alignment horizontal="center"/>
    </xf>
    <xf numFmtId="17" fontId="1" fillId="0" borderId="25" xfId="0" applyNumberFormat="1" applyFont="1" applyBorder="1" applyAlignment="1">
      <alignment horizontal="center" wrapText="1"/>
    </xf>
    <xf numFmtId="173" fontId="0" fillId="0" borderId="25" xfId="0" applyNumberFormat="1" applyBorder="1" applyAlignment="1">
      <alignment horizontal="center"/>
    </xf>
    <xf numFmtId="173" fontId="1" fillId="0" borderId="26" xfId="0" applyNumberFormat="1" applyFont="1" applyBorder="1" applyAlignment="1">
      <alignment horizontal="center"/>
    </xf>
    <xf numFmtId="173" fontId="1" fillId="0" borderId="24" xfId="0" applyNumberFormat="1" applyFont="1" applyBorder="1" applyAlignment="1">
      <alignment horizontal="center"/>
    </xf>
    <xf numFmtId="0" fontId="15" fillId="6" borderId="2" xfId="0" applyFont="1" applyFill="1" applyBorder="1" applyAlignment="1">
      <alignment vertical="top"/>
    </xf>
    <xf numFmtId="0" fontId="15" fillId="6" borderId="2" xfId="0" applyFont="1" applyFill="1" applyBorder="1" applyAlignment="1">
      <alignment vertical="top" wrapText="1"/>
    </xf>
    <xf numFmtId="0" fontId="15" fillId="6" borderId="2" xfId="0" applyFont="1" applyFill="1" applyBorder="1" applyAlignment="1">
      <alignment horizontal="center" vertical="top" wrapText="1"/>
    </xf>
    <xf numFmtId="165" fontId="15" fillId="6" borderId="9" xfId="2" applyFont="1" applyFill="1" applyBorder="1" applyAlignment="1">
      <alignment vertical="top"/>
    </xf>
    <xf numFmtId="0" fontId="15" fillId="11" borderId="2" xfId="0" applyFont="1" applyFill="1" applyBorder="1" applyAlignment="1">
      <alignment vertical="top"/>
    </xf>
    <xf numFmtId="0" fontId="15" fillId="11" borderId="2" xfId="0" applyFont="1" applyFill="1" applyBorder="1" applyAlignment="1">
      <alignment vertical="top" wrapText="1"/>
    </xf>
    <xf numFmtId="0" fontId="15" fillId="11" borderId="2" xfId="0" applyFont="1" applyFill="1" applyBorder="1" applyAlignment="1">
      <alignment horizontal="center" vertical="top" wrapText="1"/>
    </xf>
    <xf numFmtId="165" fontId="15" fillId="11" borderId="9" xfId="2" applyFont="1" applyFill="1" applyBorder="1" applyAlignment="1">
      <alignment vertical="top"/>
    </xf>
    <xf numFmtId="0" fontId="15" fillId="12" borderId="2" xfId="0" applyFont="1" applyFill="1" applyBorder="1" applyAlignment="1">
      <alignment vertical="top"/>
    </xf>
    <xf numFmtId="0" fontId="15" fillId="12" borderId="2" xfId="0" applyFont="1" applyFill="1" applyBorder="1" applyAlignment="1">
      <alignment vertical="top" wrapText="1"/>
    </xf>
    <xf numFmtId="0" fontId="15" fillId="12" borderId="2" xfId="0" applyFont="1" applyFill="1" applyBorder="1" applyAlignment="1">
      <alignment horizontal="center" vertical="top" wrapText="1"/>
    </xf>
    <xf numFmtId="165" fontId="15" fillId="12" borderId="9" xfId="2" applyFont="1" applyFill="1" applyBorder="1" applyAlignment="1">
      <alignment vertical="top"/>
    </xf>
    <xf numFmtId="0" fontId="15" fillId="13" borderId="2" xfId="0" applyFont="1" applyFill="1" applyBorder="1" applyAlignment="1">
      <alignment vertical="top"/>
    </xf>
    <xf numFmtId="0" fontId="15" fillId="13" borderId="2" xfId="0" applyFont="1" applyFill="1" applyBorder="1" applyAlignment="1">
      <alignment vertical="top" wrapText="1"/>
    </xf>
    <xf numFmtId="0" fontId="15" fillId="13" borderId="2" xfId="0" applyFont="1" applyFill="1" applyBorder="1" applyAlignment="1">
      <alignment horizontal="center" vertical="top" wrapText="1"/>
    </xf>
    <xf numFmtId="165" fontId="15" fillId="13" borderId="9" xfId="2" applyFont="1" applyFill="1" applyBorder="1" applyAlignment="1">
      <alignment vertical="top"/>
    </xf>
    <xf numFmtId="0" fontId="15" fillId="13" borderId="11" xfId="0" applyFont="1" applyFill="1" applyBorder="1" applyAlignment="1">
      <alignment vertical="top"/>
    </xf>
    <xf numFmtId="0" fontId="15" fillId="13" borderId="11" xfId="0" applyFont="1" applyFill="1" applyBorder="1" applyAlignment="1">
      <alignment vertical="top" wrapText="1"/>
    </xf>
    <xf numFmtId="0" fontId="15" fillId="13" borderId="11" xfId="0" applyFont="1" applyFill="1" applyBorder="1" applyAlignment="1">
      <alignment horizontal="center" vertical="top" wrapText="1"/>
    </xf>
    <xf numFmtId="165" fontId="15" fillId="13" borderId="12" xfId="2" applyFont="1" applyFill="1" applyBorder="1" applyAlignment="1">
      <alignment vertical="top"/>
    </xf>
    <xf numFmtId="0" fontId="4" fillId="0" borderId="27" xfId="0" applyFont="1" applyBorder="1" applyAlignment="1">
      <alignment vertical="center" textRotation="90"/>
    </xf>
    <xf numFmtId="0" fontId="4" fillId="0" borderId="28" xfId="0" applyFont="1" applyBorder="1" applyAlignment="1">
      <alignment vertical="top"/>
    </xf>
    <xf numFmtId="0" fontId="4" fillId="0" borderId="28" xfId="0" applyFont="1" applyBorder="1" applyAlignment="1">
      <alignment vertical="top" wrapText="1"/>
    </xf>
    <xf numFmtId="0" fontId="4" fillId="0" borderId="28" xfId="0" applyFont="1" applyBorder="1" applyAlignment="1">
      <alignment horizontal="center" vertical="top" wrapText="1"/>
    </xf>
    <xf numFmtId="0" fontId="4" fillId="0" borderId="28" xfId="0" applyFont="1" applyBorder="1" applyAlignment="1">
      <alignment horizontal="center" vertical="top"/>
    </xf>
    <xf numFmtId="164" fontId="4" fillId="0" borderId="29" xfId="0" applyNumberFormat="1" applyFont="1" applyBorder="1" applyAlignment="1">
      <alignment horizontal="right" vertical="top"/>
    </xf>
    <xf numFmtId="0" fontId="15" fillId="6" borderId="7" xfId="0" applyFont="1" applyFill="1" applyBorder="1" applyAlignment="1">
      <alignment vertical="top"/>
    </xf>
    <xf numFmtId="0" fontId="15" fillId="6" borderId="7" xfId="0" applyFont="1" applyFill="1" applyBorder="1" applyAlignment="1">
      <alignment vertical="top" wrapText="1"/>
    </xf>
    <xf numFmtId="0" fontId="15" fillId="6" borderId="7" xfId="0" applyFont="1" applyFill="1" applyBorder="1" applyAlignment="1">
      <alignment horizontal="center" vertical="top" wrapText="1"/>
    </xf>
    <xf numFmtId="165" fontId="15" fillId="6" borderId="8" xfId="2" applyFont="1" applyFill="1" applyBorder="1" applyAlignment="1">
      <alignment vertical="top"/>
    </xf>
    <xf numFmtId="0" fontId="15" fillId="6" borderId="11" xfId="0" applyFont="1" applyFill="1" applyBorder="1" applyAlignment="1">
      <alignment vertical="top"/>
    </xf>
    <xf numFmtId="0" fontId="15" fillId="6" borderId="11" xfId="0" applyFont="1" applyFill="1" applyBorder="1" applyAlignment="1">
      <alignment vertical="top" wrapText="1"/>
    </xf>
    <xf numFmtId="0" fontId="15" fillId="6" borderId="11" xfId="0" applyFont="1" applyFill="1" applyBorder="1" applyAlignment="1">
      <alignment horizontal="center" vertical="top" wrapText="1"/>
    </xf>
    <xf numFmtId="165" fontId="15" fillId="6" borderId="12" xfId="2" applyFont="1" applyFill="1" applyBorder="1" applyAlignment="1">
      <alignment vertical="top"/>
    </xf>
    <xf numFmtId="0" fontId="15" fillId="11" borderId="7" xfId="0" applyFont="1" applyFill="1" applyBorder="1" applyAlignment="1">
      <alignment vertical="top"/>
    </xf>
    <xf numFmtId="0" fontId="15" fillId="11" borderId="7" xfId="0" applyFont="1" applyFill="1" applyBorder="1" applyAlignment="1">
      <alignment vertical="top" wrapText="1"/>
    </xf>
    <xf numFmtId="0" fontId="15" fillId="11" borderId="7" xfId="0" applyFont="1" applyFill="1" applyBorder="1" applyAlignment="1">
      <alignment horizontal="center" vertical="top" wrapText="1"/>
    </xf>
    <xf numFmtId="165" fontId="15" fillId="11" borderId="8" xfId="2" applyFont="1" applyFill="1" applyBorder="1" applyAlignment="1">
      <alignment vertical="top"/>
    </xf>
    <xf numFmtId="0" fontId="15" fillId="11" borderId="11" xfId="0" applyFont="1" applyFill="1" applyBorder="1" applyAlignment="1">
      <alignment vertical="top"/>
    </xf>
    <xf numFmtId="0" fontId="15" fillId="11" borderId="11" xfId="0" applyFont="1" applyFill="1" applyBorder="1" applyAlignment="1">
      <alignment vertical="top" wrapText="1"/>
    </xf>
    <xf numFmtId="0" fontId="15" fillId="11" borderId="11" xfId="0" applyFont="1" applyFill="1" applyBorder="1" applyAlignment="1">
      <alignment horizontal="center" vertical="top" wrapText="1"/>
    </xf>
    <xf numFmtId="165" fontId="15" fillId="11" borderId="12" xfId="2" applyFont="1" applyFill="1" applyBorder="1" applyAlignment="1">
      <alignment vertical="top"/>
    </xf>
    <xf numFmtId="0" fontId="15" fillId="12" borderId="7" xfId="0" applyFont="1" applyFill="1" applyBorder="1" applyAlignment="1">
      <alignment vertical="top"/>
    </xf>
    <xf numFmtId="0" fontId="15" fillId="12" borderId="7" xfId="0" applyFont="1" applyFill="1" applyBorder="1" applyAlignment="1">
      <alignment vertical="top" wrapText="1"/>
    </xf>
    <xf numFmtId="0" fontId="15" fillId="12" borderId="7" xfId="0" applyFont="1" applyFill="1" applyBorder="1" applyAlignment="1">
      <alignment horizontal="center" vertical="top" wrapText="1"/>
    </xf>
    <xf numFmtId="165" fontId="15" fillId="12" borderId="8" xfId="2" applyFont="1" applyFill="1" applyBorder="1" applyAlignment="1">
      <alignment vertical="top"/>
    </xf>
    <xf numFmtId="0" fontId="15" fillId="12" borderId="11" xfId="0" applyFont="1" applyFill="1" applyBorder="1" applyAlignment="1">
      <alignment vertical="top"/>
    </xf>
    <xf numFmtId="0" fontId="15" fillId="12" borderId="11" xfId="0" applyFont="1" applyFill="1" applyBorder="1" applyAlignment="1">
      <alignment vertical="top" wrapText="1"/>
    </xf>
    <xf numFmtId="0" fontId="15" fillId="12" borderId="11" xfId="0" applyFont="1" applyFill="1" applyBorder="1" applyAlignment="1">
      <alignment horizontal="center" vertical="top" wrapText="1"/>
    </xf>
    <xf numFmtId="165" fontId="15" fillId="12" borderId="12" xfId="2" applyFont="1" applyFill="1" applyBorder="1" applyAlignment="1">
      <alignment vertical="top"/>
    </xf>
    <xf numFmtId="0" fontId="15" fillId="13" borderId="7" xfId="0" applyFont="1" applyFill="1" applyBorder="1" applyAlignment="1">
      <alignment vertical="top"/>
    </xf>
    <xf numFmtId="0" fontId="15" fillId="13" borderId="7" xfId="0" applyFont="1" applyFill="1" applyBorder="1" applyAlignment="1">
      <alignment vertical="top" wrapText="1"/>
    </xf>
    <xf numFmtId="0" fontId="15" fillId="13" borderId="7" xfId="0" applyFont="1" applyFill="1" applyBorder="1" applyAlignment="1">
      <alignment horizontal="center" vertical="top" wrapText="1"/>
    </xf>
    <xf numFmtId="165" fontId="15" fillId="13" borderId="8" xfId="2" applyFont="1" applyFill="1" applyBorder="1" applyAlignment="1">
      <alignment vertical="top"/>
    </xf>
    <xf numFmtId="0" fontId="0" fillId="0" borderId="0" xfId="0" applyBorder="1" applyAlignment="1">
      <alignment horizontal="center" wrapText="1"/>
    </xf>
    <xf numFmtId="0" fontId="0" fillId="0" borderId="0" xfId="0" applyBorder="1" applyAlignment="1">
      <alignment wrapText="1"/>
    </xf>
    <xf numFmtId="0" fontId="12" fillId="0" borderId="0" xfId="0" applyFont="1" applyBorder="1" applyAlignment="1">
      <alignment horizontal="right" wrapText="1"/>
    </xf>
    <xf numFmtId="0" fontId="1" fillId="0" borderId="2" xfId="0" applyFont="1" applyBorder="1" applyAlignment="1">
      <alignment horizontal="center" wrapText="1"/>
    </xf>
    <xf numFmtId="0" fontId="1" fillId="0" borderId="2" xfId="0" applyFont="1" applyBorder="1" applyAlignment="1">
      <alignment wrapText="1"/>
    </xf>
    <xf numFmtId="0" fontId="2" fillId="0" borderId="2" xfId="0" applyFont="1"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0" fontId="12" fillId="0" borderId="2" xfId="0" applyFont="1" applyBorder="1" applyAlignment="1">
      <alignment horizontal="right" wrapText="1"/>
    </xf>
    <xf numFmtId="165" fontId="1" fillId="10" borderId="2" xfId="2" applyFont="1" applyFill="1" applyBorder="1" applyAlignment="1">
      <alignment horizontal="center" wrapText="1"/>
    </xf>
    <xf numFmtId="165" fontId="0" fillId="0" borderId="2" xfId="2" applyFont="1" applyBorder="1"/>
    <xf numFmtId="165" fontId="0" fillId="0" borderId="0" xfId="2" applyFont="1" applyFill="1" applyAlignment="1">
      <alignment wrapText="1"/>
    </xf>
    <xf numFmtId="0" fontId="1" fillId="10" borderId="2" xfId="0" applyFont="1" applyFill="1" applyBorder="1" applyAlignment="1">
      <alignment horizontal="center" vertical="top" wrapText="1"/>
    </xf>
    <xf numFmtId="178" fontId="1" fillId="10" borderId="2" xfId="1" applyNumberFormat="1" applyFont="1" applyFill="1" applyBorder="1" applyAlignment="1">
      <alignment horizontal="center" vertical="top" wrapText="1"/>
    </xf>
    <xf numFmtId="0" fontId="0" fillId="0" borderId="2" xfId="0" applyFill="1" applyBorder="1" applyAlignment="1">
      <alignment horizontal="center" vertical="top" wrapText="1"/>
    </xf>
    <xf numFmtId="0" fontId="0" fillId="0" borderId="2" xfId="0" applyFill="1" applyBorder="1" applyAlignment="1">
      <alignment vertical="top" wrapText="1"/>
    </xf>
    <xf numFmtId="178" fontId="0" fillId="0" borderId="2" xfId="1" applyNumberFormat="1" applyFont="1" applyFill="1" applyBorder="1" applyAlignment="1">
      <alignment vertical="top" wrapText="1"/>
    </xf>
    <xf numFmtId="0" fontId="0" fillId="0" borderId="0" xfId="0" applyFill="1" applyAlignment="1">
      <alignment horizontal="center" vertical="top" wrapText="1"/>
    </xf>
    <xf numFmtId="0" fontId="0" fillId="0" borderId="0" xfId="0" applyFill="1" applyAlignment="1">
      <alignment vertical="top" wrapText="1"/>
    </xf>
    <xf numFmtId="178" fontId="0" fillId="0" borderId="0" xfId="1" applyNumberFormat="1" applyFont="1" applyFill="1" applyAlignment="1">
      <alignment vertical="top" wrapText="1"/>
    </xf>
    <xf numFmtId="0" fontId="1" fillId="0" borderId="2" xfId="0" applyFont="1" applyBorder="1"/>
    <xf numFmtId="0" fontId="1" fillId="0" borderId="2" xfId="0" applyFont="1" applyBorder="1" applyAlignment="1">
      <alignment horizontal="right"/>
    </xf>
    <xf numFmtId="0" fontId="1" fillId="0" borderId="2" xfId="0" applyFont="1" applyBorder="1" applyAlignment="1">
      <alignment horizontal="center"/>
    </xf>
    <xf numFmtId="0" fontId="0" fillId="0" borderId="2" xfId="0" applyBorder="1"/>
    <xf numFmtId="0" fontId="1" fillId="9" borderId="2" xfId="0" applyFont="1" applyFill="1" applyBorder="1"/>
    <xf numFmtId="0" fontId="1" fillId="9" borderId="2" xfId="0" applyFont="1" applyFill="1" applyBorder="1" applyAlignment="1">
      <alignment wrapText="1"/>
    </xf>
    <xf numFmtId="40" fontId="1" fillId="9" borderId="2" xfId="0" applyNumberFormat="1" applyFont="1" applyFill="1" applyBorder="1"/>
    <xf numFmtId="167" fontId="1" fillId="9" borderId="2" xfId="0" applyNumberFormat="1" applyFont="1" applyFill="1" applyBorder="1"/>
    <xf numFmtId="167" fontId="1" fillId="9" borderId="2" xfId="0" applyNumberFormat="1" applyFont="1" applyFill="1" applyBorder="1" applyAlignment="1">
      <alignment horizontal="center"/>
    </xf>
    <xf numFmtId="40" fontId="0" fillId="0" borderId="2" xfId="0" applyNumberFormat="1" applyBorder="1"/>
    <xf numFmtId="167" fontId="0" fillId="0" borderId="2" xfId="0" applyNumberFormat="1" applyBorder="1"/>
    <xf numFmtId="167" fontId="0" fillId="0" borderId="2" xfId="0" applyNumberFormat="1" applyBorder="1" applyAlignment="1">
      <alignment horizontal="center"/>
    </xf>
    <xf numFmtId="10" fontId="0" fillId="0" borderId="2" xfId="3" applyNumberFormat="1" applyFont="1" applyBorder="1" applyAlignment="1">
      <alignment horizontal="center"/>
    </xf>
    <xf numFmtId="0" fontId="6" fillId="0" borderId="2" xfId="0" applyFont="1" applyBorder="1"/>
    <xf numFmtId="0" fontId="6" fillId="0" borderId="2" xfId="0" applyFont="1" applyBorder="1" applyAlignment="1">
      <alignment wrapText="1"/>
    </xf>
    <xf numFmtId="40" fontId="6" fillId="0" borderId="2" xfId="0" applyNumberFormat="1" applyFont="1" applyBorder="1"/>
    <xf numFmtId="167" fontId="6" fillId="0" borderId="2" xfId="0" applyNumberFormat="1" applyFont="1" applyBorder="1"/>
    <xf numFmtId="167" fontId="0" fillId="0" borderId="2" xfId="0" applyNumberFormat="1" applyFill="1" applyBorder="1"/>
    <xf numFmtId="40" fontId="0" fillId="0" borderId="2" xfId="0" applyNumberFormat="1" applyFill="1" applyBorder="1"/>
    <xf numFmtId="10" fontId="0" fillId="0" borderId="2" xfId="3" applyNumberFormat="1" applyFont="1" applyFill="1" applyBorder="1" applyAlignment="1">
      <alignment horizontal="center"/>
    </xf>
    <xf numFmtId="0" fontId="0" fillId="0" borderId="2" xfId="0" applyFill="1" applyBorder="1"/>
    <xf numFmtId="165" fontId="0" fillId="0" borderId="2" xfId="2" applyFont="1" applyFill="1" applyBorder="1"/>
    <xf numFmtId="40" fontId="1" fillId="0" borderId="2" xfId="0" applyNumberFormat="1" applyFont="1" applyBorder="1"/>
    <xf numFmtId="167" fontId="1" fillId="0" borderId="2" xfId="0" applyNumberFormat="1" applyFont="1" applyBorder="1"/>
    <xf numFmtId="10" fontId="1" fillId="0" borderId="2" xfId="3" applyNumberFormat="1" applyFont="1" applyBorder="1" applyAlignment="1">
      <alignment horizontal="center"/>
    </xf>
    <xf numFmtId="167" fontId="1" fillId="0" borderId="2" xfId="0" applyNumberFormat="1" applyFont="1" applyBorder="1" applyAlignment="1">
      <alignment horizontal="center"/>
    </xf>
    <xf numFmtId="165" fontId="1" fillId="0" borderId="2" xfId="2" applyFont="1" applyBorder="1" applyAlignment="1">
      <alignment horizontal="center"/>
    </xf>
    <xf numFmtId="0" fontId="1" fillId="0" borderId="0" xfId="0" applyFont="1" applyAlignment="1">
      <alignment horizontal="center" wrapText="1"/>
    </xf>
    <xf numFmtId="15" fontId="2" fillId="0" borderId="0" xfId="0" applyNumberFormat="1" applyFont="1" applyFill="1" applyAlignment="1">
      <alignment horizontal="center"/>
    </xf>
    <xf numFmtId="17" fontId="0" fillId="0" borderId="0" xfId="0" applyNumberFormat="1"/>
    <xf numFmtId="178" fontId="0" fillId="0" borderId="0" xfId="0" applyNumberFormat="1"/>
    <xf numFmtId="17" fontId="1" fillId="0" borderId="2" xfId="0" applyNumberFormat="1" applyFont="1" applyBorder="1"/>
    <xf numFmtId="166" fontId="0" fillId="0" borderId="2" xfId="1" applyFont="1" applyBorder="1"/>
    <xf numFmtId="166" fontId="1" fillId="0" borderId="2" xfId="1" applyFont="1" applyBorder="1"/>
    <xf numFmtId="0" fontId="16" fillId="0" borderId="2" xfId="0" applyFont="1" applyBorder="1" applyAlignment="1">
      <alignment horizontal="center"/>
    </xf>
    <xf numFmtId="166" fontId="1" fillId="0" borderId="2" xfId="1" applyFont="1" applyBorder="1" applyAlignment="1">
      <alignment horizontal="right"/>
    </xf>
    <xf numFmtId="166" fontId="1" fillId="9" borderId="2" xfId="1" applyFont="1" applyFill="1" applyBorder="1"/>
    <xf numFmtId="166" fontId="6" fillId="0" borderId="2" xfId="1" applyFont="1" applyBorder="1"/>
    <xf numFmtId="166" fontId="0" fillId="0" borderId="2" xfId="1" applyFont="1" applyFill="1" applyBorder="1"/>
    <xf numFmtId="166" fontId="0" fillId="0" borderId="0" xfId="1" applyFont="1"/>
    <xf numFmtId="0" fontId="4" fillId="0" borderId="6" xfId="0" applyFont="1" applyBorder="1" applyAlignment="1">
      <alignment horizontal="center" vertical="center" textRotation="90"/>
    </xf>
    <xf numFmtId="0" fontId="4" fillId="0" borderId="4" xfId="0" applyFont="1" applyBorder="1" applyAlignment="1">
      <alignment horizontal="center" vertical="center" textRotation="90"/>
    </xf>
    <xf numFmtId="0" fontId="4" fillId="0" borderId="10" xfId="0" applyFont="1" applyBorder="1" applyAlignment="1">
      <alignment horizontal="center" vertical="center" textRotation="90"/>
    </xf>
    <xf numFmtId="15" fontId="1" fillId="0" borderId="17" xfId="0" applyNumberFormat="1" applyFont="1" applyFill="1" applyBorder="1" applyAlignment="1">
      <alignment horizontal="center"/>
    </xf>
    <xf numFmtId="172" fontId="1" fillId="7" borderId="6" xfId="0" applyNumberFormat="1" applyFont="1" applyFill="1" applyBorder="1" applyAlignment="1">
      <alignment horizontal="center"/>
    </xf>
    <xf numFmtId="172" fontId="1" fillId="7" borderId="7" xfId="0" applyNumberFormat="1" applyFont="1" applyFill="1" applyBorder="1" applyAlignment="1">
      <alignment horizontal="center"/>
    </xf>
    <xf numFmtId="172" fontId="1" fillId="0" borderId="7" xfId="0" applyNumberFormat="1" applyFont="1" applyBorder="1" applyAlignment="1">
      <alignment horizontal="center"/>
    </xf>
    <xf numFmtId="172" fontId="1" fillId="7" borderId="8" xfId="0" applyNumberFormat="1" applyFont="1" applyFill="1" applyBorder="1" applyAlignment="1">
      <alignment horizontal="center"/>
    </xf>
  </cellXfs>
  <cellStyles count="4">
    <cellStyle name="Komma" xfId="1" builtinId="3"/>
    <cellStyle name="Prozent" xfId="3" builtinId="5"/>
    <cellStyle name="Standard" xfId="0" builtinId="0"/>
    <cellStyle name="Währung" xfId="2" builtinId="4"/>
  </cellStyles>
  <dxfs count="0"/>
  <tableStyles count="0" defaultTableStyle="TableStyleMedium2" defaultPivotStyle="PivotStyleLight16"/>
  <colors>
    <mruColors>
      <color rgb="FFFFFF99"/>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rett Thiele" id="{DCC90C1D-4294-4EEC-8263-6B0C9355292E}" userId="Brett Thiele" providerId="None"/>
</personList>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19-11-01T23:07:40.66" personId="{DCC90C1D-4294-4EEC-8263-6B0C9355292E}" id="{3F1052F8-03B7-4EB7-A127-5F2C173BED34}">
    <text>WBS</text>
  </threadedComment>
  <threadedComment ref="B2" dT="2019-11-01T23:08:07.12" personId="{DCC90C1D-4294-4EEC-8263-6B0C9355292E}" id="{D324CC9F-C578-4D8F-A6A5-95EE69CD9FF7}">
    <text>Description or Task</text>
  </threadedComment>
  <threadedComment ref="C2" dT="2019-11-01T23:08:37.65" personId="{DCC90C1D-4294-4EEC-8263-6B0C9355292E}" id="{CE97E748-2484-4914-89EF-E56793F3A31F}">
    <text>Duration of Task, calculated from the estimate based on quantity and productivity.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218"/>
  <sheetViews>
    <sheetView topLeftCell="K1" zoomScaleNormal="100" workbookViewId="0">
      <pane ySplit="2" topLeftCell="A862" activePane="bottomLeft" state="frozen"/>
      <selection pane="bottomLeft" activeCell="C874" sqref="C874"/>
    </sheetView>
  </sheetViews>
  <sheetFormatPr baseColWidth="10" defaultColWidth="8.86328125" defaultRowHeight="10.5" outlineLevelRow="1" outlineLevelCol="1" x14ac:dyDescent="0.5"/>
  <cols>
    <col min="1" max="1" width="10.1328125" style="48" bestFit="1" customWidth="1"/>
    <col min="2" max="2" width="10.1328125" style="3" bestFit="1" customWidth="1"/>
    <col min="3" max="3" width="40.1328125" style="17" customWidth="1"/>
    <col min="4" max="4" width="5.54296875" style="3" customWidth="1"/>
    <col min="5" max="5" width="4.86328125" style="48" customWidth="1" outlineLevel="1"/>
    <col min="6" max="6" width="7" style="56" bestFit="1" customWidth="1" outlineLevel="1"/>
    <col min="7" max="7" width="8.7265625" style="3" bestFit="1" customWidth="1" outlineLevel="1"/>
    <col min="8" max="8" width="9.1328125" style="3" bestFit="1" customWidth="1"/>
    <col min="9" max="9" width="10.40625" style="3" bestFit="1" customWidth="1"/>
    <col min="10" max="10" width="10.86328125" style="3" bestFit="1" customWidth="1"/>
    <col min="11" max="11" width="5.86328125" style="94" bestFit="1" customWidth="1"/>
    <col min="12" max="12" width="7.1328125" style="94" customWidth="1"/>
    <col min="13" max="13" width="10.40625" style="3" customWidth="1" outlineLevel="1"/>
    <col min="14" max="15" width="11" style="3" customWidth="1" outlineLevel="1"/>
    <col min="16" max="16" width="9.54296875" style="3" customWidth="1" outlineLevel="1"/>
    <col min="17" max="17" width="17.953125" style="3" customWidth="1"/>
    <col min="18" max="18" width="9.1328125" style="48" customWidth="1"/>
    <col min="19" max="20" width="8.86328125" style="3"/>
    <col min="21" max="21" width="4" style="3" bestFit="1" customWidth="1"/>
    <col min="22" max="22" width="8" style="3" bestFit="1" customWidth="1"/>
    <col min="23" max="23" width="10.54296875" style="3" customWidth="1"/>
    <col min="24" max="24" width="5" style="3" bestFit="1" customWidth="1"/>
    <col min="25" max="25" width="10.7265625" style="3" bestFit="1" customWidth="1"/>
    <col min="26" max="69" width="8.86328125" style="3"/>
    <col min="70" max="70" width="8.86328125" style="83"/>
    <col min="71" max="16384" width="8.86328125" style="3"/>
  </cols>
  <sheetData>
    <row r="1" spans="1:70" s="24" customFormat="1" ht="11.25" x14ac:dyDescent="0.2">
      <c r="A1" s="42"/>
      <c r="B1" s="4"/>
      <c r="C1" s="5"/>
      <c r="D1" s="4"/>
      <c r="E1" s="42"/>
      <c r="F1" s="49"/>
      <c r="G1" s="4"/>
      <c r="H1" s="4"/>
      <c r="I1" s="4"/>
      <c r="J1" s="25">
        <f>SUBTOTAL(9,J3:J1215)</f>
        <v>1953141.4284970635</v>
      </c>
      <c r="K1" s="87"/>
      <c r="L1" s="87"/>
      <c r="M1" s="25">
        <f>SUBTOTAL(9,M3:M1215)</f>
        <v>221063.27498658968</v>
      </c>
      <c r="N1" s="25">
        <f>SUBTOTAL(9,N3:N1215)</f>
        <v>354662.80553428095</v>
      </c>
      <c r="O1" s="25">
        <f>SUBTOTAL(9,O3:O1215)</f>
        <v>437028.88996124093</v>
      </c>
      <c r="P1" s="25">
        <f>SUBTOTAL(9,P3:P1215)</f>
        <v>940386.45801495132</v>
      </c>
      <c r="Q1" s="23">
        <f>SUM(M1:P1)</f>
        <v>1953141.428497063</v>
      </c>
      <c r="R1" s="116"/>
      <c r="BR1" s="84"/>
    </row>
    <row r="2" spans="1:70" ht="12.75" x14ac:dyDescent="0.2">
      <c r="A2" s="42" t="s">
        <v>972</v>
      </c>
      <c r="B2" s="4" t="s">
        <v>0</v>
      </c>
      <c r="C2" s="5" t="s">
        <v>1</v>
      </c>
      <c r="D2" s="4" t="s">
        <v>2</v>
      </c>
      <c r="E2" s="42" t="s">
        <v>910</v>
      </c>
      <c r="F2" s="50" t="s">
        <v>3</v>
      </c>
      <c r="G2" s="6" t="s">
        <v>445</v>
      </c>
      <c r="H2" s="6" t="s">
        <v>5</v>
      </c>
      <c r="I2" s="6" t="s">
        <v>6</v>
      </c>
      <c r="J2" s="6" t="s">
        <v>443</v>
      </c>
      <c r="K2" s="88" t="s">
        <v>935</v>
      </c>
      <c r="L2" s="88" t="s">
        <v>444</v>
      </c>
      <c r="M2" s="6" t="s">
        <v>7</v>
      </c>
      <c r="N2" s="6" t="s">
        <v>8</v>
      </c>
      <c r="O2" s="6" t="s">
        <v>9</v>
      </c>
      <c r="P2" s="6" t="s">
        <v>10</v>
      </c>
      <c r="Q2" s="6" t="s">
        <v>11</v>
      </c>
      <c r="R2" s="42" t="s">
        <v>941</v>
      </c>
      <c r="T2" s="57"/>
      <c r="U2" s="57"/>
      <c r="V2" s="57"/>
      <c r="W2" s="57"/>
      <c r="X2" s="57"/>
      <c r="Y2" s="57"/>
    </row>
    <row r="3" spans="1:70" ht="11.25" x14ac:dyDescent="0.2">
      <c r="A3" s="42">
        <v>3</v>
      </c>
      <c r="B3" s="4"/>
      <c r="C3" s="5" t="s">
        <v>614</v>
      </c>
      <c r="D3" s="4"/>
      <c r="E3" s="42"/>
      <c r="F3" s="50"/>
      <c r="G3" s="6"/>
      <c r="H3" s="6"/>
      <c r="I3" s="6"/>
      <c r="J3" s="6"/>
      <c r="K3" s="88"/>
      <c r="L3" s="88"/>
      <c r="M3" s="6"/>
      <c r="N3" s="6"/>
      <c r="O3" s="6"/>
      <c r="P3" s="6"/>
      <c r="Q3" s="6"/>
      <c r="R3" s="42"/>
    </row>
    <row r="4" spans="1:70" ht="22.5" x14ac:dyDescent="0.2">
      <c r="A4" s="130">
        <v>4</v>
      </c>
      <c r="B4" s="7" t="s">
        <v>12</v>
      </c>
      <c r="C4" s="7" t="s">
        <v>13</v>
      </c>
      <c r="D4" s="8" t="s">
        <v>14</v>
      </c>
      <c r="E4" s="43"/>
      <c r="F4" s="51"/>
      <c r="G4" s="9"/>
      <c r="H4" s="129">
        <f>VLOOKUP($A4,'Model Inputs'!$A:$D,4)</f>
        <v>1</v>
      </c>
      <c r="I4" s="9">
        <f>J4/H4</f>
        <v>36340</v>
      </c>
      <c r="J4" s="9">
        <f>SUBTOTAL(9,J5:J15)</f>
        <v>36340</v>
      </c>
      <c r="K4" s="89"/>
      <c r="L4" s="89">
        <f>ROUNDUP(MAX(L14:L15)*40/workhrs,0)</f>
        <v>5</v>
      </c>
      <c r="M4" s="9">
        <f>SUBTOTAL(9,M5:M15)</f>
        <v>10400</v>
      </c>
      <c r="N4" s="9">
        <f>SUBTOTAL(9,N5:N15)</f>
        <v>0</v>
      </c>
      <c r="O4" s="9">
        <f>SUBTOTAL(9,O5:O15)</f>
        <v>10100</v>
      </c>
      <c r="P4" s="9">
        <f>SUBTOTAL(9,P5:P15)</f>
        <v>15840</v>
      </c>
      <c r="Q4" s="10">
        <f>SUM(M4:P4)</f>
        <v>36340</v>
      </c>
      <c r="R4" s="117"/>
    </row>
    <row r="5" spans="1:70" ht="11.25" outlineLevel="1" x14ac:dyDescent="0.2">
      <c r="A5" s="131" t="s">
        <v>448</v>
      </c>
      <c r="B5" s="14">
        <v>1</v>
      </c>
      <c r="C5" s="15" t="s">
        <v>15</v>
      </c>
      <c r="D5" s="44" t="str">
        <f>VLOOKUP(Estimate!$C5,Resources!$B$3:$G$336,4,FALSE)</f>
        <v xml:space="preserve">Item </v>
      </c>
      <c r="E5" s="44" t="str">
        <f>VLOOKUP(Estimate!$C5,Resources!$B$3:$G$336,3,FALSE)</f>
        <v>S</v>
      </c>
      <c r="F5" s="52">
        <v>1</v>
      </c>
      <c r="G5" s="12"/>
      <c r="H5" s="12">
        <v>15840</v>
      </c>
      <c r="I5" s="12">
        <f>VLOOKUP(C5,Resources!$B$3:$G$336,6,FALSE)</f>
        <v>1</v>
      </c>
      <c r="J5" s="12">
        <f t="shared" ref="J5:J15" si="0">H5*I5</f>
        <v>15840</v>
      </c>
      <c r="K5" s="90"/>
      <c r="L5" s="90"/>
      <c r="M5" s="16">
        <f>IF($E5="L",$J5,0)</f>
        <v>0</v>
      </c>
      <c r="N5" s="16">
        <f>IF($E5="M",$J5,0)</f>
        <v>0</v>
      </c>
      <c r="O5" s="16">
        <f>IF($E5="P",$J5,0)</f>
        <v>0</v>
      </c>
      <c r="P5" s="16">
        <f>IF($E5="S",$J5,0)</f>
        <v>15840</v>
      </c>
      <c r="Q5" s="16">
        <f>SUM(M5:P5)</f>
        <v>15840</v>
      </c>
      <c r="R5" s="118">
        <v>904</v>
      </c>
    </row>
    <row r="6" spans="1:70" ht="11.25" outlineLevel="1" x14ac:dyDescent="0.2">
      <c r="A6" s="131" t="s">
        <v>448</v>
      </c>
      <c r="B6" s="14">
        <v>2</v>
      </c>
      <c r="C6" s="15" t="s">
        <v>16</v>
      </c>
      <c r="D6" s="44" t="str">
        <f>VLOOKUP(Estimate!$C6,Resources!$B$3:$G$336,4,FALSE)</f>
        <v xml:space="preserve">LS   </v>
      </c>
      <c r="E6" s="44" t="str">
        <f>VLOOKUP(Estimate!$C6,Resources!$B$3:$G$336,3,FALSE)</f>
        <v>P</v>
      </c>
      <c r="F6" s="52">
        <v>1</v>
      </c>
      <c r="G6" s="12"/>
      <c r="H6" s="12">
        <v>750</v>
      </c>
      <c r="I6" s="12">
        <f>VLOOKUP(C6,Resources!$B$3:$G$336,6,FALSE)</f>
        <v>1</v>
      </c>
      <c r="J6" s="12">
        <f t="shared" si="0"/>
        <v>750</v>
      </c>
      <c r="K6" s="90"/>
      <c r="L6" s="90"/>
      <c r="M6" s="16">
        <f t="shared" ref="M6:M15" si="1">IF($E6="L",J6,0)</f>
        <v>0</v>
      </c>
      <c r="N6" s="16">
        <f t="shared" ref="N6:N15" si="2">IF($E6="M",J6,0)</f>
        <v>0</v>
      </c>
      <c r="O6" s="16">
        <f t="shared" ref="O6:O15" si="3">IF($E6="P",J6,0)</f>
        <v>750</v>
      </c>
      <c r="P6" s="16">
        <f t="shared" ref="P6:P15" si="4">IF($E6="S",J6,0)</f>
        <v>0</v>
      </c>
      <c r="Q6" s="16">
        <f t="shared" ref="Q6:Q15" si="5">SUM(M6:P6)</f>
        <v>750</v>
      </c>
      <c r="R6" s="118">
        <v>907</v>
      </c>
    </row>
    <row r="7" spans="1:70" ht="11.25" outlineLevel="1" x14ac:dyDescent="0.2">
      <c r="A7" s="131" t="s">
        <v>448</v>
      </c>
      <c r="B7" s="14">
        <v>3</v>
      </c>
      <c r="C7" s="15" t="s">
        <v>16</v>
      </c>
      <c r="D7" s="44" t="str">
        <f>VLOOKUP(Estimate!$C7,Resources!$B$3:$G$336,4,FALSE)</f>
        <v xml:space="preserve">LS   </v>
      </c>
      <c r="E7" s="44" t="str">
        <f>VLOOKUP(Estimate!$C7,Resources!$B$3:$G$336,3,FALSE)</f>
        <v>P</v>
      </c>
      <c r="F7" s="52">
        <v>1</v>
      </c>
      <c r="G7" s="12"/>
      <c r="H7" s="12">
        <v>1800</v>
      </c>
      <c r="I7" s="12">
        <f>VLOOKUP(C7,Resources!$B$3:$G$336,6,FALSE)</f>
        <v>1</v>
      </c>
      <c r="J7" s="12">
        <f t="shared" si="0"/>
        <v>1800</v>
      </c>
      <c r="K7" s="90"/>
      <c r="L7" s="90"/>
      <c r="M7" s="16">
        <f t="shared" si="1"/>
        <v>0</v>
      </c>
      <c r="N7" s="16">
        <f t="shared" si="2"/>
        <v>0</v>
      </c>
      <c r="O7" s="16">
        <f t="shared" si="3"/>
        <v>1800</v>
      </c>
      <c r="P7" s="16">
        <f t="shared" si="4"/>
        <v>0</v>
      </c>
      <c r="Q7" s="16">
        <f t="shared" si="5"/>
        <v>1800</v>
      </c>
      <c r="R7" s="118">
        <v>907</v>
      </c>
    </row>
    <row r="8" spans="1:70" ht="11.25" outlineLevel="1" x14ac:dyDescent="0.2">
      <c r="A8" s="131" t="s">
        <v>448</v>
      </c>
      <c r="B8" s="14">
        <v>4</v>
      </c>
      <c r="C8" s="15" t="s">
        <v>16</v>
      </c>
      <c r="D8" s="44" t="str">
        <f>VLOOKUP(Estimate!$C8,Resources!$B$3:$G$336,4,FALSE)</f>
        <v xml:space="preserve">LS   </v>
      </c>
      <c r="E8" s="44" t="str">
        <f>VLOOKUP(Estimate!$C8,Resources!$B$3:$G$336,3,FALSE)</f>
        <v>P</v>
      </c>
      <c r="F8" s="52">
        <v>1</v>
      </c>
      <c r="G8" s="12"/>
      <c r="H8" s="12">
        <v>750</v>
      </c>
      <c r="I8" s="12">
        <f>VLOOKUP(C8,Resources!$B$3:$G$336,6,FALSE)</f>
        <v>1</v>
      </c>
      <c r="J8" s="12">
        <f t="shared" si="0"/>
        <v>750</v>
      </c>
      <c r="K8" s="90"/>
      <c r="L8" s="90"/>
      <c r="M8" s="16">
        <f t="shared" si="1"/>
        <v>0</v>
      </c>
      <c r="N8" s="16">
        <f t="shared" si="2"/>
        <v>0</v>
      </c>
      <c r="O8" s="16">
        <f t="shared" si="3"/>
        <v>750</v>
      </c>
      <c r="P8" s="16">
        <f t="shared" si="4"/>
        <v>0</v>
      </c>
      <c r="Q8" s="16">
        <f t="shared" si="5"/>
        <v>750</v>
      </c>
      <c r="R8" s="118">
        <v>907</v>
      </c>
    </row>
    <row r="9" spans="1:70" ht="11.25" outlineLevel="1" x14ac:dyDescent="0.2">
      <c r="A9" s="131" t="s">
        <v>448</v>
      </c>
      <c r="B9" s="14">
        <v>5</v>
      </c>
      <c r="C9" s="15" t="s">
        <v>16</v>
      </c>
      <c r="D9" s="44" t="str">
        <f>VLOOKUP(Estimate!$C9,Resources!$B$3:$G$336,4,FALSE)</f>
        <v xml:space="preserve">LS   </v>
      </c>
      <c r="E9" s="44" t="str">
        <f>VLOOKUP(Estimate!$C9,Resources!$B$3:$G$336,3,FALSE)</f>
        <v>P</v>
      </c>
      <c r="F9" s="52">
        <v>1</v>
      </c>
      <c r="G9" s="12"/>
      <c r="H9" s="12">
        <v>500</v>
      </c>
      <c r="I9" s="12">
        <f>VLOOKUP(C9,Resources!$B$3:$G$336,6,FALSE)</f>
        <v>1</v>
      </c>
      <c r="J9" s="12">
        <f t="shared" si="0"/>
        <v>500</v>
      </c>
      <c r="K9" s="90"/>
      <c r="L9" s="90"/>
      <c r="M9" s="16">
        <f t="shared" si="1"/>
        <v>0</v>
      </c>
      <c r="N9" s="16">
        <f t="shared" si="2"/>
        <v>0</v>
      </c>
      <c r="O9" s="16">
        <f t="shared" si="3"/>
        <v>500</v>
      </c>
      <c r="P9" s="16">
        <f t="shared" si="4"/>
        <v>0</v>
      </c>
      <c r="Q9" s="16">
        <f t="shared" si="5"/>
        <v>500</v>
      </c>
      <c r="R9" s="118">
        <v>907</v>
      </c>
    </row>
    <row r="10" spans="1:70" ht="11.25" outlineLevel="1" x14ac:dyDescent="0.2">
      <c r="A10" s="131" t="s">
        <v>448</v>
      </c>
      <c r="B10" s="14">
        <v>6</v>
      </c>
      <c r="C10" s="15" t="s">
        <v>16</v>
      </c>
      <c r="D10" s="44" t="str">
        <f>VLOOKUP(Estimate!$C10,Resources!$B$3:$G$336,4,FALSE)</f>
        <v xml:space="preserve">LS   </v>
      </c>
      <c r="E10" s="44" t="str">
        <f>VLOOKUP(Estimate!$C10,Resources!$B$3:$G$336,3,FALSE)</f>
        <v>P</v>
      </c>
      <c r="F10" s="52">
        <v>1</v>
      </c>
      <c r="G10" s="12"/>
      <c r="H10" s="12">
        <v>900</v>
      </c>
      <c r="I10" s="12">
        <f>VLOOKUP(C10,Resources!$B$3:$G$336,6,FALSE)</f>
        <v>1</v>
      </c>
      <c r="J10" s="12">
        <f t="shared" si="0"/>
        <v>900</v>
      </c>
      <c r="K10" s="90"/>
      <c r="L10" s="90"/>
      <c r="M10" s="16">
        <f t="shared" si="1"/>
        <v>0</v>
      </c>
      <c r="N10" s="16">
        <f t="shared" si="2"/>
        <v>0</v>
      </c>
      <c r="O10" s="16">
        <f t="shared" si="3"/>
        <v>900</v>
      </c>
      <c r="P10" s="16">
        <f t="shared" si="4"/>
        <v>0</v>
      </c>
      <c r="Q10" s="16">
        <f t="shared" si="5"/>
        <v>900</v>
      </c>
      <c r="R10" s="118">
        <v>907</v>
      </c>
    </row>
    <row r="11" spans="1:70" ht="11.25" outlineLevel="1" x14ac:dyDescent="0.2">
      <c r="A11" s="131" t="s">
        <v>448</v>
      </c>
      <c r="B11" s="14">
        <v>7</v>
      </c>
      <c r="C11" s="15" t="s">
        <v>16</v>
      </c>
      <c r="D11" s="44" t="str">
        <f>VLOOKUP(Estimate!$C11,Resources!$B$3:$G$336,4,FALSE)</f>
        <v xml:space="preserve">LS   </v>
      </c>
      <c r="E11" s="44" t="str">
        <f>VLOOKUP(Estimate!$C11,Resources!$B$3:$G$336,3,FALSE)</f>
        <v>P</v>
      </c>
      <c r="F11" s="52">
        <v>1</v>
      </c>
      <c r="G11" s="12"/>
      <c r="H11" s="12">
        <v>4600</v>
      </c>
      <c r="I11" s="12">
        <f>VLOOKUP(C11,Resources!$B$3:$G$336,6,FALSE)</f>
        <v>1</v>
      </c>
      <c r="J11" s="12">
        <f t="shared" si="0"/>
        <v>4600</v>
      </c>
      <c r="K11" s="90"/>
      <c r="L11" s="90"/>
      <c r="M11" s="16">
        <f t="shared" si="1"/>
        <v>0</v>
      </c>
      <c r="N11" s="16">
        <f t="shared" si="2"/>
        <v>0</v>
      </c>
      <c r="O11" s="16">
        <f t="shared" si="3"/>
        <v>4600</v>
      </c>
      <c r="P11" s="16">
        <f t="shared" si="4"/>
        <v>0</v>
      </c>
      <c r="Q11" s="16">
        <f t="shared" si="5"/>
        <v>4600</v>
      </c>
      <c r="R11" s="118">
        <v>907</v>
      </c>
    </row>
    <row r="12" spans="1:70" ht="11.25" outlineLevel="1" x14ac:dyDescent="0.2">
      <c r="A12" s="131" t="s">
        <v>448</v>
      </c>
      <c r="B12" s="14">
        <v>8</v>
      </c>
      <c r="C12" s="15" t="s">
        <v>16</v>
      </c>
      <c r="D12" s="44" t="str">
        <f>VLOOKUP(Estimate!$C12,Resources!$B$3:$G$336,4,FALSE)</f>
        <v xml:space="preserve">LS   </v>
      </c>
      <c r="E12" s="44" t="str">
        <f>VLOOKUP(Estimate!$C12,Resources!$B$3:$G$336,3,FALSE)</f>
        <v>P</v>
      </c>
      <c r="F12" s="52">
        <v>1</v>
      </c>
      <c r="G12" s="12"/>
      <c r="H12" s="12">
        <v>800</v>
      </c>
      <c r="I12" s="12">
        <f>VLOOKUP(C12,Resources!$B$3:$G$336,6,FALSE)</f>
        <v>1</v>
      </c>
      <c r="J12" s="12">
        <f t="shared" si="0"/>
        <v>800</v>
      </c>
      <c r="K12" s="90"/>
      <c r="L12" s="90"/>
      <c r="M12" s="16">
        <f t="shared" si="1"/>
        <v>0</v>
      </c>
      <c r="N12" s="16">
        <f t="shared" si="2"/>
        <v>0</v>
      </c>
      <c r="O12" s="16">
        <f t="shared" si="3"/>
        <v>800</v>
      </c>
      <c r="P12" s="16">
        <f t="shared" si="4"/>
        <v>0</v>
      </c>
      <c r="Q12" s="16">
        <f t="shared" si="5"/>
        <v>800</v>
      </c>
      <c r="R12" s="118">
        <v>907</v>
      </c>
    </row>
    <row r="13" spans="1:70" ht="11.25" outlineLevel="1" x14ac:dyDescent="0.2">
      <c r="A13" s="131" t="s">
        <v>448</v>
      </c>
      <c r="B13" s="14">
        <v>9</v>
      </c>
      <c r="C13" s="15" t="s">
        <v>7</v>
      </c>
      <c r="D13" s="44" t="str">
        <f>VLOOKUP(Estimate!$C13,Resources!$B$3:$G$336,4,FALSE)</f>
        <v xml:space="preserve">hr   </v>
      </c>
      <c r="E13" s="44" t="str">
        <f>VLOOKUP(Estimate!$C13,Resources!$B$3:$G$336,3,FALSE)</f>
        <v>L</v>
      </c>
      <c r="F13" s="52">
        <v>1</v>
      </c>
      <c r="G13" s="12">
        <v>1</v>
      </c>
      <c r="H13" s="12">
        <v>100</v>
      </c>
      <c r="I13" s="12">
        <f>VLOOKUP(C13,Resources!$B$3:$G$336,6,FALSE)</f>
        <v>38</v>
      </c>
      <c r="J13" s="12">
        <f t="shared" si="0"/>
        <v>3800</v>
      </c>
      <c r="K13" s="90">
        <f>L13*F13</f>
        <v>100</v>
      </c>
      <c r="L13" s="90">
        <f>IF(E13="M"," ",H13/G13)</f>
        <v>100</v>
      </c>
      <c r="M13" s="16">
        <f t="shared" si="1"/>
        <v>3800</v>
      </c>
      <c r="N13" s="16">
        <f t="shared" si="2"/>
        <v>0</v>
      </c>
      <c r="O13" s="16">
        <f t="shared" si="3"/>
        <v>0</v>
      </c>
      <c r="P13" s="16">
        <f t="shared" si="4"/>
        <v>0</v>
      </c>
      <c r="Q13" s="16">
        <f t="shared" si="5"/>
        <v>3800</v>
      </c>
      <c r="R13" s="118">
        <v>907</v>
      </c>
    </row>
    <row r="14" spans="1:70" ht="11.25" outlineLevel="1" x14ac:dyDescent="0.2">
      <c r="A14" s="131" t="s">
        <v>448</v>
      </c>
      <c r="B14" s="14">
        <v>10</v>
      </c>
      <c r="C14" s="15" t="s">
        <v>19</v>
      </c>
      <c r="D14" s="44" t="str">
        <f>VLOOKUP(Estimate!$C14,Resources!$B$3:$G$336,4,FALSE)</f>
        <v xml:space="preserve">week </v>
      </c>
      <c r="E14" s="44" t="str">
        <f>VLOOKUP(Estimate!$C14,Resources!$B$3:$G$336,3,FALSE)</f>
        <v>L</v>
      </c>
      <c r="F14" s="52">
        <v>1</v>
      </c>
      <c r="G14" s="12">
        <v>1</v>
      </c>
      <c r="H14" s="12">
        <v>1</v>
      </c>
      <c r="I14" s="12">
        <f>VLOOKUP(C14,Resources!$B$3:$G$336,6,FALSE)</f>
        <v>3350</v>
      </c>
      <c r="J14" s="12">
        <f t="shared" si="0"/>
        <v>3350</v>
      </c>
      <c r="K14" s="90">
        <f>L14*F14</f>
        <v>1</v>
      </c>
      <c r="L14" s="90">
        <f>IF(E14="M"," ",H14/G14)</f>
        <v>1</v>
      </c>
      <c r="M14" s="16">
        <f t="shared" si="1"/>
        <v>3350</v>
      </c>
      <c r="N14" s="16">
        <f t="shared" si="2"/>
        <v>0</v>
      </c>
      <c r="O14" s="16">
        <f t="shared" si="3"/>
        <v>0</v>
      </c>
      <c r="P14" s="16">
        <f t="shared" si="4"/>
        <v>0</v>
      </c>
      <c r="Q14" s="16">
        <f t="shared" si="5"/>
        <v>3350</v>
      </c>
      <c r="R14" s="118">
        <v>902</v>
      </c>
    </row>
    <row r="15" spans="1:70" ht="11.25" outlineLevel="1" x14ac:dyDescent="0.2">
      <c r="A15" s="131" t="s">
        <v>448</v>
      </c>
      <c r="B15" s="14">
        <v>11</v>
      </c>
      <c r="C15" s="15" t="s">
        <v>21</v>
      </c>
      <c r="D15" s="44" t="str">
        <f>VLOOKUP(Estimate!$C15,Resources!$B$3:$G$336,4,FALSE)</f>
        <v xml:space="preserve">week </v>
      </c>
      <c r="E15" s="44" t="str">
        <f>VLOOKUP(Estimate!$C15,Resources!$B$3:$G$336,3,FALSE)</f>
        <v>L</v>
      </c>
      <c r="F15" s="52">
        <v>1</v>
      </c>
      <c r="G15" s="12">
        <v>1</v>
      </c>
      <c r="H15" s="12">
        <v>1</v>
      </c>
      <c r="I15" s="12">
        <f>VLOOKUP(C15,Resources!$B$3:$G$336,6,FALSE)</f>
        <v>3250</v>
      </c>
      <c r="J15" s="12">
        <f t="shared" si="0"/>
        <v>3250</v>
      </c>
      <c r="K15" s="90">
        <f>L15*F15</f>
        <v>1</v>
      </c>
      <c r="L15" s="90">
        <f>IF(E15="M"," ",H15/G15)</f>
        <v>1</v>
      </c>
      <c r="M15" s="16">
        <f t="shared" si="1"/>
        <v>3250</v>
      </c>
      <c r="N15" s="16">
        <f t="shared" si="2"/>
        <v>0</v>
      </c>
      <c r="O15" s="16">
        <f t="shared" si="3"/>
        <v>0</v>
      </c>
      <c r="P15" s="16">
        <f t="shared" si="4"/>
        <v>0</v>
      </c>
      <c r="Q15" s="16">
        <f t="shared" si="5"/>
        <v>3250</v>
      </c>
      <c r="R15" s="118">
        <v>901</v>
      </c>
    </row>
    <row r="16" spans="1:70" ht="11.25" outlineLevel="1" x14ac:dyDescent="0.2">
      <c r="A16" s="132" t="s">
        <v>448</v>
      </c>
      <c r="B16" s="1"/>
      <c r="C16" s="2"/>
      <c r="D16" s="1"/>
      <c r="E16" s="45"/>
      <c r="F16" s="53"/>
      <c r="G16" s="11"/>
      <c r="H16" s="11"/>
      <c r="I16" s="11"/>
      <c r="J16" s="11"/>
      <c r="K16" s="91"/>
      <c r="L16" s="91"/>
      <c r="M16" s="13"/>
      <c r="N16" s="13"/>
      <c r="O16" s="13"/>
      <c r="P16" s="13"/>
      <c r="Q16" s="13"/>
      <c r="R16" s="119"/>
    </row>
    <row r="17" spans="1:18" ht="33.75" x14ac:dyDescent="0.2">
      <c r="A17" s="130">
        <v>5</v>
      </c>
      <c r="B17" s="7" t="s">
        <v>22</v>
      </c>
      <c r="C17" s="7" t="s">
        <v>23</v>
      </c>
      <c r="D17" s="8" t="s">
        <v>14</v>
      </c>
      <c r="E17" s="43"/>
      <c r="F17" s="51"/>
      <c r="G17" s="9"/>
      <c r="H17" s="129">
        <f>VLOOKUP($A17,'Model Inputs'!$A:$D,4)</f>
        <v>1</v>
      </c>
      <c r="I17" s="9">
        <f>J17/H17</f>
        <v>25694.400000000001</v>
      </c>
      <c r="J17" s="9">
        <f>SUBTOTAL(9,J18:J19)</f>
        <v>25694.400000000001</v>
      </c>
      <c r="K17" s="89"/>
      <c r="L17" s="89">
        <v>0</v>
      </c>
      <c r="M17" s="9">
        <f>SUBTOTAL(9,M18:M19)</f>
        <v>0</v>
      </c>
      <c r="N17" s="9">
        <f>SUBTOTAL(9,N18:N19)</f>
        <v>0</v>
      </c>
      <c r="O17" s="9">
        <f>SUBTOTAL(9,O18:O19)</f>
        <v>0</v>
      </c>
      <c r="P17" s="9">
        <f>SUBTOTAL(9,P18:P19)</f>
        <v>25694.400000000001</v>
      </c>
      <c r="Q17" s="10">
        <f>SUM(M17:P17)</f>
        <v>25694.400000000001</v>
      </c>
      <c r="R17" s="117"/>
    </row>
    <row r="18" spans="1:18" ht="11.25" outlineLevel="1" x14ac:dyDescent="0.2">
      <c r="A18" s="131">
        <v>5.0999999999999996</v>
      </c>
      <c r="B18" s="14">
        <v>1</v>
      </c>
      <c r="C18" s="15" t="s">
        <v>24</v>
      </c>
      <c r="D18" s="44" t="str">
        <f>VLOOKUP(Estimate!$C18,Resources!$B$3:$G$336,4,FALSE)</f>
        <v xml:space="preserve">m    </v>
      </c>
      <c r="E18" s="44" t="str">
        <f>VLOOKUP(Estimate!$C18,Resources!$B$3:$G$336,3,FALSE)</f>
        <v>S</v>
      </c>
      <c r="F18" s="52">
        <v>1</v>
      </c>
      <c r="G18" s="12">
        <v>1</v>
      </c>
      <c r="H18" s="129">
        <f>VLOOKUP($A18,'Model Inputs'!$A:$D,4)</f>
        <v>200</v>
      </c>
      <c r="I18" s="12">
        <f>VLOOKUP(C18,Resources!$B$3:$G$336,6,FALSE)</f>
        <v>82.5</v>
      </c>
      <c r="J18" s="12">
        <f>(H18/(G18/F18))*I18</f>
        <v>16500</v>
      </c>
      <c r="K18" s="90">
        <f>L18*F18</f>
        <v>200</v>
      </c>
      <c r="L18" s="90">
        <f>H18/(G18*F18)</f>
        <v>200</v>
      </c>
      <c r="M18" s="16">
        <f>IF($E18="L",$J18,0)</f>
        <v>0</v>
      </c>
      <c r="N18" s="16">
        <f>IF($E18="M",$J18,0)</f>
        <v>0</v>
      </c>
      <c r="O18" s="16">
        <f>IF($E18="P",$J18,0)</f>
        <v>0</v>
      </c>
      <c r="P18" s="16">
        <f>IF($E18="S",$J18,0)</f>
        <v>16500</v>
      </c>
      <c r="Q18" s="16">
        <f>SUM(M18:P18)</f>
        <v>16500</v>
      </c>
      <c r="R18" s="118">
        <v>142</v>
      </c>
    </row>
    <row r="19" spans="1:18" ht="11.25" outlineLevel="1" x14ac:dyDescent="0.2">
      <c r="A19" s="131">
        <v>5.2</v>
      </c>
      <c r="B19" s="14">
        <v>2</v>
      </c>
      <c r="C19" s="15" t="s">
        <v>26</v>
      </c>
      <c r="D19" s="44" t="str">
        <f>VLOOKUP(Estimate!$C19,Resources!$B$3:$G$336,4,FALSE)</f>
        <v xml:space="preserve">hr   </v>
      </c>
      <c r="E19" s="44" t="str">
        <f>VLOOKUP(Estimate!$C19,Resources!$B$3:$G$336,3,FALSE)</f>
        <v>S</v>
      </c>
      <c r="F19" s="52">
        <v>1</v>
      </c>
      <c r="G19" s="12">
        <v>1</v>
      </c>
      <c r="H19" s="129">
        <f>VLOOKUP($A19,'Model Inputs'!$A:$D,4)</f>
        <v>90</v>
      </c>
      <c r="I19" s="12">
        <f>VLOOKUP(C19,Resources!$B$3:$G$336,6,FALSE)</f>
        <v>102.16</v>
      </c>
      <c r="J19" s="12">
        <f>(H19/(G19/F19))*I19</f>
        <v>9194.4</v>
      </c>
      <c r="K19" s="90">
        <f>L19*F19</f>
        <v>90</v>
      </c>
      <c r="L19" s="90">
        <f>H19/(G19*F19)</f>
        <v>90</v>
      </c>
      <c r="M19" s="16">
        <f>IF($E19="L",$J19,0)</f>
        <v>0</v>
      </c>
      <c r="N19" s="16">
        <f>IF($E19="M",$J19,0)</f>
        <v>0</v>
      </c>
      <c r="O19" s="16">
        <f>IF($E19="P",$J19,0)</f>
        <v>0</v>
      </c>
      <c r="P19" s="16">
        <f>IF($E19="S",$J19,0)</f>
        <v>9194.4</v>
      </c>
      <c r="Q19" s="16">
        <f>SUM(M19:P19)</f>
        <v>9194.4</v>
      </c>
      <c r="R19" s="118">
        <v>141</v>
      </c>
    </row>
    <row r="20" spans="1:18" ht="11.25" outlineLevel="1" x14ac:dyDescent="0.2">
      <c r="A20" s="132" t="s">
        <v>448</v>
      </c>
      <c r="B20" s="1"/>
      <c r="C20" s="2"/>
      <c r="D20" s="1"/>
      <c r="E20" s="45"/>
      <c r="F20" s="53"/>
      <c r="G20" s="11"/>
      <c r="H20" s="11"/>
      <c r="I20" s="11"/>
      <c r="J20" s="11"/>
      <c r="K20" s="91"/>
      <c r="L20" s="91"/>
      <c r="M20" s="13"/>
      <c r="N20" s="13"/>
      <c r="O20" s="13"/>
      <c r="P20" s="13"/>
      <c r="Q20" s="13"/>
      <c r="R20" s="119"/>
    </row>
    <row r="21" spans="1:18" ht="22.5" x14ac:dyDescent="0.2">
      <c r="A21" s="130">
        <v>6</v>
      </c>
      <c r="B21" s="7" t="s">
        <v>27</v>
      </c>
      <c r="C21" s="7" t="s">
        <v>28</v>
      </c>
      <c r="D21" s="8" t="s">
        <v>14</v>
      </c>
      <c r="E21" s="43"/>
      <c r="F21" s="51"/>
      <c r="G21" s="9"/>
      <c r="H21" s="129">
        <f>VLOOKUP($A21,'Model Inputs'!$A:$D,4)</f>
        <v>1</v>
      </c>
      <c r="I21" s="9">
        <f>J21/H21</f>
        <v>16650</v>
      </c>
      <c r="J21" s="9">
        <f>SUBTOTAL(9,J22:J24)</f>
        <v>16650</v>
      </c>
      <c r="K21" s="89"/>
      <c r="L21" s="89">
        <v>0</v>
      </c>
      <c r="M21" s="9">
        <f>SUBTOTAL(9,M22:M24)</f>
        <v>16650</v>
      </c>
      <c r="N21" s="9">
        <f>SUBTOTAL(9,N22:N24)</f>
        <v>0</v>
      </c>
      <c r="O21" s="9">
        <f>SUBTOTAL(9,O22:O24)</f>
        <v>0</v>
      </c>
      <c r="P21" s="9">
        <f>SUBTOTAL(9,P22:P24)</f>
        <v>0</v>
      </c>
      <c r="Q21" s="10">
        <f>SUM(M21:P21)</f>
        <v>16650</v>
      </c>
      <c r="R21" s="117"/>
    </row>
    <row r="22" spans="1:18" ht="11.25" outlineLevel="1" x14ac:dyDescent="0.2">
      <c r="A22" s="131">
        <v>6.1</v>
      </c>
      <c r="B22" s="14">
        <v>1</v>
      </c>
      <c r="C22" s="15" t="s">
        <v>29</v>
      </c>
      <c r="D22" s="44" t="str">
        <f>VLOOKUP(Estimate!$C22,Resources!$B$3:$G$336,4,FALSE)</f>
        <v xml:space="preserve">hr   </v>
      </c>
      <c r="E22" s="44" t="str">
        <f>VLOOKUP(Estimate!$C22,Resources!$B$3:$G$336,3,FALSE)</f>
        <v>L</v>
      </c>
      <c r="F22" s="52">
        <v>1</v>
      </c>
      <c r="G22" s="12">
        <v>1</v>
      </c>
      <c r="H22" s="129">
        <f>VLOOKUP($A22,'Model Inputs'!$A:$D,4)</f>
        <v>12</v>
      </c>
      <c r="I22" s="12">
        <f>VLOOKUP(C22,Resources!$B$3:$G$336,6,FALSE)</f>
        <v>185</v>
      </c>
      <c r="J22" s="12">
        <f>H22*I22</f>
        <v>2220</v>
      </c>
      <c r="K22" s="90">
        <f>L22*F22</f>
        <v>0</v>
      </c>
      <c r="L22" s="90"/>
      <c r="M22" s="16">
        <f>IF($E22="L",$J22,0)</f>
        <v>2220</v>
      </c>
      <c r="N22" s="16">
        <f>IF($E22="M",$J22,0)</f>
        <v>0</v>
      </c>
      <c r="O22" s="16">
        <f>IF($E22="P",$J22,0)</f>
        <v>0</v>
      </c>
      <c r="P22" s="16">
        <f>IF($E22="S",$J22,0)</f>
        <v>0</v>
      </c>
      <c r="Q22" s="16">
        <f>SUM(M22:P22)</f>
        <v>2220</v>
      </c>
      <c r="R22" s="118">
        <v>11</v>
      </c>
    </row>
    <row r="23" spans="1:18" ht="11.25" outlineLevel="1" x14ac:dyDescent="0.2">
      <c r="A23" s="131">
        <v>6.2</v>
      </c>
      <c r="B23" s="14">
        <v>2</v>
      </c>
      <c r="C23" s="15" t="s">
        <v>29</v>
      </c>
      <c r="D23" s="44" t="str">
        <f>VLOOKUP(Estimate!$C23,Resources!$B$3:$G$336,4,FALSE)</f>
        <v xml:space="preserve">hr   </v>
      </c>
      <c r="E23" s="44" t="str">
        <f>VLOOKUP(Estimate!$C23,Resources!$B$3:$G$336,3,FALSE)</f>
        <v>L</v>
      </c>
      <c r="F23" s="52">
        <v>1</v>
      </c>
      <c r="G23" s="12">
        <v>1</v>
      </c>
      <c r="H23" s="129">
        <f>VLOOKUP($A23,'Model Inputs'!$A:$D,4)</f>
        <v>18</v>
      </c>
      <c r="I23" s="12">
        <f>VLOOKUP(C23,Resources!$B$3:$G$336,6,FALSE)</f>
        <v>185</v>
      </c>
      <c r="J23" s="12">
        <f>H23*I23</f>
        <v>3330</v>
      </c>
      <c r="K23" s="90">
        <f>L23*F23</f>
        <v>0</v>
      </c>
      <c r="L23" s="90"/>
      <c r="M23" s="16">
        <f>IF($E23="L",$J23,0)</f>
        <v>3330</v>
      </c>
      <c r="N23" s="16">
        <f>IF($E23="M",$J23,0)</f>
        <v>0</v>
      </c>
      <c r="O23" s="16">
        <f>IF($E23="P",$J23,0)</f>
        <v>0</v>
      </c>
      <c r="P23" s="16">
        <f>IF($E23="S",$J23,0)</f>
        <v>0</v>
      </c>
      <c r="Q23" s="16">
        <f>SUM(M23:P23)</f>
        <v>3330</v>
      </c>
      <c r="R23" s="118">
        <v>11</v>
      </c>
    </row>
    <row r="24" spans="1:18" ht="11.25" outlineLevel="1" x14ac:dyDescent="0.2">
      <c r="A24" s="131">
        <v>6.3</v>
      </c>
      <c r="B24" s="14">
        <v>3</v>
      </c>
      <c r="C24" s="15" t="s">
        <v>29</v>
      </c>
      <c r="D24" s="44" t="str">
        <f>VLOOKUP(Estimate!$C24,Resources!$B$3:$G$336,4,FALSE)</f>
        <v xml:space="preserve">hr   </v>
      </c>
      <c r="E24" s="44" t="str">
        <f>VLOOKUP(Estimate!$C24,Resources!$B$3:$G$336,3,FALSE)</f>
        <v>L</v>
      </c>
      <c r="F24" s="52">
        <v>1</v>
      </c>
      <c r="G24" s="12">
        <v>1</v>
      </c>
      <c r="H24" s="129">
        <f>VLOOKUP($A24,'Model Inputs'!$A:$D,4)</f>
        <v>60</v>
      </c>
      <c r="I24" s="12">
        <f>VLOOKUP(C24,Resources!$B$3:$G$336,6,FALSE)</f>
        <v>185</v>
      </c>
      <c r="J24" s="12">
        <f>H24*I24</f>
        <v>11100</v>
      </c>
      <c r="K24" s="90">
        <f>L24*F24</f>
        <v>0</v>
      </c>
      <c r="L24" s="90"/>
      <c r="M24" s="16">
        <f>IF($E24="L",$J24,0)</f>
        <v>11100</v>
      </c>
      <c r="N24" s="16">
        <f>IF($E24="M",$J24,0)</f>
        <v>0</v>
      </c>
      <c r="O24" s="16">
        <f>IF($E24="P",$J24,0)</f>
        <v>0</v>
      </c>
      <c r="P24" s="16">
        <f>IF($E24="S",$J24,0)</f>
        <v>0</v>
      </c>
      <c r="Q24" s="16">
        <f>SUM(M24:P24)</f>
        <v>11100</v>
      </c>
      <c r="R24" s="118">
        <v>11</v>
      </c>
    </row>
    <row r="25" spans="1:18" ht="11.25" outlineLevel="1" x14ac:dyDescent="0.2">
      <c r="A25" s="132" t="s">
        <v>448</v>
      </c>
      <c r="B25" s="1"/>
      <c r="C25" s="2"/>
      <c r="D25" s="1"/>
      <c r="E25" s="45"/>
      <c r="F25" s="53"/>
      <c r="G25" s="11"/>
      <c r="H25" s="11"/>
      <c r="I25" s="11"/>
      <c r="J25" s="11"/>
      <c r="K25" s="91"/>
      <c r="L25" s="91"/>
      <c r="M25" s="13"/>
      <c r="N25" s="13"/>
      <c r="O25" s="13"/>
      <c r="P25" s="13"/>
      <c r="Q25" s="13"/>
      <c r="R25" s="119"/>
    </row>
    <row r="26" spans="1:18" ht="22.5" x14ac:dyDescent="0.2">
      <c r="A26" s="130">
        <v>7</v>
      </c>
      <c r="B26" s="7" t="s">
        <v>30</v>
      </c>
      <c r="C26" s="7" t="s">
        <v>31</v>
      </c>
      <c r="D26" s="8" t="s">
        <v>14</v>
      </c>
      <c r="E26" s="43"/>
      <c r="F26" s="51"/>
      <c r="G26" s="9"/>
      <c r="H26" s="129">
        <f>VLOOKUP($A26,'Model Inputs'!$A:$D,4)</f>
        <v>1</v>
      </c>
      <c r="I26" s="9">
        <f>J26/H26</f>
        <v>7030</v>
      </c>
      <c r="J26" s="9">
        <f>SUBTOTAL(9,J27:J28)</f>
        <v>7030</v>
      </c>
      <c r="K26" s="89"/>
      <c r="L26" s="89">
        <v>5</v>
      </c>
      <c r="M26" s="9">
        <f>SUBTOTAL(9,M27:M28)</f>
        <v>7030</v>
      </c>
      <c r="N26" s="9">
        <f>SUBTOTAL(9,N27:N28)</f>
        <v>0</v>
      </c>
      <c r="O26" s="9">
        <f>SUBTOTAL(9,O27:O28)</f>
        <v>0</v>
      </c>
      <c r="P26" s="9">
        <f>SUBTOTAL(9,P27:P28)</f>
        <v>0</v>
      </c>
      <c r="Q26" s="10">
        <f>SUM(M26:P26)</f>
        <v>7030</v>
      </c>
      <c r="R26" s="117"/>
    </row>
    <row r="27" spans="1:18" ht="11.25" outlineLevel="1" x14ac:dyDescent="0.2">
      <c r="A27" s="131">
        <v>7.1</v>
      </c>
      <c r="B27" s="14">
        <v>1</v>
      </c>
      <c r="C27" s="15" t="s">
        <v>29</v>
      </c>
      <c r="D27" s="44" t="str">
        <f>VLOOKUP(Estimate!$C27,Resources!$B$3:$G$336,4,FALSE)</f>
        <v xml:space="preserve">hr   </v>
      </c>
      <c r="E27" s="44" t="str">
        <f>VLOOKUP(Estimate!$C27,Resources!$B$3:$G$336,3,FALSE)</f>
        <v>L</v>
      </c>
      <c r="F27" s="52"/>
      <c r="G27" s="12"/>
      <c r="H27" s="129">
        <f>VLOOKUP($A27,'Model Inputs'!$A:$D,4)</f>
        <v>12</v>
      </c>
      <c r="I27" s="12">
        <f>VLOOKUP(C27,Resources!$B$3:$G$336,6,FALSE)</f>
        <v>185</v>
      </c>
      <c r="J27" s="12">
        <f>H27*I27</f>
        <v>2220</v>
      </c>
      <c r="K27" s="90">
        <f>L27*F27</f>
        <v>0</v>
      </c>
      <c r="L27" s="90"/>
      <c r="M27" s="16">
        <f>IF($E27="L",$J27,0)</f>
        <v>2220</v>
      </c>
      <c r="N27" s="16">
        <f>IF($E27="M",$J27,0)</f>
        <v>0</v>
      </c>
      <c r="O27" s="16">
        <f>IF($E27="P",$J27,0)</f>
        <v>0</v>
      </c>
      <c r="P27" s="16">
        <f>IF($E27="S",$J27,0)</f>
        <v>0</v>
      </c>
      <c r="Q27" s="16">
        <f>SUM(M27:P27)</f>
        <v>2220</v>
      </c>
      <c r="R27" s="118">
        <v>11</v>
      </c>
    </row>
    <row r="28" spans="1:18" ht="11.25" outlineLevel="1" x14ac:dyDescent="0.2">
      <c r="A28" s="131">
        <v>7.2</v>
      </c>
      <c r="B28" s="14">
        <v>2</v>
      </c>
      <c r="C28" s="15" t="s">
        <v>29</v>
      </c>
      <c r="D28" s="44" t="str">
        <f>VLOOKUP(Estimate!$C28,Resources!$B$3:$G$336,4,FALSE)</f>
        <v xml:space="preserve">hr   </v>
      </c>
      <c r="E28" s="44" t="str">
        <f>VLOOKUP(Estimate!$C28,Resources!$B$3:$G$336,3,FALSE)</f>
        <v>L</v>
      </c>
      <c r="F28" s="52"/>
      <c r="G28" s="12"/>
      <c r="H28" s="129">
        <f>VLOOKUP($A28,'Model Inputs'!$A:$D,4)</f>
        <v>26</v>
      </c>
      <c r="I28" s="12">
        <f>VLOOKUP(C28,Resources!$B$3:$G$336,6,FALSE)</f>
        <v>185</v>
      </c>
      <c r="J28" s="12">
        <f>H28*I28</f>
        <v>4810</v>
      </c>
      <c r="K28" s="90">
        <f>L28*F28</f>
        <v>0</v>
      </c>
      <c r="L28" s="90"/>
      <c r="M28" s="16">
        <f>IF($E28="L",$J28,0)</f>
        <v>4810</v>
      </c>
      <c r="N28" s="16">
        <f>IF($E28="M",$J28,0)</f>
        <v>0</v>
      </c>
      <c r="O28" s="16">
        <f>IF($E28="P",$J28,0)</f>
        <v>0</v>
      </c>
      <c r="P28" s="16">
        <f>IF($E28="S",$J28,0)</f>
        <v>0</v>
      </c>
      <c r="Q28" s="16">
        <f>SUM(M28:P28)</f>
        <v>4810</v>
      </c>
      <c r="R28" s="118">
        <v>11</v>
      </c>
    </row>
    <row r="29" spans="1:18" outlineLevel="1" x14ac:dyDescent="0.5">
      <c r="A29" s="132" t="s">
        <v>448</v>
      </c>
      <c r="B29" s="1"/>
      <c r="C29" s="2"/>
      <c r="D29" s="1"/>
      <c r="E29" s="45"/>
      <c r="F29" s="53"/>
      <c r="G29" s="11"/>
      <c r="H29" s="11"/>
      <c r="I29" s="11"/>
      <c r="J29" s="11"/>
      <c r="K29" s="91"/>
      <c r="L29" s="91"/>
      <c r="M29" s="13"/>
      <c r="N29" s="13"/>
      <c r="O29" s="13"/>
      <c r="P29" s="13"/>
      <c r="Q29" s="13"/>
      <c r="R29" s="119"/>
    </row>
    <row r="30" spans="1:18" ht="21" x14ac:dyDescent="0.5">
      <c r="A30" s="130">
        <v>8</v>
      </c>
      <c r="B30" s="7" t="s">
        <v>32</v>
      </c>
      <c r="C30" s="7" t="s">
        <v>33</v>
      </c>
      <c r="D30" s="8" t="s">
        <v>14</v>
      </c>
      <c r="E30" s="43"/>
      <c r="F30" s="51"/>
      <c r="G30" s="9"/>
      <c r="H30" s="129">
        <f>VLOOKUP($A30,'Model Inputs'!$A:$D,4)</f>
        <v>1</v>
      </c>
      <c r="I30" s="9">
        <f>J30/H30</f>
        <v>3250</v>
      </c>
      <c r="J30" s="9">
        <f>SUBTOTAL(9,J31)</f>
        <v>3250</v>
      </c>
      <c r="K30" s="89"/>
      <c r="L30" s="89">
        <v>5</v>
      </c>
      <c r="M30" s="9">
        <f>SUBTOTAL(9,M31)</f>
        <v>3250</v>
      </c>
      <c r="N30" s="9">
        <f>SUBTOTAL(9,N31)</f>
        <v>0</v>
      </c>
      <c r="O30" s="9">
        <f>SUBTOTAL(9,O31)</f>
        <v>0</v>
      </c>
      <c r="P30" s="9">
        <f>SUBTOTAL(9,P31)</f>
        <v>0</v>
      </c>
      <c r="Q30" s="10">
        <f>SUM(M30:P30)</f>
        <v>3250</v>
      </c>
      <c r="R30" s="117"/>
    </row>
    <row r="31" spans="1:18" outlineLevel="1" x14ac:dyDescent="0.5">
      <c r="A31" s="131" t="s">
        <v>448</v>
      </c>
      <c r="B31" s="14">
        <v>1</v>
      </c>
      <c r="C31" s="15" t="s">
        <v>21</v>
      </c>
      <c r="D31" s="44" t="str">
        <f>VLOOKUP(Estimate!$C31,Resources!$B$3:$G$336,4,FALSE)</f>
        <v xml:space="preserve">week </v>
      </c>
      <c r="E31" s="44" t="str">
        <f>VLOOKUP(Estimate!$C31,Resources!$B$3:$G$336,3,FALSE)</f>
        <v>L</v>
      </c>
      <c r="F31" s="52"/>
      <c r="G31" s="12"/>
      <c r="H31" s="12">
        <v>1</v>
      </c>
      <c r="I31" s="12">
        <f>VLOOKUP(C31,Resources!$B$3:$G$336,6,FALSE)</f>
        <v>3250</v>
      </c>
      <c r="J31" s="12">
        <f>H31*I31</f>
        <v>3250</v>
      </c>
      <c r="K31" s="90">
        <f>L31*F31</f>
        <v>0</v>
      </c>
      <c r="L31" s="90"/>
      <c r="M31" s="16">
        <f>IF($E31="L",$J31,0)</f>
        <v>3250</v>
      </c>
      <c r="N31" s="16">
        <f>IF($E31="M",$J31,0)</f>
        <v>0</v>
      </c>
      <c r="O31" s="16">
        <f>IF($E31="P",$J31,0)</f>
        <v>0</v>
      </c>
      <c r="P31" s="16">
        <f>IF($E31="S",$J31,0)</f>
        <v>0</v>
      </c>
      <c r="Q31" s="16">
        <f>SUM(M31:P31)</f>
        <v>3250</v>
      </c>
      <c r="R31" s="118">
        <v>901</v>
      </c>
    </row>
    <row r="32" spans="1:18" outlineLevel="1" x14ac:dyDescent="0.5">
      <c r="A32" s="132" t="s">
        <v>448</v>
      </c>
      <c r="B32" s="1"/>
      <c r="C32" s="2"/>
      <c r="D32" s="1"/>
      <c r="E32" s="45"/>
      <c r="F32" s="53"/>
      <c r="G32" s="11"/>
      <c r="H32" s="11"/>
      <c r="I32" s="11"/>
      <c r="J32" s="11"/>
      <c r="K32" s="91"/>
      <c r="L32" s="91"/>
      <c r="M32" s="13"/>
      <c r="N32" s="13"/>
      <c r="O32" s="13"/>
      <c r="P32" s="13"/>
      <c r="Q32" s="13"/>
      <c r="R32" s="119"/>
    </row>
    <row r="33" spans="1:18" ht="21" x14ac:dyDescent="0.5">
      <c r="A33" s="130">
        <v>9</v>
      </c>
      <c r="B33" s="7" t="s">
        <v>34</v>
      </c>
      <c r="C33" s="7" t="s">
        <v>35</v>
      </c>
      <c r="D33" s="8" t="s">
        <v>14</v>
      </c>
      <c r="E33" s="43"/>
      <c r="F33" s="51"/>
      <c r="G33" s="9"/>
      <c r="H33" s="129">
        <f>VLOOKUP($A33,'Model Inputs'!$A:$D,4)</f>
        <v>1</v>
      </c>
      <c r="I33" s="9">
        <f>J33/H33</f>
        <v>14950</v>
      </c>
      <c r="J33" s="9">
        <f>SUBTOTAL(9,J34)</f>
        <v>14950</v>
      </c>
      <c r="K33" s="89"/>
      <c r="L33" s="89">
        <v>0</v>
      </c>
      <c r="M33" s="9">
        <f>SUBTOTAL(9,M34)</f>
        <v>0</v>
      </c>
      <c r="N33" s="9">
        <f>SUBTOTAL(9,N34)</f>
        <v>0</v>
      </c>
      <c r="O33" s="9">
        <f>SUBTOTAL(9,O34)</f>
        <v>0</v>
      </c>
      <c r="P33" s="9">
        <f>SUBTOTAL(9,P34)</f>
        <v>14950</v>
      </c>
      <c r="Q33" s="10">
        <f>SUM(M33:P33)</f>
        <v>14950</v>
      </c>
      <c r="R33" s="117"/>
    </row>
    <row r="34" spans="1:18" outlineLevel="1" x14ac:dyDescent="0.5">
      <c r="A34" s="131" t="s">
        <v>448</v>
      </c>
      <c r="B34" s="14">
        <v>1</v>
      </c>
      <c r="C34" s="15" t="s">
        <v>36</v>
      </c>
      <c r="D34" s="44" t="str">
        <f>VLOOKUP(Estimate!$C34,Resources!$B$3:$G$336,4,FALSE)</f>
        <v xml:space="preserve">hr   </v>
      </c>
      <c r="E34" s="44" t="str">
        <f>VLOOKUP(Estimate!$C34,Resources!$B$3:$G$336,3,FALSE)</f>
        <v>S</v>
      </c>
      <c r="F34" s="52">
        <v>1</v>
      </c>
      <c r="G34" s="12">
        <v>1</v>
      </c>
      <c r="H34" s="12">
        <v>1</v>
      </c>
      <c r="I34" s="12">
        <f>VLOOKUP(C34,Resources!$B$3:$G$336,6,FALSE)</f>
        <v>14950</v>
      </c>
      <c r="J34" s="12">
        <f>(H34/(G34/F34))*I34</f>
        <v>14950</v>
      </c>
      <c r="K34" s="90">
        <f>L34*F34</f>
        <v>1</v>
      </c>
      <c r="L34" s="90">
        <f>H34/(G34*F34)</f>
        <v>1</v>
      </c>
      <c r="M34" s="16">
        <f>IF($E34="L",$J34,0)</f>
        <v>0</v>
      </c>
      <c r="N34" s="16">
        <f>IF($E34="M",$J34,0)</f>
        <v>0</v>
      </c>
      <c r="O34" s="16">
        <f>IF($E34="P",$J34,0)</f>
        <v>0</v>
      </c>
      <c r="P34" s="16">
        <f>IF($E34="S",$J34,0)</f>
        <v>14950</v>
      </c>
      <c r="Q34" s="16">
        <f>SUM(M34:P34)</f>
        <v>14950</v>
      </c>
      <c r="R34" s="118">
        <v>13</v>
      </c>
    </row>
    <row r="35" spans="1:18" outlineLevel="1" x14ac:dyDescent="0.5">
      <c r="A35" s="132" t="s">
        <v>448</v>
      </c>
      <c r="B35" s="1"/>
      <c r="C35" s="2"/>
      <c r="D35" s="1"/>
      <c r="E35" s="45"/>
      <c r="F35" s="53"/>
      <c r="G35" s="11"/>
      <c r="H35" s="11"/>
      <c r="I35" s="11"/>
      <c r="J35" s="11"/>
      <c r="K35" s="91"/>
      <c r="L35" s="91"/>
      <c r="M35" s="13"/>
      <c r="N35" s="13"/>
      <c r="O35" s="13"/>
      <c r="P35" s="13"/>
      <c r="Q35" s="13"/>
      <c r="R35" s="119"/>
    </row>
    <row r="36" spans="1:18" ht="21" x14ac:dyDescent="0.5">
      <c r="A36" s="130">
        <v>10</v>
      </c>
      <c r="B36" s="7" t="s">
        <v>37</v>
      </c>
      <c r="C36" s="7" t="s">
        <v>38</v>
      </c>
      <c r="D36" s="8" t="s">
        <v>14</v>
      </c>
      <c r="E36" s="43"/>
      <c r="F36" s="51"/>
      <c r="G36" s="9"/>
      <c r="H36" s="129">
        <f>VLOOKUP($A36,'Model Inputs'!$A:$D,4)</f>
        <v>1</v>
      </c>
      <c r="I36" s="9">
        <f>J36/H36</f>
        <v>10220</v>
      </c>
      <c r="J36" s="9">
        <f>SUBTOTAL(9,J37)</f>
        <v>10220</v>
      </c>
      <c r="K36" s="89"/>
      <c r="L36" s="89">
        <v>0</v>
      </c>
      <c r="M36" s="9">
        <f>SUBTOTAL(9,M37)</f>
        <v>0</v>
      </c>
      <c r="N36" s="9">
        <f>SUBTOTAL(9,N37)</f>
        <v>0</v>
      </c>
      <c r="O36" s="9">
        <f>SUBTOTAL(9,O37)</f>
        <v>0</v>
      </c>
      <c r="P36" s="9">
        <f>SUBTOTAL(9,P37)</f>
        <v>10220</v>
      </c>
      <c r="Q36" s="10">
        <f>SUM(M36:P36)</f>
        <v>10220</v>
      </c>
      <c r="R36" s="117"/>
    </row>
    <row r="37" spans="1:18" outlineLevel="1" x14ac:dyDescent="0.5">
      <c r="A37" s="131" t="s">
        <v>448</v>
      </c>
      <c r="B37" s="14">
        <v>1</v>
      </c>
      <c r="C37" s="15" t="s">
        <v>876</v>
      </c>
      <c r="D37" s="44" t="str">
        <f>VLOOKUP(Estimate!$C37,Resources!$B$3:$G$336,4,FALSE)</f>
        <v xml:space="preserve">Item </v>
      </c>
      <c r="E37" s="44" t="str">
        <f>VLOOKUP(Estimate!$C37,Resources!$B$3:$G$336,3,FALSE)</f>
        <v>S</v>
      </c>
      <c r="F37" s="52"/>
      <c r="G37" s="12"/>
      <c r="H37" s="12">
        <v>10220</v>
      </c>
      <c r="I37" s="12">
        <f>VLOOKUP(C37,Resources!$B$3:$G$336,6,FALSE)</f>
        <v>1</v>
      </c>
      <c r="J37" s="12">
        <f>H37*I37</f>
        <v>10220</v>
      </c>
      <c r="K37" s="90">
        <f>L37*F37</f>
        <v>0</v>
      </c>
      <c r="L37" s="90"/>
      <c r="M37" s="16">
        <f>IF($E37="L",$J37,0)</f>
        <v>0</v>
      </c>
      <c r="N37" s="16">
        <f>IF($E37="M",$J37,0)</f>
        <v>0</v>
      </c>
      <c r="O37" s="16">
        <f>IF($E37="P",$J37,0)</f>
        <v>0</v>
      </c>
      <c r="P37" s="16">
        <f>IF($E37="S",$J37,0)</f>
        <v>10220</v>
      </c>
      <c r="Q37" s="16">
        <f>SUM(M37:P37)</f>
        <v>10220</v>
      </c>
      <c r="R37" s="118">
        <v>904</v>
      </c>
    </row>
    <row r="38" spans="1:18" outlineLevel="1" x14ac:dyDescent="0.5">
      <c r="A38" s="132" t="s">
        <v>448</v>
      </c>
      <c r="B38" s="1"/>
      <c r="C38" s="2"/>
      <c r="D38" s="1"/>
      <c r="E38" s="45"/>
      <c r="F38" s="53"/>
      <c r="G38" s="11"/>
      <c r="H38" s="11"/>
      <c r="I38" s="11"/>
      <c r="J38" s="11"/>
      <c r="K38" s="91"/>
      <c r="L38" s="91"/>
      <c r="M38" s="13"/>
      <c r="N38" s="13"/>
      <c r="O38" s="13"/>
      <c r="P38" s="13"/>
      <c r="Q38" s="13"/>
      <c r="R38" s="119"/>
    </row>
    <row r="39" spans="1:18" ht="21" x14ac:dyDescent="0.5">
      <c r="A39" s="130">
        <v>11</v>
      </c>
      <c r="B39" s="7" t="s">
        <v>39</v>
      </c>
      <c r="C39" s="7" t="s">
        <v>40</v>
      </c>
      <c r="D39" s="8" t="s">
        <v>14</v>
      </c>
      <c r="E39" s="43"/>
      <c r="F39" s="51"/>
      <c r="G39" s="9"/>
      <c r="H39" s="129">
        <f>VLOOKUP($A39,'Model Inputs'!$A:$D,4)</f>
        <v>1</v>
      </c>
      <c r="I39" s="9">
        <f>J39/H39</f>
        <v>3250</v>
      </c>
      <c r="J39" s="9">
        <f>SUBTOTAL(9,J40)</f>
        <v>3250</v>
      </c>
      <c r="K39" s="89"/>
      <c r="L39" s="89">
        <v>0</v>
      </c>
      <c r="M39" s="9">
        <f>SUBTOTAL(9,M40)</f>
        <v>3250</v>
      </c>
      <c r="N39" s="9">
        <f>SUBTOTAL(9,N40)</f>
        <v>0</v>
      </c>
      <c r="O39" s="9">
        <f>SUBTOTAL(9,O40)</f>
        <v>0</v>
      </c>
      <c r="P39" s="9">
        <f>SUBTOTAL(9,P40)</f>
        <v>0</v>
      </c>
      <c r="Q39" s="10">
        <f>SUM(M39:P39)</f>
        <v>3250</v>
      </c>
      <c r="R39" s="117"/>
    </row>
    <row r="40" spans="1:18" outlineLevel="1" x14ac:dyDescent="0.5">
      <c r="A40" s="131" t="s">
        <v>448</v>
      </c>
      <c r="B40" s="14">
        <v>1</v>
      </c>
      <c r="C40" s="15" t="s">
        <v>21</v>
      </c>
      <c r="D40" s="44" t="str">
        <f>VLOOKUP(Estimate!$C40,Resources!$B$3:$G$336,4,FALSE)</f>
        <v xml:space="preserve">week </v>
      </c>
      <c r="E40" s="44" t="str">
        <f>VLOOKUP(Estimate!$C40,Resources!$B$3:$G$336,3,FALSE)</f>
        <v>L</v>
      </c>
      <c r="F40" s="52">
        <v>1</v>
      </c>
      <c r="G40" s="12">
        <v>1</v>
      </c>
      <c r="H40" s="12">
        <v>1</v>
      </c>
      <c r="I40" s="12">
        <f>VLOOKUP(C40,Resources!$B$3:$G$336,6,FALSE)</f>
        <v>3250</v>
      </c>
      <c r="J40" s="12">
        <f>(H40/(G40/F40))*I40</f>
        <v>3250</v>
      </c>
      <c r="K40" s="90">
        <f>L40*F40</f>
        <v>1</v>
      </c>
      <c r="L40" s="90">
        <f>H40/(G40*F40)</f>
        <v>1</v>
      </c>
      <c r="M40" s="16">
        <f>IF($E40="L",$J40,0)</f>
        <v>3250</v>
      </c>
      <c r="N40" s="16">
        <f>IF($E40="M",$J40,0)</f>
        <v>0</v>
      </c>
      <c r="O40" s="16">
        <f>IF($E40="P",$J40,0)</f>
        <v>0</v>
      </c>
      <c r="P40" s="16">
        <f>IF($E40="S",$J40,0)</f>
        <v>0</v>
      </c>
      <c r="Q40" s="16">
        <f>SUM(M40:P40)</f>
        <v>3250</v>
      </c>
      <c r="R40" s="118">
        <v>901</v>
      </c>
    </row>
    <row r="41" spans="1:18" outlineLevel="1" x14ac:dyDescent="0.5">
      <c r="A41" s="132" t="s">
        <v>448</v>
      </c>
      <c r="B41" s="1"/>
      <c r="C41" s="2"/>
      <c r="D41" s="1"/>
      <c r="E41" s="45"/>
      <c r="F41" s="53"/>
      <c r="G41" s="11"/>
      <c r="H41" s="11"/>
      <c r="I41" s="11"/>
      <c r="J41" s="11"/>
      <c r="K41" s="91"/>
      <c r="L41" s="91"/>
      <c r="M41" s="13"/>
      <c r="N41" s="13"/>
      <c r="O41" s="13"/>
      <c r="P41" s="13"/>
      <c r="Q41" s="13"/>
      <c r="R41" s="119"/>
    </row>
    <row r="42" spans="1:18" ht="21" x14ac:dyDescent="0.5">
      <c r="A42" s="130">
        <v>12</v>
      </c>
      <c r="B42" s="7" t="s">
        <v>41</v>
      </c>
      <c r="C42" s="7" t="s">
        <v>42</v>
      </c>
      <c r="D42" s="8" t="s">
        <v>14</v>
      </c>
      <c r="E42" s="43"/>
      <c r="F42" s="51"/>
      <c r="G42" s="9"/>
      <c r="H42" s="129">
        <f>VLOOKUP($A42,'Model Inputs'!$A:$D,4)</f>
        <v>1</v>
      </c>
      <c r="I42" s="9">
        <f>J42/H42</f>
        <v>12700.800000000001</v>
      </c>
      <c r="J42" s="9">
        <f>SUBTOTAL(9,J43)</f>
        <v>12700.800000000001</v>
      </c>
      <c r="K42" s="89"/>
      <c r="L42" s="89"/>
      <c r="M42" s="9">
        <f>SUBTOTAL(9,M43)</f>
        <v>0</v>
      </c>
      <c r="N42" s="9">
        <f>SUBTOTAL(9,N43)</f>
        <v>12700.800000000001</v>
      </c>
      <c r="O42" s="9">
        <f>SUBTOTAL(9,O43)</f>
        <v>0</v>
      </c>
      <c r="P42" s="9">
        <f>SUBTOTAL(9,P43)</f>
        <v>0</v>
      </c>
      <c r="Q42" s="10">
        <f>SUM(M42:P42)</f>
        <v>12700.800000000001</v>
      </c>
      <c r="R42" s="117"/>
    </row>
    <row r="43" spans="1:18" outlineLevel="1" x14ac:dyDescent="0.5">
      <c r="A43" s="131" t="s">
        <v>448</v>
      </c>
      <c r="B43" s="14">
        <v>1</v>
      </c>
      <c r="C43" s="15" t="s">
        <v>805</v>
      </c>
      <c r="D43" s="44" t="str">
        <f>VLOOKUP(Estimate!$C43,Resources!$B$3:$G$336,4,FALSE)</f>
        <v xml:space="preserve">kL   </v>
      </c>
      <c r="E43" s="44" t="str">
        <f>VLOOKUP(Estimate!$C43,Resources!$B$3:$G$336,3,FALSE)</f>
        <v>M</v>
      </c>
      <c r="F43" s="52">
        <v>1</v>
      </c>
      <c r="G43" s="12">
        <v>1</v>
      </c>
      <c r="H43" s="12">
        <v>5184</v>
      </c>
      <c r="I43" s="12">
        <f>VLOOKUP(C43,Resources!$B$3:$G$336,6,FALSE)</f>
        <v>2.4500000000000002</v>
      </c>
      <c r="J43" s="12">
        <f>(H43/(G43/F43))*I43</f>
        <v>12700.800000000001</v>
      </c>
      <c r="K43" s="90"/>
      <c r="L43" s="90">
        <f>H43/(G43*F43)</f>
        <v>5184</v>
      </c>
      <c r="M43" s="16">
        <f>IF($E43="L",$J43,0)</f>
        <v>0</v>
      </c>
      <c r="N43" s="16">
        <f>IF($E43="M",$J43,0)</f>
        <v>12700.800000000001</v>
      </c>
      <c r="O43" s="16">
        <f>IF($E43="P",$J43,0)</f>
        <v>0</v>
      </c>
      <c r="P43" s="16">
        <f>IF($E43="S",$J43,0)</f>
        <v>0</v>
      </c>
      <c r="Q43" s="16">
        <f>SUM(M43:P43)</f>
        <v>12700.800000000001</v>
      </c>
      <c r="R43" s="118">
        <v>903</v>
      </c>
    </row>
    <row r="44" spans="1:18" x14ac:dyDescent="0.5">
      <c r="A44" s="132" t="s">
        <v>448</v>
      </c>
      <c r="B44" s="1"/>
      <c r="C44" s="2"/>
      <c r="D44" s="1"/>
      <c r="E44" s="45"/>
      <c r="F44" s="53"/>
      <c r="G44" s="11"/>
      <c r="H44" s="11"/>
      <c r="I44" s="11"/>
      <c r="J44" s="11"/>
      <c r="K44" s="91"/>
      <c r="L44" s="91"/>
      <c r="M44" s="13"/>
      <c r="N44" s="13"/>
      <c r="O44" s="13"/>
      <c r="P44" s="13"/>
      <c r="Q44" s="13"/>
      <c r="R44" s="119"/>
    </row>
    <row r="45" spans="1:18" x14ac:dyDescent="0.5">
      <c r="A45" s="132">
        <v>13</v>
      </c>
      <c r="B45" s="1"/>
      <c r="C45" s="5" t="s">
        <v>615</v>
      </c>
      <c r="D45" s="1"/>
      <c r="E45" s="45"/>
      <c r="F45" s="53"/>
      <c r="G45" s="11"/>
      <c r="H45" s="11"/>
      <c r="I45" s="11"/>
      <c r="J45" s="11"/>
      <c r="K45" s="91"/>
      <c r="L45" s="91"/>
      <c r="M45" s="13"/>
      <c r="N45" s="13"/>
      <c r="O45" s="13"/>
      <c r="P45" s="13"/>
      <c r="Q45" s="13"/>
      <c r="R45" s="119"/>
    </row>
    <row r="46" spans="1:18" ht="42" x14ac:dyDescent="0.5">
      <c r="A46" s="130">
        <v>14</v>
      </c>
      <c r="B46" s="7" t="s">
        <v>44</v>
      </c>
      <c r="C46" s="7" t="s">
        <v>45</v>
      </c>
      <c r="D46" s="8" t="s">
        <v>14</v>
      </c>
      <c r="E46" s="43"/>
      <c r="F46" s="51"/>
      <c r="G46" s="9"/>
      <c r="H46" s="129">
        <f>VLOOKUP($A46,'Model Inputs'!$A:$D,4)</f>
        <v>1</v>
      </c>
      <c r="I46" s="9">
        <f>J46/H46</f>
        <v>9126.0307803078031</v>
      </c>
      <c r="J46" s="9">
        <f>SUBTOTAL(9,J48:J53)</f>
        <v>9126.0307803078031</v>
      </c>
      <c r="K46" s="89"/>
      <c r="L46" s="89">
        <f>ROUNDUP(MAX(L48:L51)/workhrs,0)</f>
        <v>3</v>
      </c>
      <c r="M46" s="9">
        <f>SUBTOTAL(9,M48:M53)</f>
        <v>5016.0136801368017</v>
      </c>
      <c r="N46" s="9">
        <f>SUBTOTAL(9,N48:N53)</f>
        <v>2400</v>
      </c>
      <c r="O46" s="9">
        <f>SUBTOTAL(9,O48:O53)</f>
        <v>1710.0171001710016</v>
      </c>
      <c r="P46" s="9">
        <f>SUBTOTAL(9,P48:P53)</f>
        <v>0</v>
      </c>
      <c r="Q46" s="10">
        <f>SUM(M46:P46)</f>
        <v>9126.0307803078031</v>
      </c>
      <c r="R46" s="117"/>
    </row>
    <row r="47" spans="1:18" outlineLevel="1" x14ac:dyDescent="0.5">
      <c r="A47" s="132" t="s">
        <v>448</v>
      </c>
      <c r="B47" s="1">
        <v>1</v>
      </c>
      <c r="C47" s="2" t="s">
        <v>932</v>
      </c>
      <c r="D47" s="1"/>
      <c r="E47" s="45"/>
      <c r="F47" s="53"/>
      <c r="G47" s="11"/>
      <c r="H47" s="11"/>
      <c r="I47" s="11"/>
      <c r="J47" s="11"/>
      <c r="K47" s="91"/>
      <c r="L47" s="91"/>
      <c r="M47" s="13"/>
      <c r="N47" s="13"/>
      <c r="O47" s="13"/>
      <c r="P47" s="13"/>
      <c r="Q47" s="13"/>
      <c r="R47" s="119"/>
    </row>
    <row r="48" spans="1:18" outlineLevel="1" x14ac:dyDescent="0.5">
      <c r="A48" s="131">
        <v>14.1</v>
      </c>
      <c r="B48" s="14">
        <v>2</v>
      </c>
      <c r="C48" s="15" t="s">
        <v>46</v>
      </c>
      <c r="D48" s="44" t="str">
        <f>VLOOKUP(Estimate!$C48,Resources!$B$3:$G$336,4,FALSE)</f>
        <v xml:space="preserve">m    </v>
      </c>
      <c r="E48" s="44" t="str">
        <f>VLOOKUP(Estimate!$C48,Resources!$B$3:$G$336,3,FALSE)</f>
        <v>M</v>
      </c>
      <c r="F48" s="52">
        <v>1</v>
      </c>
      <c r="G48" s="12">
        <v>1</v>
      </c>
      <c r="H48" s="129">
        <f>VLOOKUP($A48,'Model Inputs'!$A:$D,4)</f>
        <v>600</v>
      </c>
      <c r="I48" s="12">
        <f>VLOOKUP(C48,Resources!$B$3:$G$336,6,FALSE)</f>
        <v>2</v>
      </c>
      <c r="J48" s="12">
        <f>(H48/(G48/F48))*I48</f>
        <v>1200</v>
      </c>
      <c r="K48" s="90"/>
      <c r="L48" s="90" t="str">
        <f>IF(E48="M"," ",H48/G48)</f>
        <v xml:space="preserve"> </v>
      </c>
      <c r="M48" s="16">
        <f>IF($E48="L",$J48,0)</f>
        <v>0</v>
      </c>
      <c r="N48" s="16">
        <f>IF($E48="M",$J48,0)</f>
        <v>1200</v>
      </c>
      <c r="O48" s="16">
        <f>IF($E48="P",$J48,0)</f>
        <v>0</v>
      </c>
      <c r="P48" s="16">
        <f>IF($E48="S",$J48,0)</f>
        <v>0</v>
      </c>
      <c r="Q48" s="16">
        <f>SUM(M48:P48)</f>
        <v>1200</v>
      </c>
      <c r="R48" s="118">
        <v>151</v>
      </c>
    </row>
    <row r="49" spans="1:18" outlineLevel="1" x14ac:dyDescent="0.5">
      <c r="A49" s="131" t="s">
        <v>448</v>
      </c>
      <c r="B49" s="14">
        <v>3</v>
      </c>
      <c r="C49" s="15" t="s">
        <v>47</v>
      </c>
      <c r="D49" s="44" t="str">
        <f>VLOOKUP(Estimate!$C49,Resources!$B$3:$G$336,4,FALSE)</f>
        <v xml:space="preserve">each </v>
      </c>
      <c r="E49" s="44" t="str">
        <f>VLOOKUP(Estimate!$C49,Resources!$B$3:$G$336,3,FALSE)</f>
        <v>M</v>
      </c>
      <c r="F49" s="52">
        <v>1</v>
      </c>
      <c r="G49" s="12">
        <v>1</v>
      </c>
      <c r="H49" s="12">
        <f>H48/3</f>
        <v>200</v>
      </c>
      <c r="I49" s="12">
        <f>VLOOKUP(C49,Resources!$B$3:$G$336,6,FALSE)</f>
        <v>6</v>
      </c>
      <c r="J49" s="12">
        <f>(H49/(G49/F49))*I49</f>
        <v>1200</v>
      </c>
      <c r="K49" s="90"/>
      <c r="L49" s="90" t="str">
        <f>IF(E49="M"," ",H49/G49)</f>
        <v xml:space="preserve"> </v>
      </c>
      <c r="M49" s="16">
        <f>IF($E49="L",$J49,0)</f>
        <v>0</v>
      </c>
      <c r="N49" s="16">
        <f>IF($E49="M",$J49,0)</f>
        <v>1200</v>
      </c>
      <c r="O49" s="16">
        <f>IF($E49="P",$J49,0)</f>
        <v>0</v>
      </c>
      <c r="P49" s="16">
        <f>IF($E49="S",$J49,0)</f>
        <v>0</v>
      </c>
      <c r="Q49" s="16">
        <f>SUM(M49:P49)</f>
        <v>1200</v>
      </c>
      <c r="R49" s="118">
        <v>151</v>
      </c>
    </row>
    <row r="50" spans="1:18" outlineLevel="1" x14ac:dyDescent="0.5">
      <c r="A50" s="131">
        <v>14.2</v>
      </c>
      <c r="B50" s="14">
        <v>4</v>
      </c>
      <c r="C50" s="15" t="s">
        <v>49</v>
      </c>
      <c r="D50" s="44" t="str">
        <f>VLOOKUP(Estimate!$C50,Resources!$B$3:$G$336,4,FALSE)</f>
        <v xml:space="preserve">hr   </v>
      </c>
      <c r="E50" s="44" t="str">
        <f>VLOOKUP(Estimate!$C50,Resources!$B$3:$G$336,3,FALSE)</f>
        <v>P</v>
      </c>
      <c r="F50" s="52">
        <v>1</v>
      </c>
      <c r="G50" s="129">
        <f>VLOOKUP($A50,'Model Inputs'!$A:$D,4)</f>
        <v>33.332999999999998</v>
      </c>
      <c r="H50" s="12">
        <f>H48</f>
        <v>600</v>
      </c>
      <c r="I50" s="12">
        <f>VLOOKUP(C50,Resources!$B$3:$G$336,6,FALSE)</f>
        <v>95</v>
      </c>
      <c r="J50" s="12">
        <f>(H50/(G50/F50))*I50</f>
        <v>1710.0171001710016</v>
      </c>
      <c r="K50" s="90">
        <f>L50*F50</f>
        <v>18.000180001800018</v>
      </c>
      <c r="L50" s="90">
        <f>IF(E50="M"," ",H50/G50)</f>
        <v>18.000180001800018</v>
      </c>
      <c r="M50" s="16">
        <f>IF($E50="L",$J50,0)</f>
        <v>0</v>
      </c>
      <c r="N50" s="16">
        <f>IF($E50="M",$J50,0)</f>
        <v>0</v>
      </c>
      <c r="O50" s="16">
        <f>IF($E50="P",$J50,0)</f>
        <v>1710.0171001710016</v>
      </c>
      <c r="P50" s="16">
        <f>IF($E50="S",$J50,0)</f>
        <v>0</v>
      </c>
      <c r="Q50" s="16">
        <f>SUM(M50:P50)</f>
        <v>1710.0171001710016</v>
      </c>
      <c r="R50" s="118">
        <v>151</v>
      </c>
    </row>
    <row r="51" spans="1:18" outlineLevel="1" x14ac:dyDescent="0.5">
      <c r="A51" s="131" t="s">
        <v>448</v>
      </c>
      <c r="B51" s="14">
        <v>5</v>
      </c>
      <c r="C51" s="15" t="s">
        <v>7</v>
      </c>
      <c r="D51" s="44" t="str">
        <f>VLOOKUP(Estimate!$C51,Resources!$B$3:$G$336,4,FALSE)</f>
        <v xml:space="preserve">hr   </v>
      </c>
      <c r="E51" s="44" t="str">
        <f>VLOOKUP(Estimate!$C51,Resources!$B$3:$G$336,3,FALSE)</f>
        <v>L</v>
      </c>
      <c r="F51" s="52">
        <v>2</v>
      </c>
      <c r="G51" s="12">
        <f>G50</f>
        <v>33.332999999999998</v>
      </c>
      <c r="H51" s="12">
        <f>H48</f>
        <v>600</v>
      </c>
      <c r="I51" s="12">
        <f>VLOOKUP(C51,Resources!$B$3:$G$336,6,FALSE)</f>
        <v>38</v>
      </c>
      <c r="J51" s="12">
        <f>(H51/(G51/F51))*I51</f>
        <v>1368.0136801368014</v>
      </c>
      <c r="K51" s="90">
        <f>L51*F51</f>
        <v>36.000360003600036</v>
      </c>
      <c r="L51" s="90">
        <f>IF(E51="M"," ",H51/G51)</f>
        <v>18.000180001800018</v>
      </c>
      <c r="M51" s="16">
        <f>IF($E51="L",$J51,0)</f>
        <v>1368.0136801368014</v>
      </c>
      <c r="N51" s="16">
        <f>IF($E51="M",$J51,0)</f>
        <v>0</v>
      </c>
      <c r="O51" s="16">
        <f>IF($E51="P",$J51,0)</f>
        <v>0</v>
      </c>
      <c r="P51" s="16">
        <f>IF($E51="S",$J51,0)</f>
        <v>0</v>
      </c>
      <c r="Q51" s="16">
        <f>SUM(M51:P51)</f>
        <v>1368.0136801368014</v>
      </c>
      <c r="R51" s="118">
        <v>151</v>
      </c>
    </row>
    <row r="52" spans="1:18" outlineLevel="1" x14ac:dyDescent="0.5">
      <c r="A52" s="132" t="s">
        <v>448</v>
      </c>
      <c r="B52" s="1">
        <v>6</v>
      </c>
      <c r="C52" s="2" t="s">
        <v>933</v>
      </c>
      <c r="D52" s="1"/>
      <c r="E52" s="45"/>
      <c r="F52" s="53"/>
      <c r="G52" s="11"/>
      <c r="H52" s="11"/>
      <c r="I52" s="11"/>
      <c r="J52" s="11"/>
      <c r="K52" s="91"/>
      <c r="L52" s="91"/>
      <c r="M52" s="13"/>
      <c r="N52" s="13"/>
      <c r="O52" s="13"/>
      <c r="P52" s="13"/>
      <c r="Q52" s="13"/>
      <c r="R52" s="119"/>
    </row>
    <row r="53" spans="1:18" outlineLevel="1" x14ac:dyDescent="0.5">
      <c r="A53" s="131" t="s">
        <v>448</v>
      </c>
      <c r="B53" s="14">
        <v>7</v>
      </c>
      <c r="C53" s="15" t="s">
        <v>7</v>
      </c>
      <c r="D53" s="44" t="str">
        <f>VLOOKUP(Estimate!$C53,Resources!$B$3:$G$336,4,FALSE)</f>
        <v xml:space="preserve">hr   </v>
      </c>
      <c r="E53" s="44" t="str">
        <f>VLOOKUP(Estimate!$C53,Resources!$B$3:$G$336,3,FALSE)</f>
        <v>L</v>
      </c>
      <c r="F53" s="52">
        <v>2</v>
      </c>
      <c r="G53" s="12">
        <v>1</v>
      </c>
      <c r="H53" s="12">
        <v>48</v>
      </c>
      <c r="I53" s="12">
        <f>VLOOKUP(C53,Resources!$B$3:$G$336,6,FALSE)</f>
        <v>38</v>
      </c>
      <c r="J53" s="12">
        <f>(H53/(G53/F53))*I53</f>
        <v>3648</v>
      </c>
      <c r="K53" s="90">
        <f>L53*F53</f>
        <v>96</v>
      </c>
      <c r="L53" s="90">
        <f>IF(E53="M"," ",H53/G53)</f>
        <v>48</v>
      </c>
      <c r="M53" s="16">
        <f>IF($E53="L",$J53,0)</f>
        <v>3648</v>
      </c>
      <c r="N53" s="16">
        <f>IF($E53="M",$J53,0)</f>
        <v>0</v>
      </c>
      <c r="O53" s="16">
        <f>IF($E53="P",$J53,0)</f>
        <v>0</v>
      </c>
      <c r="P53" s="16">
        <f>IF($E53="S",$J53,0)</f>
        <v>0</v>
      </c>
      <c r="Q53" s="16">
        <f>SUM(M53:P53)</f>
        <v>3648</v>
      </c>
      <c r="R53" s="118">
        <v>151</v>
      </c>
    </row>
    <row r="54" spans="1:18" x14ac:dyDescent="0.5">
      <c r="A54" s="132" t="s">
        <v>448</v>
      </c>
      <c r="B54" s="1"/>
      <c r="C54" s="2"/>
      <c r="D54" s="1"/>
      <c r="E54" s="45"/>
      <c r="F54" s="53"/>
      <c r="G54" s="11"/>
      <c r="H54" s="11"/>
      <c r="I54" s="11"/>
      <c r="J54" s="11"/>
      <c r="K54" s="91"/>
      <c r="L54" s="91"/>
      <c r="M54" s="13"/>
      <c r="N54" s="13"/>
      <c r="O54" s="13"/>
      <c r="P54" s="13"/>
      <c r="Q54" s="13"/>
      <c r="R54" s="119"/>
    </row>
    <row r="55" spans="1:18" x14ac:dyDescent="0.5">
      <c r="A55" s="132">
        <v>15</v>
      </c>
      <c r="B55" s="1"/>
      <c r="C55" s="5" t="s">
        <v>616</v>
      </c>
      <c r="D55" s="1"/>
      <c r="E55" s="45"/>
      <c r="F55" s="53"/>
      <c r="G55" s="11"/>
      <c r="H55" s="11"/>
      <c r="I55" s="11"/>
      <c r="J55" s="11"/>
      <c r="K55" s="91"/>
      <c r="L55" s="91"/>
      <c r="M55" s="13"/>
      <c r="N55" s="13"/>
      <c r="O55" s="13"/>
      <c r="P55" s="13"/>
      <c r="Q55" s="13"/>
      <c r="R55" s="119"/>
    </row>
    <row r="56" spans="1:18" x14ac:dyDescent="0.5">
      <c r="A56" s="132">
        <v>16</v>
      </c>
      <c r="B56" s="1"/>
      <c r="C56" s="5" t="s">
        <v>617</v>
      </c>
      <c r="D56" s="1"/>
      <c r="E56" s="45"/>
      <c r="F56" s="53"/>
      <c r="G56" s="11"/>
      <c r="H56" s="11"/>
      <c r="I56" s="11"/>
      <c r="J56" s="11"/>
      <c r="K56" s="91"/>
      <c r="L56" s="91"/>
      <c r="M56" s="13"/>
      <c r="N56" s="13"/>
      <c r="O56" s="13"/>
      <c r="P56" s="13"/>
      <c r="Q56" s="13"/>
      <c r="R56" s="119"/>
    </row>
    <row r="57" spans="1:18" ht="21" x14ac:dyDescent="0.5">
      <c r="A57" s="130">
        <v>17</v>
      </c>
      <c r="B57" s="7" t="s">
        <v>50</v>
      </c>
      <c r="C57" s="7" t="s">
        <v>51</v>
      </c>
      <c r="D57" s="8" t="s">
        <v>14</v>
      </c>
      <c r="E57" s="43"/>
      <c r="F57" s="51"/>
      <c r="G57" s="9"/>
      <c r="H57" s="129">
        <f>VLOOKUP($A57,'Model Inputs'!$A:$D,4)</f>
        <v>1</v>
      </c>
      <c r="I57" s="9">
        <f>J57/H57</f>
        <v>514</v>
      </c>
      <c r="J57" s="9">
        <f>SUBTOTAL(9,J59:J60)</f>
        <v>514</v>
      </c>
      <c r="K57" s="89"/>
      <c r="L57" s="89">
        <f>ROUNDUP(MAX(L60)/workhrs,0)</f>
        <v>1</v>
      </c>
      <c r="M57" s="9">
        <f>SUBTOTAL(9,M59:M60)</f>
        <v>304</v>
      </c>
      <c r="N57" s="9">
        <f>SUBTOTAL(9,N59:N60)</f>
        <v>210</v>
      </c>
      <c r="O57" s="9">
        <f>SUBTOTAL(9,O59:O60)</f>
        <v>0</v>
      </c>
      <c r="P57" s="9">
        <f>SUBTOTAL(9,P59:P60)</f>
        <v>0</v>
      </c>
      <c r="Q57" s="10">
        <f>SUM(M57:P57)</f>
        <v>514</v>
      </c>
      <c r="R57" s="117"/>
    </row>
    <row r="58" spans="1:18" outlineLevel="1" x14ac:dyDescent="0.5">
      <c r="A58" s="132" t="s">
        <v>448</v>
      </c>
      <c r="B58" s="1">
        <v>1</v>
      </c>
      <c r="C58" s="2"/>
      <c r="D58" s="1"/>
      <c r="E58" s="45"/>
      <c r="F58" s="53"/>
      <c r="G58" s="11"/>
      <c r="H58" s="11"/>
      <c r="I58" s="11"/>
      <c r="J58" s="11"/>
      <c r="K58" s="91"/>
      <c r="L58" s="91"/>
      <c r="M58" s="13"/>
      <c r="N58" s="13"/>
      <c r="O58" s="13"/>
      <c r="P58" s="13"/>
      <c r="Q58" s="13"/>
      <c r="R58" s="119"/>
    </row>
    <row r="59" spans="1:18" outlineLevel="1" x14ac:dyDescent="0.5">
      <c r="A59" s="131" t="s">
        <v>448</v>
      </c>
      <c r="B59" s="14">
        <v>2</v>
      </c>
      <c r="C59" s="15" t="s">
        <v>778</v>
      </c>
      <c r="D59" s="44" t="str">
        <f>VLOOKUP(Estimate!$C59,Resources!$B$3:$G$336,4,FALSE)</f>
        <v xml:space="preserve">each </v>
      </c>
      <c r="E59" s="44" t="str">
        <f>VLOOKUP(Estimate!$C59,Resources!$B$3:$G$336,3,FALSE)</f>
        <v>M</v>
      </c>
      <c r="F59" s="52">
        <v>60</v>
      </c>
      <c r="G59" s="12">
        <v>1</v>
      </c>
      <c r="H59" s="12">
        <v>1</v>
      </c>
      <c r="I59" s="12">
        <f>VLOOKUP(C59,Resources!$B$3:$G$336,6,FALSE)</f>
        <v>3.5</v>
      </c>
      <c r="J59" s="12">
        <f>(H59/(G59/F59))*I59</f>
        <v>210</v>
      </c>
      <c r="K59" s="90"/>
      <c r="L59" s="90"/>
      <c r="M59" s="16">
        <f>IF($E59="L",$J59,0)</f>
        <v>0</v>
      </c>
      <c r="N59" s="16">
        <f>IF($E59="M",$J59,0)</f>
        <v>210</v>
      </c>
      <c r="O59" s="16">
        <f>IF($E59="P",$J59,0)</f>
        <v>0</v>
      </c>
      <c r="P59" s="16">
        <f>IF($E59="S",$J59,0)</f>
        <v>0</v>
      </c>
      <c r="Q59" s="16">
        <f>SUM(M59:P59)</f>
        <v>210</v>
      </c>
      <c r="R59" s="118">
        <v>151</v>
      </c>
    </row>
    <row r="60" spans="1:18" outlineLevel="1" x14ac:dyDescent="0.5">
      <c r="A60" s="131" t="s">
        <v>448</v>
      </c>
      <c r="B60" s="14">
        <v>3</v>
      </c>
      <c r="C60" s="15" t="s">
        <v>7</v>
      </c>
      <c r="D60" s="44" t="str">
        <f>VLOOKUP(Estimate!$C60,Resources!$B$3:$G$336,4,FALSE)</f>
        <v xml:space="preserve">hr   </v>
      </c>
      <c r="E60" s="44" t="str">
        <f>VLOOKUP(Estimate!$C60,Resources!$B$3:$G$336,3,FALSE)</f>
        <v>L</v>
      </c>
      <c r="F60" s="52">
        <v>2</v>
      </c>
      <c r="G60" s="12">
        <v>1</v>
      </c>
      <c r="H60" s="12">
        <v>4</v>
      </c>
      <c r="I60" s="12">
        <f>VLOOKUP(C60,Resources!$B$3:$G$336,6,FALSE)</f>
        <v>38</v>
      </c>
      <c r="J60" s="12">
        <f>(H60/(G60/F60))*I60</f>
        <v>304</v>
      </c>
      <c r="K60" s="90">
        <f>L60*F60</f>
        <v>8</v>
      </c>
      <c r="L60" s="90">
        <f>IF(E60="M"," ",H60/G60)</f>
        <v>4</v>
      </c>
      <c r="M60" s="16">
        <f>IF($E60="L",$J60,0)</f>
        <v>304</v>
      </c>
      <c r="N60" s="16">
        <f>IF($E60="M",$J60,0)</f>
        <v>0</v>
      </c>
      <c r="O60" s="16">
        <f>IF($E60="P",$J60,0)</f>
        <v>0</v>
      </c>
      <c r="P60" s="16">
        <f>IF($E60="S",$J60,0)</f>
        <v>0</v>
      </c>
      <c r="Q60" s="16">
        <f>SUM(M60:P60)</f>
        <v>304</v>
      </c>
      <c r="R60" s="118">
        <v>151</v>
      </c>
    </row>
    <row r="61" spans="1:18" outlineLevel="1" x14ac:dyDescent="0.5">
      <c r="A61" s="132" t="s">
        <v>448</v>
      </c>
      <c r="B61" s="1"/>
      <c r="C61" s="2"/>
      <c r="D61" s="1"/>
      <c r="E61" s="45"/>
      <c r="F61" s="53"/>
      <c r="G61" s="11"/>
      <c r="H61" s="11"/>
      <c r="I61" s="11"/>
      <c r="J61" s="11"/>
      <c r="K61" s="91"/>
      <c r="L61" s="91"/>
      <c r="M61" s="13"/>
      <c r="N61" s="13"/>
      <c r="O61" s="13"/>
      <c r="P61" s="13"/>
      <c r="Q61" s="13"/>
      <c r="R61" s="119"/>
    </row>
    <row r="62" spans="1:18" x14ac:dyDescent="0.5">
      <c r="A62" s="132">
        <v>18</v>
      </c>
      <c r="B62" s="1"/>
      <c r="C62" s="5" t="s">
        <v>618</v>
      </c>
      <c r="D62" s="1"/>
      <c r="E62" s="45"/>
      <c r="F62" s="53"/>
      <c r="G62" s="11"/>
      <c r="H62" s="11"/>
      <c r="I62" s="11"/>
      <c r="J62" s="11"/>
      <c r="K62" s="91"/>
      <c r="L62" s="91"/>
      <c r="M62" s="13"/>
      <c r="N62" s="13"/>
      <c r="O62" s="13"/>
      <c r="P62" s="13"/>
      <c r="Q62" s="13"/>
      <c r="R62" s="119"/>
    </row>
    <row r="63" spans="1:18" ht="31.5" x14ac:dyDescent="0.5">
      <c r="A63" s="130">
        <v>19</v>
      </c>
      <c r="B63" s="7" t="s">
        <v>52</v>
      </c>
      <c r="C63" s="7" t="s">
        <v>53</v>
      </c>
      <c r="D63" s="8" t="s">
        <v>54</v>
      </c>
      <c r="E63" s="43"/>
      <c r="F63" s="51"/>
      <c r="G63" s="9"/>
      <c r="H63" s="129">
        <f>VLOOKUP($A63,'Model Inputs'!$A:$D,4)</f>
        <v>12233</v>
      </c>
      <c r="I63" s="9">
        <f>J63/H63</f>
        <v>1.0555055996076188</v>
      </c>
      <c r="J63" s="9">
        <f>SUBTOTAL(9,J65:J67)</f>
        <v>12912</v>
      </c>
      <c r="K63" s="89"/>
      <c r="L63" s="89">
        <f>ROUNDUP(MAX(L65:L67)/workhrs,0)</f>
        <v>4</v>
      </c>
      <c r="M63" s="9">
        <f>SUBTOTAL(9,M65:M67)</f>
        <v>2052</v>
      </c>
      <c r="N63" s="9">
        <f>SUBTOTAL(9,N65:N67)</f>
        <v>0</v>
      </c>
      <c r="O63" s="9">
        <f>SUBTOTAL(9,O65:O67)</f>
        <v>4860</v>
      </c>
      <c r="P63" s="9">
        <f>SUBTOTAL(9,P65:P67)</f>
        <v>6000</v>
      </c>
      <c r="Q63" s="10">
        <f>SUM(M63:P63)</f>
        <v>12912</v>
      </c>
      <c r="R63" s="117"/>
    </row>
    <row r="64" spans="1:18" outlineLevel="1" x14ac:dyDescent="0.5">
      <c r="A64" s="132" t="s">
        <v>448</v>
      </c>
      <c r="B64" s="1">
        <v>1</v>
      </c>
      <c r="C64" s="2"/>
      <c r="D64" s="1"/>
      <c r="E64" s="45"/>
      <c r="F64" s="53"/>
      <c r="G64" s="11"/>
      <c r="H64" s="11"/>
      <c r="I64" s="11"/>
      <c r="J64" s="11"/>
      <c r="K64" s="91"/>
      <c r="L64" s="91"/>
      <c r="M64" s="13"/>
      <c r="N64" s="13"/>
      <c r="O64" s="13"/>
      <c r="P64" s="13"/>
      <c r="Q64" s="13"/>
      <c r="R64" s="119"/>
    </row>
    <row r="65" spans="1:18" outlineLevel="1" x14ac:dyDescent="0.5">
      <c r="A65" s="131">
        <v>19.100000000000001</v>
      </c>
      <c r="B65" s="14">
        <v>2</v>
      </c>
      <c r="C65" s="15" t="s">
        <v>55</v>
      </c>
      <c r="D65" s="44" t="str">
        <f>VLOOKUP(Estimate!$C65,Resources!$B$3:$G$336,4,FALSE)</f>
        <v xml:space="preserve">hr   </v>
      </c>
      <c r="E65" s="44" t="str">
        <f>VLOOKUP(Estimate!$C65,Resources!$B$3:$G$336,3,FALSE)</f>
        <v>P</v>
      </c>
      <c r="F65" s="52">
        <v>1</v>
      </c>
      <c r="G65" s="12">
        <v>1</v>
      </c>
      <c r="H65" s="129">
        <f>VLOOKUP($A65,'Model Inputs'!$A:$D,4)</f>
        <v>36</v>
      </c>
      <c r="I65" s="12">
        <f>VLOOKUP(C65,Resources!$B$3:$G$336,6,FALSE)</f>
        <v>135</v>
      </c>
      <c r="J65" s="12">
        <f>(H65/(G65/F65))*I65</f>
        <v>4860</v>
      </c>
      <c r="K65" s="90">
        <f>L65*F65</f>
        <v>36</v>
      </c>
      <c r="L65" s="90">
        <f>IF(E65="M"," ",H65/G65)</f>
        <v>36</v>
      </c>
      <c r="M65" s="16">
        <f>IF($E65="L",$J65,0)</f>
        <v>0</v>
      </c>
      <c r="N65" s="16">
        <f>IF($E65="M",$J65,0)</f>
        <v>0</v>
      </c>
      <c r="O65" s="16">
        <f>IF($E65="P",$J65,0)</f>
        <v>4860</v>
      </c>
      <c r="P65" s="16">
        <f>IF($E65="S",$J65,0)</f>
        <v>0</v>
      </c>
      <c r="Q65" s="16">
        <f>SUM(M65:P65)</f>
        <v>4860</v>
      </c>
      <c r="R65" s="118">
        <v>22</v>
      </c>
    </row>
    <row r="66" spans="1:18" outlineLevel="1" x14ac:dyDescent="0.5">
      <c r="A66" s="131" t="s">
        <v>448</v>
      </c>
      <c r="B66" s="14">
        <v>3</v>
      </c>
      <c r="C66" s="15" t="s">
        <v>7</v>
      </c>
      <c r="D66" s="44" t="str">
        <f>VLOOKUP(Estimate!$C66,Resources!$B$3:$G$336,4,FALSE)</f>
        <v xml:space="preserve">hr   </v>
      </c>
      <c r="E66" s="44" t="str">
        <f>VLOOKUP(Estimate!$C66,Resources!$B$3:$G$336,3,FALSE)</f>
        <v>L</v>
      </c>
      <c r="F66" s="52">
        <v>3</v>
      </c>
      <c r="G66" s="12">
        <v>1</v>
      </c>
      <c r="H66" s="12">
        <f>H65/2</f>
        <v>18</v>
      </c>
      <c r="I66" s="12">
        <f>VLOOKUP(C66,Resources!$B$3:$G$336,6,FALSE)</f>
        <v>38</v>
      </c>
      <c r="J66" s="12">
        <f>(H66/(G66/F66))*I66</f>
        <v>2052</v>
      </c>
      <c r="K66" s="90">
        <f>L66*F66</f>
        <v>54</v>
      </c>
      <c r="L66" s="90">
        <f>IF(E66="M"," ",H66/G66)</f>
        <v>18</v>
      </c>
      <c r="M66" s="16">
        <f>IF($E66="L",$J66,0)</f>
        <v>2052</v>
      </c>
      <c r="N66" s="16">
        <f>IF($E66="M",$J66,0)</f>
        <v>0</v>
      </c>
      <c r="O66" s="16">
        <f>IF($E66="P",$J66,0)</f>
        <v>0</v>
      </c>
      <c r="P66" s="16">
        <f>IF($E66="S",$J66,0)</f>
        <v>0</v>
      </c>
      <c r="Q66" s="16">
        <f>SUM(M66:P66)</f>
        <v>2052</v>
      </c>
      <c r="R66" s="118">
        <v>22</v>
      </c>
    </row>
    <row r="67" spans="1:18" outlineLevel="1" x14ac:dyDescent="0.5">
      <c r="A67" s="131" t="s">
        <v>448</v>
      </c>
      <c r="B67" s="14">
        <v>4</v>
      </c>
      <c r="C67" s="15" t="s">
        <v>56</v>
      </c>
      <c r="D67" s="44" t="str">
        <f>VLOOKUP(Estimate!$C67,Resources!$B$3:$G$336,4,FALSE)</f>
        <v xml:space="preserve">Item </v>
      </c>
      <c r="E67" s="44" t="str">
        <f>VLOOKUP(Estimate!$C67,Resources!$B$3:$G$336,3,FALSE)</f>
        <v>S</v>
      </c>
      <c r="F67" s="52">
        <v>1</v>
      </c>
      <c r="G67" s="12">
        <v>12233</v>
      </c>
      <c r="H67" s="12">
        <v>12233</v>
      </c>
      <c r="I67" s="12">
        <f>VLOOKUP(C67,Resources!$B$3:$G$336,6,FALSE)</f>
        <v>6000</v>
      </c>
      <c r="J67" s="12">
        <f>(H67/(G67/F67))*I67</f>
        <v>6000</v>
      </c>
      <c r="K67" s="90">
        <f>L67*F67</f>
        <v>1</v>
      </c>
      <c r="L67" s="90">
        <f>IF(E67="M"," ",H67/G67)</f>
        <v>1</v>
      </c>
      <c r="M67" s="16">
        <f>IF($E67="L",$J67,0)</f>
        <v>0</v>
      </c>
      <c r="N67" s="16">
        <f>IF($E67="M",$J67,0)</f>
        <v>0</v>
      </c>
      <c r="O67" s="16">
        <f>IF($E67="P",$J67,0)</f>
        <v>0</v>
      </c>
      <c r="P67" s="16">
        <f>IF($E67="S",$J67,0)</f>
        <v>6000</v>
      </c>
      <c r="Q67" s="16">
        <f>SUM(M67:P67)</f>
        <v>6000</v>
      </c>
      <c r="R67" s="118">
        <v>23</v>
      </c>
    </row>
    <row r="68" spans="1:18" outlineLevel="1" x14ac:dyDescent="0.5">
      <c r="A68" s="132" t="s">
        <v>448</v>
      </c>
      <c r="B68" s="1"/>
      <c r="C68" s="2"/>
      <c r="D68" s="1"/>
      <c r="E68" s="45"/>
      <c r="F68" s="53"/>
      <c r="G68" s="11"/>
      <c r="H68" s="11"/>
      <c r="I68" s="11"/>
      <c r="J68" s="11"/>
      <c r="K68" s="91"/>
      <c r="L68" s="91"/>
      <c r="M68" s="13"/>
      <c r="N68" s="13"/>
      <c r="O68" s="13"/>
      <c r="P68" s="13"/>
      <c r="Q68" s="13"/>
      <c r="R68" s="119"/>
    </row>
    <row r="69" spans="1:18" ht="21" x14ac:dyDescent="0.5">
      <c r="A69" s="130">
        <v>20</v>
      </c>
      <c r="B69" s="7" t="s">
        <v>57</v>
      </c>
      <c r="C69" s="7" t="s">
        <v>58</v>
      </c>
      <c r="D69" s="8" t="s">
        <v>54</v>
      </c>
      <c r="E69" s="43"/>
      <c r="F69" s="51"/>
      <c r="G69" s="9"/>
      <c r="H69" s="129">
        <f>VLOOKUP($A69,'Model Inputs'!$A:$D,4)</f>
        <v>7813</v>
      </c>
      <c r="I69" s="9">
        <f>J69/H69</f>
        <v>1.0096862378922027</v>
      </c>
      <c r="J69" s="9">
        <f>SUBTOTAL(9,J71:J73)</f>
        <v>7888.6785766517796</v>
      </c>
      <c r="K69" s="89"/>
      <c r="L69" s="89">
        <f>ROUNDUP(MAX(L71:L73)/workhrs,0)</f>
        <v>5</v>
      </c>
      <c r="M69" s="9">
        <f>SUBTOTAL(9,M71:M73)</f>
        <v>1670.026662466672</v>
      </c>
      <c r="N69" s="9">
        <f>SUBTOTAL(9,N71:N73)</f>
        <v>0</v>
      </c>
      <c r="O69" s="9">
        <f>SUBTOTAL(9,O71:O73)</f>
        <v>6218.6519141851077</v>
      </c>
      <c r="P69" s="9">
        <f>SUBTOTAL(9,P71:P73)</f>
        <v>0</v>
      </c>
      <c r="Q69" s="10">
        <f>SUM(M69:P69)</f>
        <v>7888.6785766517796</v>
      </c>
      <c r="R69" s="117"/>
    </row>
    <row r="70" spans="1:18" outlineLevel="1" x14ac:dyDescent="0.5">
      <c r="A70" s="132" t="s">
        <v>448</v>
      </c>
      <c r="B70" s="1">
        <v>1</v>
      </c>
      <c r="C70" s="2"/>
      <c r="D70" s="1"/>
      <c r="E70" s="45"/>
      <c r="F70" s="53"/>
      <c r="G70" s="11"/>
      <c r="H70" s="11"/>
      <c r="I70" s="11"/>
      <c r="J70" s="11"/>
      <c r="K70" s="91"/>
      <c r="L70" s="91"/>
      <c r="M70" s="13"/>
      <c r="N70" s="13"/>
      <c r="O70" s="13"/>
      <c r="P70" s="13"/>
      <c r="Q70" s="13"/>
      <c r="R70" s="119"/>
    </row>
    <row r="71" spans="1:18" outlineLevel="1" x14ac:dyDescent="0.5">
      <c r="A71" s="131">
        <v>20.100000000000001</v>
      </c>
      <c r="B71" s="14">
        <v>2</v>
      </c>
      <c r="C71" s="15" t="s">
        <v>59</v>
      </c>
      <c r="D71" s="44" t="str">
        <f>VLOOKUP(Estimate!$C71,Resources!$B$3:$G$336,4,FALSE)</f>
        <v xml:space="preserve">hr   </v>
      </c>
      <c r="E71" s="44" t="str">
        <f>VLOOKUP(Estimate!$C71,Resources!$B$3:$G$336,3,FALSE)</f>
        <v>P</v>
      </c>
      <c r="F71" s="52">
        <v>1</v>
      </c>
      <c r="G71" s="129">
        <f>VLOOKUP($A71,'Model Inputs'!$A:$D,4)</f>
        <v>177.77799999999999</v>
      </c>
      <c r="H71" s="12">
        <f>H69</f>
        <v>7813</v>
      </c>
      <c r="I71" s="12">
        <f>VLOOKUP(C71,Resources!$B$3:$G$336,6,FALSE)</f>
        <v>46.5</v>
      </c>
      <c r="J71" s="12">
        <f>(H71/(G71/F71))*I71</f>
        <v>2043.5852580184276</v>
      </c>
      <c r="K71" s="90">
        <f>L71*F71</f>
        <v>43.948070064912422</v>
      </c>
      <c r="L71" s="90">
        <f>IF(E71="M"," ",H71/G71)</f>
        <v>43.948070064912422</v>
      </c>
      <c r="M71" s="16">
        <f>IF($E71="L",$J71,0)</f>
        <v>0</v>
      </c>
      <c r="N71" s="16">
        <f>IF($E71="M",$J71,0)</f>
        <v>0</v>
      </c>
      <c r="O71" s="16">
        <f>IF($E71="P",$J71,0)</f>
        <v>2043.5852580184276</v>
      </c>
      <c r="P71" s="16">
        <f>IF($E71="S",$J71,0)</f>
        <v>0</v>
      </c>
      <c r="Q71" s="16">
        <f>SUM(M71:P71)</f>
        <v>2043.5852580184276</v>
      </c>
      <c r="R71" s="118">
        <v>41</v>
      </c>
    </row>
    <row r="72" spans="1:18" outlineLevel="1" x14ac:dyDescent="0.5">
      <c r="A72" s="131" t="s">
        <v>448</v>
      </c>
      <c r="B72" s="14">
        <v>3</v>
      </c>
      <c r="C72" s="15" t="s">
        <v>7</v>
      </c>
      <c r="D72" s="44" t="str">
        <f>VLOOKUP(Estimate!$C72,Resources!$B$3:$G$336,4,FALSE)</f>
        <v xml:space="preserve">hr   </v>
      </c>
      <c r="E72" s="44" t="str">
        <f>VLOOKUP(Estimate!$C72,Resources!$B$3:$G$336,3,FALSE)</f>
        <v>L</v>
      </c>
      <c r="F72" s="52">
        <v>1</v>
      </c>
      <c r="G72" s="12">
        <f>G71</f>
        <v>177.77799999999999</v>
      </c>
      <c r="H72" s="12">
        <f>H69</f>
        <v>7813</v>
      </c>
      <c r="I72" s="12">
        <f>VLOOKUP(C72,Resources!$B$3:$G$336,6,FALSE)</f>
        <v>38</v>
      </c>
      <c r="J72" s="12">
        <f>(H72/(G72/F72))*I72</f>
        <v>1670.026662466672</v>
      </c>
      <c r="K72" s="90">
        <f>L72*F72</f>
        <v>43.948070064912422</v>
      </c>
      <c r="L72" s="90">
        <f>IF(E72="M"," ",H72/G72)</f>
        <v>43.948070064912422</v>
      </c>
      <c r="M72" s="16">
        <f>IF($E72="L",$J72,0)</f>
        <v>1670.026662466672</v>
      </c>
      <c r="N72" s="16">
        <f>IF($E72="M",$J72,0)</f>
        <v>0</v>
      </c>
      <c r="O72" s="16">
        <f>IF($E72="P",$J72,0)</f>
        <v>0</v>
      </c>
      <c r="P72" s="16">
        <f>IF($E72="S",$J72,0)</f>
        <v>0</v>
      </c>
      <c r="Q72" s="16">
        <f>SUM(M72:P72)</f>
        <v>1670.026662466672</v>
      </c>
      <c r="R72" s="118">
        <v>41</v>
      </c>
    </row>
    <row r="73" spans="1:18" outlineLevel="1" x14ac:dyDescent="0.5">
      <c r="A73" s="131" t="s">
        <v>448</v>
      </c>
      <c r="B73" s="14">
        <v>4</v>
      </c>
      <c r="C73" s="15" t="s">
        <v>60</v>
      </c>
      <c r="D73" s="44" t="str">
        <f>VLOOKUP(Estimate!$C73,Resources!$B$3:$G$336,4,FALSE)</f>
        <v xml:space="preserve">hr   </v>
      </c>
      <c r="E73" s="44" t="str">
        <f>VLOOKUP(Estimate!$C73,Resources!$B$3:$G$336,3,FALSE)</f>
        <v>P</v>
      </c>
      <c r="F73" s="52">
        <v>1</v>
      </c>
      <c r="G73" s="12">
        <f>G71</f>
        <v>177.77799999999999</v>
      </c>
      <c r="H73" s="12">
        <f>H69</f>
        <v>7813</v>
      </c>
      <c r="I73" s="12">
        <f>VLOOKUP(C73,Resources!$B$3:$G$336,6,FALSE)</f>
        <v>95</v>
      </c>
      <c r="J73" s="12">
        <f>(H73/(G73/F73))*I73</f>
        <v>4175.0666561666803</v>
      </c>
      <c r="K73" s="90">
        <f>L73*F73</f>
        <v>43.948070064912422</v>
      </c>
      <c r="L73" s="90">
        <f>IF(E73="M"," ",H73/G73)</f>
        <v>43.948070064912422</v>
      </c>
      <c r="M73" s="16">
        <f>IF($E73="L",$J73,0)</f>
        <v>0</v>
      </c>
      <c r="N73" s="16">
        <f>IF($E73="M",$J73,0)</f>
        <v>0</v>
      </c>
      <c r="O73" s="16">
        <f>IF($E73="P",$J73,0)</f>
        <v>4175.0666561666803</v>
      </c>
      <c r="P73" s="16">
        <f>IF($E73="S",$J73,0)</f>
        <v>0</v>
      </c>
      <c r="Q73" s="16">
        <f>SUM(M73:P73)</f>
        <v>4175.0666561666803</v>
      </c>
      <c r="R73" s="118">
        <v>41</v>
      </c>
    </row>
    <row r="74" spans="1:18" outlineLevel="1" x14ac:dyDescent="0.5">
      <c r="A74" s="132" t="s">
        <v>448</v>
      </c>
      <c r="B74" s="1"/>
      <c r="C74" s="2"/>
      <c r="D74" s="1"/>
      <c r="E74" s="45"/>
      <c r="F74" s="53"/>
      <c r="G74" s="11"/>
      <c r="H74" s="11"/>
      <c r="I74" s="11"/>
      <c r="J74" s="11"/>
      <c r="K74" s="91"/>
      <c r="L74" s="91"/>
      <c r="M74" s="13"/>
      <c r="N74" s="13"/>
      <c r="O74" s="13"/>
      <c r="P74" s="13"/>
      <c r="Q74" s="13"/>
      <c r="R74" s="119"/>
    </row>
    <row r="75" spans="1:18" ht="21" x14ac:dyDescent="0.5">
      <c r="A75" s="130">
        <v>21</v>
      </c>
      <c r="B75" s="7" t="s">
        <v>61</v>
      </c>
      <c r="C75" s="7" t="s">
        <v>62</v>
      </c>
      <c r="D75" s="8" t="s">
        <v>25</v>
      </c>
      <c r="E75" s="43"/>
      <c r="F75" s="51"/>
      <c r="G75" s="9"/>
      <c r="H75" s="129">
        <f>VLOOKUP($A75,'Model Inputs'!$A:$D,4)</f>
        <v>445</v>
      </c>
      <c r="I75" s="9">
        <f>J75/H75</f>
        <v>28.474078827578435</v>
      </c>
      <c r="J75" s="9">
        <f>SUBTOTAL(9,J76:J79)</f>
        <v>12670.965078272404</v>
      </c>
      <c r="K75" s="89"/>
      <c r="L75" s="89">
        <f>ROUNDUP(MAX(L77:L79)/workhrs,0)</f>
        <v>2</v>
      </c>
      <c r="M75" s="9">
        <f>SUBTOTAL(9,M76:M79)</f>
        <v>608.75512995896031</v>
      </c>
      <c r="N75" s="9">
        <f>SUBTOTAL(9,N76:N79)</f>
        <v>0</v>
      </c>
      <c r="O75" s="9">
        <f>SUBTOTAL(9,O76:O79)</f>
        <v>6247.750017999856</v>
      </c>
      <c r="P75" s="9">
        <f>SUBTOTAL(9,P76:P79)</f>
        <v>5814.4599303135892</v>
      </c>
      <c r="Q75" s="10">
        <f>SUM(M75:P75)</f>
        <v>12670.965078272406</v>
      </c>
      <c r="R75" s="117"/>
    </row>
    <row r="76" spans="1:18" outlineLevel="1" x14ac:dyDescent="0.5">
      <c r="A76" s="131" t="s">
        <v>448</v>
      </c>
      <c r="B76" s="14">
        <v>1</v>
      </c>
      <c r="C76" s="15" t="s">
        <v>63</v>
      </c>
      <c r="D76" s="44" t="str">
        <f>VLOOKUP(Estimate!$C76,Resources!$B$3:$G$336,4,FALSE)</f>
        <v>tonne</v>
      </c>
      <c r="E76" s="44" t="str">
        <f>VLOOKUP(Estimate!$C76,Resources!$B$3:$G$336,3,FALSE)</f>
        <v>S</v>
      </c>
      <c r="F76" s="52">
        <v>1</v>
      </c>
      <c r="G76" s="12">
        <v>1</v>
      </c>
      <c r="H76" s="12">
        <f>H75/3.444</f>
        <v>129.21022067363532</v>
      </c>
      <c r="I76" s="12">
        <f>VLOOKUP(C76,Resources!$B$3:$G$336,6,FALSE)</f>
        <v>45</v>
      </c>
      <c r="J76" s="12">
        <f>(H76/(G76/F76))*I76</f>
        <v>5814.4599303135892</v>
      </c>
      <c r="K76" s="90"/>
      <c r="L76" s="90"/>
      <c r="M76" s="16">
        <f>IF($E76="L",$J76,0)</f>
        <v>0</v>
      </c>
      <c r="N76" s="16">
        <f>IF($E76="M",$J76,0)</f>
        <v>0</v>
      </c>
      <c r="O76" s="16">
        <f>IF($E76="P",$J76,0)</f>
        <v>0</v>
      </c>
      <c r="P76" s="16">
        <f>IF($E76="S",$J76,0)</f>
        <v>5814.4599303135892</v>
      </c>
      <c r="Q76" s="16">
        <f>SUM(M76:P76)</f>
        <v>5814.4599303135892</v>
      </c>
      <c r="R76" s="118">
        <v>41</v>
      </c>
    </row>
    <row r="77" spans="1:18" outlineLevel="1" x14ac:dyDescent="0.5">
      <c r="A77" s="131">
        <v>21.1</v>
      </c>
      <c r="B77" s="14">
        <v>2</v>
      </c>
      <c r="C77" s="15" t="s">
        <v>65</v>
      </c>
      <c r="D77" s="44" t="str">
        <f>VLOOKUP(Estimate!$C77,Resources!$B$3:$G$336,4,FALSE)</f>
        <v xml:space="preserve">hr   </v>
      </c>
      <c r="E77" s="44" t="str">
        <f>VLOOKUP(Estimate!$C77,Resources!$B$3:$G$336,3,FALSE)</f>
        <v>P</v>
      </c>
      <c r="F77" s="52">
        <v>1</v>
      </c>
      <c r="G77" s="129">
        <f>VLOOKUP($A77,'Model Inputs'!$A:$D,4)</f>
        <v>27.777999999999999</v>
      </c>
      <c r="H77" s="12">
        <f>H75</f>
        <v>445</v>
      </c>
      <c r="I77" s="12">
        <f>VLOOKUP(C77,Resources!$B$3:$G$336,6,FALSE)</f>
        <v>135</v>
      </c>
      <c r="J77" s="12">
        <f>(H77/(G77/F77))*I77</f>
        <v>2162.6826985384114</v>
      </c>
      <c r="K77" s="90">
        <f>L77*F77</f>
        <v>16.019871841025271</v>
      </c>
      <c r="L77" s="90">
        <f>IF(E77="M"," ",H77/G77)</f>
        <v>16.019871841025271</v>
      </c>
      <c r="M77" s="16">
        <f>IF($E77="L",$J77,0)</f>
        <v>0</v>
      </c>
      <c r="N77" s="16">
        <f>IF($E77="M",$J77,0)</f>
        <v>0</v>
      </c>
      <c r="O77" s="16">
        <f>IF($E77="P",$J77,0)</f>
        <v>2162.6826985384114</v>
      </c>
      <c r="P77" s="16">
        <f>IF($E77="S",$J77,0)</f>
        <v>0</v>
      </c>
      <c r="Q77" s="16">
        <f>SUM(M77:P77)</f>
        <v>2162.6826985384114</v>
      </c>
      <c r="R77" s="118">
        <v>41</v>
      </c>
    </row>
    <row r="78" spans="1:18" outlineLevel="1" x14ac:dyDescent="0.5">
      <c r="A78" s="131" t="s">
        <v>448</v>
      </c>
      <c r="B78" s="14">
        <v>3</v>
      </c>
      <c r="C78" s="15" t="s">
        <v>66</v>
      </c>
      <c r="D78" s="44" t="str">
        <f>VLOOKUP(Estimate!$C78,Resources!$B$3:$G$336,4,FALSE)</f>
        <v xml:space="preserve">hr   </v>
      </c>
      <c r="E78" s="44" t="str">
        <f>VLOOKUP(Estimate!$C78,Resources!$B$3:$G$336,3,FALSE)</f>
        <v>P</v>
      </c>
      <c r="F78" s="52">
        <v>3</v>
      </c>
      <c r="G78" s="12">
        <f>G77</f>
        <v>27.777999999999999</v>
      </c>
      <c r="H78" s="12">
        <f>H75</f>
        <v>445</v>
      </c>
      <c r="I78" s="12">
        <f>VLOOKUP(C78,Resources!$B$3:$G$336,6,FALSE)</f>
        <v>85</v>
      </c>
      <c r="J78" s="12">
        <f>(H78/(G78/F78))*I78</f>
        <v>4085.0673194614446</v>
      </c>
      <c r="K78" s="90">
        <f>L78*F78</f>
        <v>48.059615523075813</v>
      </c>
      <c r="L78" s="90">
        <f>IF(E78="M"," ",H78/G78)</f>
        <v>16.019871841025271</v>
      </c>
      <c r="M78" s="16">
        <f>IF($E78="L",$J78,0)</f>
        <v>0</v>
      </c>
      <c r="N78" s="16">
        <f>IF($E78="M",$J78,0)</f>
        <v>0</v>
      </c>
      <c r="O78" s="16">
        <f>IF($E78="P",$J78,0)</f>
        <v>4085.0673194614446</v>
      </c>
      <c r="P78" s="16">
        <f>IF($E78="S",$J78,0)</f>
        <v>0</v>
      </c>
      <c r="Q78" s="16">
        <f>SUM(M78:P78)</f>
        <v>4085.0673194614446</v>
      </c>
      <c r="R78" s="118">
        <v>41</v>
      </c>
    </row>
    <row r="79" spans="1:18" outlineLevel="1" x14ac:dyDescent="0.5">
      <c r="A79" s="131" t="s">
        <v>448</v>
      </c>
      <c r="B79" s="14">
        <v>4</v>
      </c>
      <c r="C79" s="15" t="s">
        <v>7</v>
      </c>
      <c r="D79" s="44" t="str">
        <f>VLOOKUP(Estimate!$C79,Resources!$B$3:$G$336,4,FALSE)</f>
        <v xml:space="preserve">hr   </v>
      </c>
      <c r="E79" s="44" t="str">
        <f>VLOOKUP(Estimate!$C79,Resources!$B$3:$G$336,3,FALSE)</f>
        <v>L</v>
      </c>
      <c r="F79" s="52">
        <v>1</v>
      </c>
      <c r="G79" s="12">
        <f>G77</f>
        <v>27.777999999999999</v>
      </c>
      <c r="H79" s="12">
        <f>H75</f>
        <v>445</v>
      </c>
      <c r="I79" s="12">
        <f>VLOOKUP(C79,Resources!$B$3:$G$336,6,FALSE)</f>
        <v>38</v>
      </c>
      <c r="J79" s="12">
        <f>(H79/(G79/F79))*I79</f>
        <v>608.75512995896031</v>
      </c>
      <c r="K79" s="90">
        <f>L79*F79</f>
        <v>16.019871841025271</v>
      </c>
      <c r="L79" s="90">
        <f>IF(E79="M"," ",H79/G79)</f>
        <v>16.019871841025271</v>
      </c>
      <c r="M79" s="16">
        <f>IF($E79="L",$J79,0)</f>
        <v>608.75512995896031</v>
      </c>
      <c r="N79" s="16">
        <f>IF($E79="M",$J79,0)</f>
        <v>0</v>
      </c>
      <c r="O79" s="16">
        <f>IF($E79="P",$J79,0)</f>
        <v>0</v>
      </c>
      <c r="P79" s="16">
        <f>IF($E79="S",$J79,0)</f>
        <v>0</v>
      </c>
      <c r="Q79" s="16">
        <f>SUM(M79:P79)</f>
        <v>608.75512995896031</v>
      </c>
      <c r="R79" s="118">
        <v>41</v>
      </c>
    </row>
    <row r="80" spans="1:18" outlineLevel="1" x14ac:dyDescent="0.5">
      <c r="A80" s="132" t="s">
        <v>448</v>
      </c>
      <c r="B80" s="1"/>
      <c r="C80" s="2"/>
      <c r="D80" s="1"/>
      <c r="E80" s="45"/>
      <c r="F80" s="53"/>
      <c r="G80" s="11"/>
      <c r="H80" s="11"/>
      <c r="I80" s="11"/>
      <c r="J80" s="11"/>
      <c r="K80" s="91"/>
      <c r="L80" s="91"/>
      <c r="M80" s="13"/>
      <c r="N80" s="13"/>
      <c r="O80" s="13"/>
      <c r="P80" s="13"/>
      <c r="Q80" s="13"/>
      <c r="R80" s="119"/>
    </row>
    <row r="81" spans="1:18" ht="21" x14ac:dyDescent="0.5">
      <c r="A81" s="130">
        <v>22</v>
      </c>
      <c r="B81" s="7" t="s">
        <v>67</v>
      </c>
      <c r="C81" s="7" t="s">
        <v>68</v>
      </c>
      <c r="D81" s="8" t="s">
        <v>14</v>
      </c>
      <c r="E81" s="43"/>
      <c r="F81" s="51"/>
      <c r="G81" s="9"/>
      <c r="H81" s="129">
        <f>VLOOKUP($A81,'Model Inputs'!$A:$D,4)</f>
        <v>1</v>
      </c>
      <c r="I81" s="9">
        <f>J81/H81</f>
        <v>3429</v>
      </c>
      <c r="J81" s="9">
        <f>SUBTOTAL(9,J82:J84)</f>
        <v>3429</v>
      </c>
      <c r="K81" s="89"/>
      <c r="L81" s="89">
        <f>ROUNDUP(MAX(L82:L84)/workhrs,0)</f>
        <v>1</v>
      </c>
      <c r="M81" s="9">
        <f>SUBTOTAL(9,M82:M84)</f>
        <v>684</v>
      </c>
      <c r="N81" s="9">
        <f>SUBTOTAL(9,N82:N84)</f>
        <v>0</v>
      </c>
      <c r="O81" s="9">
        <f>SUBTOTAL(9,O82:O84)</f>
        <v>2745</v>
      </c>
      <c r="P81" s="9">
        <f>SUBTOTAL(9,P82:P84)</f>
        <v>0</v>
      </c>
      <c r="Q81" s="10">
        <f>SUM(M81:P81)</f>
        <v>3429</v>
      </c>
      <c r="R81" s="117"/>
    </row>
    <row r="82" spans="1:18" outlineLevel="1" x14ac:dyDescent="0.5">
      <c r="A82" s="131">
        <v>22.1</v>
      </c>
      <c r="B82" s="14">
        <v>1</v>
      </c>
      <c r="C82" s="15" t="s">
        <v>55</v>
      </c>
      <c r="D82" s="44" t="str">
        <f>VLOOKUP(Estimate!$C82,Resources!$B$3:$G$336,4,FALSE)</f>
        <v xml:space="preserve">hr   </v>
      </c>
      <c r="E82" s="44" t="str">
        <f>VLOOKUP(Estimate!$C82,Resources!$B$3:$G$336,3,FALSE)</f>
        <v>P</v>
      </c>
      <c r="F82" s="52"/>
      <c r="G82" s="12">
        <v>1</v>
      </c>
      <c r="H82" s="129">
        <f>VLOOKUP($A82,'Model Inputs'!$A:$D,4)</f>
        <v>9</v>
      </c>
      <c r="I82" s="12">
        <f>VLOOKUP(C82,Resources!$B$3:$G$336,6,FALSE)</f>
        <v>135</v>
      </c>
      <c r="J82" s="12">
        <f>H82*I82</f>
        <v>1215</v>
      </c>
      <c r="K82" s="90">
        <f>L82*F82</f>
        <v>0</v>
      </c>
      <c r="L82" s="90">
        <f>IF(E82="M"," ",H82/G82)</f>
        <v>9</v>
      </c>
      <c r="M82" s="16">
        <f>IF($E82="L",$J82,0)</f>
        <v>0</v>
      </c>
      <c r="N82" s="16">
        <f>IF($E82="M",$J82,0)</f>
        <v>0</v>
      </c>
      <c r="O82" s="16">
        <f>IF($E82="P",$J82,0)</f>
        <v>1215</v>
      </c>
      <c r="P82" s="16">
        <f>IF($E82="S",$J82,0)</f>
        <v>0</v>
      </c>
      <c r="Q82" s="16">
        <f>SUM(M82:P82)</f>
        <v>1215</v>
      </c>
      <c r="R82" s="118">
        <v>41</v>
      </c>
    </row>
    <row r="83" spans="1:18" outlineLevel="1" x14ac:dyDescent="0.5">
      <c r="A83" s="131" t="s">
        <v>448</v>
      </c>
      <c r="B83" s="14">
        <v>2</v>
      </c>
      <c r="C83" s="15" t="s">
        <v>66</v>
      </c>
      <c r="D83" s="44" t="str">
        <f>VLOOKUP(Estimate!$C83,Resources!$B$3:$G$336,4,FALSE)</f>
        <v xml:space="preserve">hr   </v>
      </c>
      <c r="E83" s="44" t="str">
        <f>VLOOKUP(Estimate!$C83,Resources!$B$3:$G$336,3,FALSE)</f>
        <v>P</v>
      </c>
      <c r="F83" s="52"/>
      <c r="G83" s="12">
        <v>2</v>
      </c>
      <c r="H83" s="12">
        <f>H82*2</f>
        <v>18</v>
      </c>
      <c r="I83" s="12">
        <f>VLOOKUP(C83,Resources!$B$3:$G$336,6,FALSE)</f>
        <v>85</v>
      </c>
      <c r="J83" s="12">
        <f>H83*I83</f>
        <v>1530</v>
      </c>
      <c r="K83" s="90">
        <f>L83*F83</f>
        <v>0</v>
      </c>
      <c r="L83" s="90">
        <f>IF(E83="M"," ",H83/G83)</f>
        <v>9</v>
      </c>
      <c r="M83" s="16">
        <f>IF($E83="L",$J83,0)</f>
        <v>0</v>
      </c>
      <c r="N83" s="16">
        <f>IF($E83="M",$J83,0)</f>
        <v>0</v>
      </c>
      <c r="O83" s="16">
        <f>IF($E83="P",$J83,0)</f>
        <v>1530</v>
      </c>
      <c r="P83" s="16">
        <f>IF($E83="S",$J83,0)</f>
        <v>0</v>
      </c>
      <c r="Q83" s="16">
        <f>SUM(M83:P83)</f>
        <v>1530</v>
      </c>
      <c r="R83" s="118">
        <v>41</v>
      </c>
    </row>
    <row r="84" spans="1:18" outlineLevel="1" x14ac:dyDescent="0.5">
      <c r="A84" s="131" t="s">
        <v>448</v>
      </c>
      <c r="B84" s="14">
        <v>3</v>
      </c>
      <c r="C84" s="15" t="s">
        <v>7</v>
      </c>
      <c r="D84" s="44" t="str">
        <f>VLOOKUP(Estimate!$C84,Resources!$B$3:$G$336,4,FALSE)</f>
        <v xml:space="preserve">hr   </v>
      </c>
      <c r="E84" s="44" t="str">
        <f>VLOOKUP(Estimate!$C84,Resources!$B$3:$G$336,3,FALSE)</f>
        <v>L</v>
      </c>
      <c r="F84" s="52"/>
      <c r="G84" s="12">
        <v>2</v>
      </c>
      <c r="H84" s="12">
        <f>H82*2</f>
        <v>18</v>
      </c>
      <c r="I84" s="12">
        <f>VLOOKUP(C84,Resources!$B$3:$G$336,6,FALSE)</f>
        <v>38</v>
      </c>
      <c r="J84" s="12">
        <f>H84*I84</f>
        <v>684</v>
      </c>
      <c r="K84" s="90">
        <f>L84*F84</f>
        <v>0</v>
      </c>
      <c r="L84" s="90">
        <f>IF(E84="M"," ",H84/G84)</f>
        <v>9</v>
      </c>
      <c r="M84" s="16">
        <f>IF($E84="L",$J84,0)</f>
        <v>684</v>
      </c>
      <c r="N84" s="16">
        <f>IF($E84="M",$J84,0)</f>
        <v>0</v>
      </c>
      <c r="O84" s="16">
        <f>IF($E84="P",$J84,0)</f>
        <v>0</v>
      </c>
      <c r="P84" s="16">
        <f>IF($E84="S",$J84,0)</f>
        <v>0</v>
      </c>
      <c r="Q84" s="16">
        <f>SUM(M84:P84)</f>
        <v>684</v>
      </c>
      <c r="R84" s="118">
        <v>41</v>
      </c>
    </row>
    <row r="85" spans="1:18" outlineLevel="1" x14ac:dyDescent="0.5">
      <c r="A85" s="132" t="s">
        <v>448</v>
      </c>
      <c r="B85" s="1"/>
      <c r="C85" s="2"/>
      <c r="D85" s="1"/>
      <c r="E85" s="45"/>
      <c r="F85" s="53"/>
      <c r="G85" s="11"/>
      <c r="H85" s="11"/>
      <c r="I85" s="11"/>
      <c r="J85" s="11"/>
      <c r="K85" s="91"/>
      <c r="L85" s="91"/>
      <c r="M85" s="13"/>
      <c r="N85" s="13"/>
      <c r="O85" s="13"/>
      <c r="P85" s="13"/>
      <c r="Q85" s="13"/>
      <c r="R85" s="119"/>
    </row>
    <row r="86" spans="1:18" ht="21" x14ac:dyDescent="0.5">
      <c r="A86" s="130">
        <v>23</v>
      </c>
      <c r="B86" s="7" t="s">
        <v>69</v>
      </c>
      <c r="C86" s="7" t="s">
        <v>70</v>
      </c>
      <c r="D86" s="8" t="s">
        <v>14</v>
      </c>
      <c r="E86" s="43"/>
      <c r="F86" s="51"/>
      <c r="G86" s="9"/>
      <c r="H86" s="129">
        <f>VLOOKUP($A86,'Model Inputs'!$A:$D,4)</f>
        <v>1</v>
      </c>
      <c r="I86" s="9">
        <f>J86/H86</f>
        <v>3172</v>
      </c>
      <c r="J86" s="9">
        <f>SUBTOTAL(9,J87:J89)</f>
        <v>3172</v>
      </c>
      <c r="K86" s="89"/>
      <c r="L86" s="89">
        <f>ROUNDUP(MAX(L89)/workhrs,0)</f>
        <v>1</v>
      </c>
      <c r="M86" s="9">
        <f>SUBTOTAL(9,M87:M89)</f>
        <v>228</v>
      </c>
      <c r="N86" s="9">
        <f>SUBTOTAL(9,N87:N89)</f>
        <v>2944</v>
      </c>
      <c r="O86" s="9">
        <f>SUBTOTAL(9,O87:O89)</f>
        <v>0</v>
      </c>
      <c r="P86" s="9">
        <f>SUBTOTAL(9,P87:P89)</f>
        <v>0</v>
      </c>
      <c r="Q86" s="10">
        <f>SUM(M86:P86)</f>
        <v>3172</v>
      </c>
      <c r="R86" s="117"/>
    </row>
    <row r="87" spans="1:18" outlineLevel="1" x14ac:dyDescent="0.5">
      <c r="A87" s="131">
        <v>23.1</v>
      </c>
      <c r="B87" s="14">
        <v>1</v>
      </c>
      <c r="C87" s="15" t="s">
        <v>71</v>
      </c>
      <c r="D87" s="44" t="str">
        <f>VLOOKUP(Estimate!$C87,Resources!$B$3:$G$336,4,FALSE)</f>
        <v xml:space="preserve">m³   </v>
      </c>
      <c r="E87" s="44" t="str">
        <f>VLOOKUP(Estimate!$C87,Resources!$B$3:$G$336,3,FALSE)</f>
        <v>M</v>
      </c>
      <c r="F87" s="52"/>
      <c r="G87" s="12"/>
      <c r="H87" s="129">
        <f>VLOOKUP($A87,'Model Inputs'!$A:$D,4)</f>
        <v>10</v>
      </c>
      <c r="I87" s="12">
        <f>VLOOKUP(C87,Resources!$B$3:$G$336,6,FALSE)</f>
        <v>258.5</v>
      </c>
      <c r="J87" s="12">
        <f>H87*I87</f>
        <v>2585</v>
      </c>
      <c r="K87" s="90"/>
      <c r="L87" s="90" t="str">
        <f>IF(E87="M"," ",H87/G87)</f>
        <v xml:space="preserve"> </v>
      </c>
      <c r="M87" s="16">
        <f>IF($E87="L",$J87,0)</f>
        <v>0</v>
      </c>
      <c r="N87" s="16">
        <f>IF($E87="M",$J87,0)</f>
        <v>2585</v>
      </c>
      <c r="O87" s="16">
        <f>IF($E87="P",$J87,0)</f>
        <v>0</v>
      </c>
      <c r="P87" s="16">
        <f>IF($E87="S",$J87,0)</f>
        <v>0</v>
      </c>
      <c r="Q87" s="16">
        <f>SUM(M87:P87)</f>
        <v>2585</v>
      </c>
      <c r="R87" s="118">
        <v>41</v>
      </c>
    </row>
    <row r="88" spans="1:18" outlineLevel="1" x14ac:dyDescent="0.5">
      <c r="A88" s="131" t="s">
        <v>448</v>
      </c>
      <c r="B88" s="14">
        <v>2</v>
      </c>
      <c r="C88" s="15" t="s">
        <v>73</v>
      </c>
      <c r="D88" s="44" t="str">
        <f>VLOOKUP(Estimate!$C88,Resources!$B$3:$G$336,4,FALSE)</f>
        <v>tonne</v>
      </c>
      <c r="E88" s="44" t="str">
        <f>VLOOKUP(Estimate!$C88,Resources!$B$3:$G$336,3,FALSE)</f>
        <v>M</v>
      </c>
      <c r="F88" s="52"/>
      <c r="G88" s="12"/>
      <c r="H88" s="12">
        <f>H87*2</f>
        <v>20</v>
      </c>
      <c r="I88" s="12">
        <f>VLOOKUP(C88,Resources!$B$3:$G$336,6,FALSE)</f>
        <v>17.95</v>
      </c>
      <c r="J88" s="12">
        <f>H88*I88</f>
        <v>359</v>
      </c>
      <c r="K88" s="90"/>
      <c r="L88" s="90" t="str">
        <f>IF(E88="M"," ",H88/G88)</f>
        <v xml:space="preserve"> </v>
      </c>
      <c r="M88" s="16">
        <f>IF($E88="L",$J88,0)</f>
        <v>0</v>
      </c>
      <c r="N88" s="16">
        <f>IF($E88="M",$J88,0)</f>
        <v>359</v>
      </c>
      <c r="O88" s="16">
        <f>IF($E88="P",$J88,0)</f>
        <v>0</v>
      </c>
      <c r="P88" s="16">
        <f>IF($E88="S",$J88,0)</f>
        <v>0</v>
      </c>
      <c r="Q88" s="16">
        <f>SUM(M88:P88)</f>
        <v>359</v>
      </c>
      <c r="R88" s="118">
        <v>41</v>
      </c>
    </row>
    <row r="89" spans="1:18" outlineLevel="1" x14ac:dyDescent="0.5">
      <c r="A89" s="131" t="s">
        <v>448</v>
      </c>
      <c r="B89" s="14">
        <v>3</v>
      </c>
      <c r="C89" s="15" t="s">
        <v>7</v>
      </c>
      <c r="D89" s="44" t="str">
        <f>VLOOKUP(Estimate!$C89,Resources!$B$3:$G$336,4,FALSE)</f>
        <v xml:space="preserve">hr   </v>
      </c>
      <c r="E89" s="44" t="str">
        <f>VLOOKUP(Estimate!$C89,Resources!$B$3:$G$336,3,FALSE)</f>
        <v>L</v>
      </c>
      <c r="F89" s="52"/>
      <c r="G89" s="12">
        <v>1</v>
      </c>
      <c r="H89" s="12">
        <v>6</v>
      </c>
      <c r="I89" s="12">
        <f>VLOOKUP(C89,Resources!$B$3:$G$336,6,FALSE)</f>
        <v>38</v>
      </c>
      <c r="J89" s="12">
        <f>H89*I89</f>
        <v>228</v>
      </c>
      <c r="K89" s="90">
        <f>L89*F89</f>
        <v>0</v>
      </c>
      <c r="L89" s="90">
        <f>IF(E89="M"," ",H89/G89)</f>
        <v>6</v>
      </c>
      <c r="M89" s="16">
        <f>IF($E89="L",$J89,0)</f>
        <v>228</v>
      </c>
      <c r="N89" s="16">
        <f>IF($E89="M",$J89,0)</f>
        <v>0</v>
      </c>
      <c r="O89" s="16">
        <f>IF($E89="P",$J89,0)</f>
        <v>0</v>
      </c>
      <c r="P89" s="16">
        <f>IF($E89="S",$J89,0)</f>
        <v>0</v>
      </c>
      <c r="Q89" s="16">
        <f>SUM(M89:P89)</f>
        <v>228</v>
      </c>
      <c r="R89" s="118">
        <v>41</v>
      </c>
    </row>
    <row r="90" spans="1:18" outlineLevel="1" x14ac:dyDescent="0.5">
      <c r="A90" s="132" t="s">
        <v>448</v>
      </c>
      <c r="B90" s="1"/>
      <c r="C90" s="2"/>
      <c r="D90" s="1"/>
      <c r="E90" s="45"/>
      <c r="F90" s="53"/>
      <c r="G90" s="11"/>
      <c r="H90" s="11"/>
      <c r="I90" s="11"/>
      <c r="J90" s="11"/>
      <c r="K90" s="91"/>
      <c r="L90" s="91"/>
      <c r="M90" s="13"/>
      <c r="N90" s="13"/>
      <c r="O90" s="13"/>
      <c r="P90" s="13"/>
      <c r="Q90" s="13"/>
      <c r="R90" s="119"/>
    </row>
    <row r="91" spans="1:18" ht="21" x14ac:dyDescent="0.5">
      <c r="A91" s="130">
        <v>24</v>
      </c>
      <c r="B91" s="7" t="s">
        <v>74</v>
      </c>
      <c r="C91" s="7" t="s">
        <v>75</v>
      </c>
      <c r="D91" s="8" t="s">
        <v>14</v>
      </c>
      <c r="E91" s="43"/>
      <c r="F91" s="51"/>
      <c r="G91" s="9"/>
      <c r="H91" s="129">
        <f>VLOOKUP($A91,'Model Inputs'!$A:$D,4)</f>
        <v>1</v>
      </c>
      <c r="I91" s="9">
        <f>J91/H91</f>
        <v>750</v>
      </c>
      <c r="J91" s="9">
        <f>SUBTOTAL(9,J92)</f>
        <v>750</v>
      </c>
      <c r="K91" s="89"/>
      <c r="L91" s="89">
        <v>1</v>
      </c>
      <c r="M91" s="9">
        <f>SUBTOTAL(9,M92)</f>
        <v>0</v>
      </c>
      <c r="N91" s="9">
        <f>SUBTOTAL(9,N92)</f>
        <v>750</v>
      </c>
      <c r="O91" s="9">
        <f>SUBTOTAL(9,O92)</f>
        <v>0</v>
      </c>
      <c r="P91" s="9">
        <f>SUBTOTAL(9,P92)</f>
        <v>0</v>
      </c>
      <c r="Q91" s="10">
        <f>SUM(M91:P91)</f>
        <v>750</v>
      </c>
      <c r="R91" s="117"/>
    </row>
    <row r="92" spans="1:18" outlineLevel="1" x14ac:dyDescent="0.5">
      <c r="A92" s="131" t="s">
        <v>448</v>
      </c>
      <c r="B92" s="14">
        <v>1</v>
      </c>
      <c r="C92" s="15" t="s">
        <v>76</v>
      </c>
      <c r="D92" s="44" t="str">
        <f>VLOOKUP(Estimate!$C92,Resources!$B$3:$G$336,4,FALSE)</f>
        <v xml:space="preserve">Item </v>
      </c>
      <c r="E92" s="44" t="str">
        <f>VLOOKUP(Estimate!$C92,Resources!$B$3:$G$336,3,FALSE)</f>
        <v>M</v>
      </c>
      <c r="F92" s="52"/>
      <c r="G92" s="12"/>
      <c r="H92" s="12">
        <v>750</v>
      </c>
      <c r="I92" s="12">
        <f>VLOOKUP(C92,Resources!$B$3:$G$336,6,FALSE)</f>
        <v>1</v>
      </c>
      <c r="J92" s="12">
        <f>H92*I92</f>
        <v>750</v>
      </c>
      <c r="K92" s="90"/>
      <c r="L92" s="90"/>
      <c r="M92" s="16">
        <f>IF($E92="L",$J92,0)</f>
        <v>0</v>
      </c>
      <c r="N92" s="16">
        <f>IF($E92="M",$J92,0)</f>
        <v>750</v>
      </c>
      <c r="O92" s="16">
        <f>IF($E92="P",$J92,0)</f>
        <v>0</v>
      </c>
      <c r="P92" s="16">
        <f>IF($E92="S",$J92,0)</f>
        <v>0</v>
      </c>
      <c r="Q92" s="16">
        <f>SUM(M92:P92)</f>
        <v>750</v>
      </c>
      <c r="R92" s="118">
        <v>67</v>
      </c>
    </row>
    <row r="93" spans="1:18" outlineLevel="1" x14ac:dyDescent="0.5">
      <c r="A93" s="132" t="s">
        <v>448</v>
      </c>
      <c r="B93" s="1"/>
      <c r="C93" s="2"/>
      <c r="D93" s="1"/>
      <c r="E93" s="45"/>
      <c r="F93" s="53"/>
      <c r="G93" s="11"/>
      <c r="H93" s="11"/>
      <c r="I93" s="11"/>
      <c r="J93" s="11"/>
      <c r="K93" s="91"/>
      <c r="L93" s="91"/>
      <c r="M93" s="13"/>
      <c r="N93" s="13"/>
      <c r="O93" s="13"/>
      <c r="P93" s="13"/>
      <c r="Q93" s="13"/>
      <c r="R93" s="119"/>
    </row>
    <row r="94" spans="1:18" ht="21" x14ac:dyDescent="0.5">
      <c r="A94" s="130">
        <v>25</v>
      </c>
      <c r="B94" s="7" t="s">
        <v>77</v>
      </c>
      <c r="C94" s="7" t="s">
        <v>78</v>
      </c>
      <c r="D94" s="8" t="s">
        <v>79</v>
      </c>
      <c r="E94" s="43"/>
      <c r="F94" s="51"/>
      <c r="G94" s="9"/>
      <c r="H94" s="129">
        <f>VLOOKUP($A94,'Model Inputs'!$A:$D,4)</f>
        <v>1</v>
      </c>
      <c r="I94" s="9">
        <f>J94/H94</f>
        <v>750</v>
      </c>
      <c r="J94" s="9">
        <f>SUBTOTAL(9,J95)</f>
        <v>750</v>
      </c>
      <c r="K94" s="89"/>
      <c r="L94" s="89">
        <v>1</v>
      </c>
      <c r="M94" s="9">
        <f>SUBTOTAL(9,M95)</f>
        <v>0</v>
      </c>
      <c r="N94" s="9">
        <f>SUBTOTAL(9,N95)</f>
        <v>750</v>
      </c>
      <c r="O94" s="9">
        <f>SUBTOTAL(9,O95)</f>
        <v>0</v>
      </c>
      <c r="P94" s="9">
        <f>SUBTOTAL(9,P95)</f>
        <v>0</v>
      </c>
      <c r="Q94" s="10">
        <f>SUM(M94:P94)</f>
        <v>750</v>
      </c>
      <c r="R94" s="117"/>
    </row>
    <row r="95" spans="1:18" outlineLevel="1" x14ac:dyDescent="0.5">
      <c r="A95" s="131" t="s">
        <v>448</v>
      </c>
      <c r="B95" s="14">
        <v>1</v>
      </c>
      <c r="C95" s="15" t="s">
        <v>76</v>
      </c>
      <c r="D95" s="44" t="str">
        <f>VLOOKUP(Estimate!$C95,Resources!$B$3:$G$336,4,FALSE)</f>
        <v xml:space="preserve">Item </v>
      </c>
      <c r="E95" s="44" t="str">
        <f>VLOOKUP(Estimate!$C95,Resources!$B$3:$G$336,3,FALSE)</f>
        <v>M</v>
      </c>
      <c r="F95" s="52"/>
      <c r="G95" s="12"/>
      <c r="H95" s="12">
        <v>750</v>
      </c>
      <c r="I95" s="12">
        <f>VLOOKUP(C95,Resources!$B$3:$G$336,6,FALSE)</f>
        <v>1</v>
      </c>
      <c r="J95" s="12">
        <f>H95*I95</f>
        <v>750</v>
      </c>
      <c r="K95" s="90"/>
      <c r="L95" s="90"/>
      <c r="M95" s="16">
        <f>IF($E95="L",$J95,0)</f>
        <v>0</v>
      </c>
      <c r="N95" s="16">
        <f>IF($E95="M",$J95,0)</f>
        <v>750</v>
      </c>
      <c r="O95" s="16">
        <f>IF($E95="P",$J95,0)</f>
        <v>0</v>
      </c>
      <c r="P95" s="16">
        <f>IF($E95="S",$J95,0)</f>
        <v>0</v>
      </c>
      <c r="Q95" s="16">
        <f>SUM(M95:P95)</f>
        <v>750</v>
      </c>
      <c r="R95" s="118">
        <v>67</v>
      </c>
    </row>
    <row r="96" spans="1:18" outlineLevel="1" x14ac:dyDescent="0.5">
      <c r="A96" s="132" t="s">
        <v>448</v>
      </c>
      <c r="B96" s="1"/>
      <c r="C96" s="2"/>
      <c r="D96" s="1"/>
      <c r="E96" s="45"/>
      <c r="F96" s="53"/>
      <c r="G96" s="11"/>
      <c r="H96" s="11"/>
      <c r="I96" s="11"/>
      <c r="J96" s="11"/>
      <c r="K96" s="91"/>
      <c r="L96" s="91"/>
      <c r="M96" s="13"/>
      <c r="N96" s="13"/>
      <c r="O96" s="13"/>
      <c r="P96" s="13"/>
      <c r="Q96" s="13"/>
      <c r="R96" s="119"/>
    </row>
    <row r="97" spans="1:20" ht="21" x14ac:dyDescent="0.5">
      <c r="A97" s="130">
        <v>26</v>
      </c>
      <c r="B97" s="7" t="s">
        <v>80</v>
      </c>
      <c r="C97" s="7" t="s">
        <v>81</v>
      </c>
      <c r="D97" s="8" t="s">
        <v>54</v>
      </c>
      <c r="E97" s="43"/>
      <c r="F97" s="51"/>
      <c r="G97" s="9"/>
      <c r="H97" s="129">
        <f>VLOOKUP($A97,'Model Inputs'!$A:$D,4)</f>
        <v>480</v>
      </c>
      <c r="I97" s="9">
        <f>J97/H97</f>
        <v>1.4252819999999999</v>
      </c>
      <c r="J97" s="9">
        <f>SUBTOTAL(9,J98:J100)</f>
        <v>684.13535999999999</v>
      </c>
      <c r="K97" s="89"/>
      <c r="L97" s="89">
        <f>ROUNDUP(MAX(L98:L100)/workhrs,0)</f>
        <v>1</v>
      </c>
      <c r="M97" s="9">
        <f>SUBTOTAL(9,M98:M100)</f>
        <v>304</v>
      </c>
      <c r="N97" s="9">
        <f>SUBTOTAL(9,N98:N100)</f>
        <v>0</v>
      </c>
      <c r="O97" s="9">
        <f>SUBTOTAL(9,O98:O100)</f>
        <v>380</v>
      </c>
      <c r="P97" s="9">
        <f>SUBTOTAL(9,P98:P100)</f>
        <v>0.13536000000000001</v>
      </c>
      <c r="Q97" s="10">
        <f>SUM(M97:P97)</f>
        <v>684.13535999999999</v>
      </c>
      <c r="R97" s="117"/>
    </row>
    <row r="98" spans="1:20" outlineLevel="1" x14ac:dyDescent="0.5">
      <c r="A98" s="131" t="s">
        <v>448</v>
      </c>
      <c r="B98" s="14">
        <v>1</v>
      </c>
      <c r="C98" s="15" t="s">
        <v>82</v>
      </c>
      <c r="D98" s="44" t="str">
        <f>VLOOKUP(Estimate!$C98,Resources!$B$3:$G$336,4,FALSE)</f>
        <v xml:space="preserve">m²   </v>
      </c>
      <c r="E98" s="44" t="str">
        <f>VLOOKUP(Estimate!$C98,Resources!$B$3:$G$336,3,FALSE)</f>
        <v>S</v>
      </c>
      <c r="F98" s="52">
        <v>1</v>
      </c>
      <c r="G98" s="12">
        <v>10000</v>
      </c>
      <c r="H98" s="12">
        <f>H97*1.2</f>
        <v>576</v>
      </c>
      <c r="I98" s="12">
        <f>VLOOKUP(C98,Resources!$B$3:$G$336,6,FALSE)</f>
        <v>2.35</v>
      </c>
      <c r="J98" s="12">
        <f>(H98/(G98/F98))*I98</f>
        <v>0.13536000000000001</v>
      </c>
      <c r="K98" s="90"/>
      <c r="L98" s="90">
        <f>IF(E98="M"," ",H98/G98)</f>
        <v>5.7599999999999998E-2</v>
      </c>
      <c r="M98" s="16">
        <f>IF($E98="L",$J98,0)</f>
        <v>0</v>
      </c>
      <c r="N98" s="16">
        <f>IF($E98="M",$J98,0)</f>
        <v>0</v>
      </c>
      <c r="O98" s="16">
        <f>IF($E98="P",$J98,0)</f>
        <v>0</v>
      </c>
      <c r="P98" s="16">
        <f>IF($E98="S",$J98,0)</f>
        <v>0.13536000000000001</v>
      </c>
      <c r="Q98" s="16">
        <f>SUM(M98:P98)</f>
        <v>0.13536000000000001</v>
      </c>
      <c r="R98" s="118">
        <v>111</v>
      </c>
    </row>
    <row r="99" spans="1:20" outlineLevel="1" x14ac:dyDescent="0.5">
      <c r="A99" s="131">
        <v>26.1</v>
      </c>
      <c r="B99" s="14">
        <v>2</v>
      </c>
      <c r="C99" s="15" t="s">
        <v>49</v>
      </c>
      <c r="D99" s="44" t="str">
        <f>VLOOKUP(Estimate!$C99,Resources!$B$3:$G$336,4,FALSE)</f>
        <v xml:space="preserve">hr   </v>
      </c>
      <c r="E99" s="44" t="str">
        <f>VLOOKUP(Estimate!$C99,Resources!$B$3:$G$336,3,FALSE)</f>
        <v>P</v>
      </c>
      <c r="F99" s="52">
        <v>1</v>
      </c>
      <c r="G99" s="129">
        <f>VLOOKUP($A99,'Model Inputs'!$A:$D,4)</f>
        <v>120</v>
      </c>
      <c r="H99" s="12">
        <f>H97</f>
        <v>480</v>
      </c>
      <c r="I99" s="12">
        <f>VLOOKUP(C99,Resources!$B$3:$G$336,6,FALSE)</f>
        <v>95</v>
      </c>
      <c r="J99" s="12">
        <f>(H99/(G99/F99))*I99</f>
        <v>380</v>
      </c>
      <c r="K99" s="90">
        <f>L99*F99</f>
        <v>4</v>
      </c>
      <c r="L99" s="90">
        <f>IF(E99="M"," ",H99/G99)</f>
        <v>4</v>
      </c>
      <c r="M99" s="16">
        <f>IF($E99="L",$J99,0)</f>
        <v>0</v>
      </c>
      <c r="N99" s="16">
        <f>IF($E99="M",$J99,0)</f>
        <v>0</v>
      </c>
      <c r="O99" s="16">
        <f>IF($E99="P",$J99,0)</f>
        <v>380</v>
      </c>
      <c r="P99" s="16">
        <f>IF($E99="S",$J99,0)</f>
        <v>0</v>
      </c>
      <c r="Q99" s="16">
        <f>SUM(M99:P99)</f>
        <v>380</v>
      </c>
      <c r="R99" s="118">
        <v>111</v>
      </c>
    </row>
    <row r="100" spans="1:20" outlineLevel="1" x14ac:dyDescent="0.5">
      <c r="A100" s="131" t="s">
        <v>448</v>
      </c>
      <c r="B100" s="14">
        <v>3</v>
      </c>
      <c r="C100" s="15" t="s">
        <v>7</v>
      </c>
      <c r="D100" s="44" t="str">
        <f>VLOOKUP(Estimate!$C100,Resources!$B$3:$G$336,4,FALSE)</f>
        <v xml:space="preserve">hr   </v>
      </c>
      <c r="E100" s="44" t="str">
        <f>VLOOKUP(Estimate!$C100,Resources!$B$3:$G$336,3,FALSE)</f>
        <v>L</v>
      </c>
      <c r="F100" s="52">
        <v>2</v>
      </c>
      <c r="G100" s="12">
        <f>G99</f>
        <v>120</v>
      </c>
      <c r="H100" s="12">
        <f>H97</f>
        <v>480</v>
      </c>
      <c r="I100" s="12">
        <f>VLOOKUP(C100,Resources!$B$3:$G$336,6,FALSE)</f>
        <v>38</v>
      </c>
      <c r="J100" s="12">
        <f>(H100/(G100/F100))*I100</f>
        <v>304</v>
      </c>
      <c r="K100" s="90">
        <f>L100*F100</f>
        <v>8</v>
      </c>
      <c r="L100" s="90">
        <f>IF(E100="M"," ",H100/G100)</f>
        <v>4</v>
      </c>
      <c r="M100" s="16">
        <f>IF($E100="L",$J100,0)</f>
        <v>304</v>
      </c>
      <c r="N100" s="16">
        <f>IF($E100="M",$J100,0)</f>
        <v>0</v>
      </c>
      <c r="O100" s="16">
        <f>IF($E100="P",$J100,0)</f>
        <v>0</v>
      </c>
      <c r="P100" s="16">
        <f>IF($E100="S",$J100,0)</f>
        <v>0</v>
      </c>
      <c r="Q100" s="16">
        <f>SUM(M100:P100)</f>
        <v>304</v>
      </c>
      <c r="R100" s="118">
        <v>111</v>
      </c>
    </row>
    <row r="101" spans="1:20" outlineLevel="1" x14ac:dyDescent="0.5">
      <c r="A101" s="132" t="s">
        <v>448</v>
      </c>
      <c r="B101" s="1"/>
      <c r="C101" s="2"/>
      <c r="D101" s="1"/>
      <c r="E101" s="45"/>
      <c r="F101" s="53"/>
      <c r="G101" s="11"/>
      <c r="H101" s="11"/>
      <c r="I101" s="11"/>
      <c r="J101" s="11"/>
      <c r="K101" s="91"/>
      <c r="L101" s="91"/>
      <c r="M101" s="13"/>
      <c r="N101" s="13"/>
      <c r="O101" s="13"/>
      <c r="P101" s="13"/>
      <c r="Q101" s="13"/>
      <c r="R101" s="119"/>
    </row>
    <row r="102" spans="1:20" ht="21" x14ac:dyDescent="0.5">
      <c r="A102" s="130">
        <v>27</v>
      </c>
      <c r="B102" s="7" t="s">
        <v>84</v>
      </c>
      <c r="C102" s="7" t="s">
        <v>85</v>
      </c>
      <c r="D102" s="8" t="s">
        <v>25</v>
      </c>
      <c r="E102" s="43"/>
      <c r="F102" s="51"/>
      <c r="G102" s="9"/>
      <c r="H102" s="129">
        <f>VLOOKUP($A102,'Model Inputs'!$A:$D,4)</f>
        <v>83</v>
      </c>
      <c r="I102" s="9">
        <f>J102/H102</f>
        <v>22.876883879604438</v>
      </c>
      <c r="J102" s="9">
        <f>SUBTOTAL(9,J103:J106)</f>
        <v>1898.7813620071684</v>
      </c>
      <c r="K102" s="89"/>
      <c r="L102" s="89">
        <f>ROUNDUP(MAX(L103:L105)/workhrs,0)</f>
        <v>1</v>
      </c>
      <c r="M102" s="9">
        <f>SUBTOTAL(9,M103:M106)</f>
        <v>75.364396654719229</v>
      </c>
      <c r="N102" s="9">
        <f>SUBTOTAL(9,N103:N106)</f>
        <v>0</v>
      </c>
      <c r="O102" s="9">
        <f>SUBTOTAL(9,O103:O106)</f>
        <v>1373.4169653524491</v>
      </c>
      <c r="P102" s="9">
        <f>SUBTOTAL(9,P103:P106)</f>
        <v>450</v>
      </c>
      <c r="Q102" s="10">
        <f>SUM(M102:P102)</f>
        <v>1898.7813620071684</v>
      </c>
      <c r="R102" s="117"/>
    </row>
    <row r="103" spans="1:20" outlineLevel="1" x14ac:dyDescent="0.5">
      <c r="A103" s="131">
        <v>27.1</v>
      </c>
      <c r="B103" s="14">
        <v>1</v>
      </c>
      <c r="C103" s="15" t="s">
        <v>55</v>
      </c>
      <c r="D103" s="44" t="str">
        <f>VLOOKUP(Estimate!$C103,Resources!$B$3:$G$336,4,FALSE)</f>
        <v xml:space="preserve">hr   </v>
      </c>
      <c r="E103" s="44" t="str">
        <f>VLOOKUP(Estimate!$C103,Resources!$B$3:$G$336,3,FALSE)</f>
        <v>P</v>
      </c>
      <c r="F103" s="52">
        <v>1</v>
      </c>
      <c r="G103" s="129">
        <f>VLOOKUP($A103,'Model Inputs'!$A:$D,4)</f>
        <v>9.3000000000000007</v>
      </c>
      <c r="H103" s="12">
        <f>H102</f>
        <v>83</v>
      </c>
      <c r="I103" s="12">
        <f>VLOOKUP(C103,Resources!$B$3:$G$336,6,FALSE)</f>
        <v>135</v>
      </c>
      <c r="J103" s="12">
        <f>(H103/(G103/F103))*I103</f>
        <v>1204.8387096774193</v>
      </c>
      <c r="K103" s="90">
        <f>L103*F103</f>
        <v>8.9247311827956981</v>
      </c>
      <c r="L103" s="90">
        <f>IF(E103="M"," ",H103/G103)</f>
        <v>8.9247311827956981</v>
      </c>
      <c r="M103" s="16">
        <f>IF($E103="L",$J103,0)</f>
        <v>0</v>
      </c>
      <c r="N103" s="16">
        <f>IF($E103="M",$J103,0)</f>
        <v>0</v>
      </c>
      <c r="O103" s="16">
        <f>IF($E103="P",$J103,0)</f>
        <v>1204.8387096774193</v>
      </c>
      <c r="P103" s="16">
        <f>IF($E103="S",$J103,0)</f>
        <v>0</v>
      </c>
      <c r="Q103" s="16">
        <f>SUM(M103:P103)</f>
        <v>1204.8387096774193</v>
      </c>
      <c r="R103" s="118">
        <v>41</v>
      </c>
    </row>
    <row r="104" spans="1:20" outlineLevel="1" x14ac:dyDescent="0.5">
      <c r="A104" s="131" t="s">
        <v>448</v>
      </c>
      <c r="B104" s="14">
        <v>2</v>
      </c>
      <c r="C104" s="15" t="s">
        <v>66</v>
      </c>
      <c r="D104" s="44" t="str">
        <f>VLOOKUP(Estimate!$C104,Resources!$B$3:$G$336,4,FALSE)</f>
        <v xml:space="preserve">hr   </v>
      </c>
      <c r="E104" s="44" t="str">
        <f>VLOOKUP(Estimate!$C104,Resources!$B$3:$G$336,3,FALSE)</f>
        <v>P</v>
      </c>
      <c r="F104" s="52">
        <v>2</v>
      </c>
      <c r="G104" s="12">
        <f>G103*9</f>
        <v>83.7</v>
      </c>
      <c r="H104" s="12">
        <f>H102</f>
        <v>83</v>
      </c>
      <c r="I104" s="12">
        <f>VLOOKUP(C104,Resources!$B$3:$G$336,6,FALSE)</f>
        <v>85</v>
      </c>
      <c r="J104" s="12">
        <f>(H104/(G104/F104))*I104</f>
        <v>168.57825567502988</v>
      </c>
      <c r="K104" s="90">
        <f>L104*F104</f>
        <v>1.983273596176822</v>
      </c>
      <c r="L104" s="90">
        <f>IF(E104="M"," ",H104/G104)</f>
        <v>0.99163679808841099</v>
      </c>
      <c r="M104" s="16">
        <f>IF($E104="L",$J104,0)</f>
        <v>0</v>
      </c>
      <c r="N104" s="16">
        <f>IF($E104="M",$J104,0)</f>
        <v>0</v>
      </c>
      <c r="O104" s="16">
        <f>IF($E104="P",$J104,0)</f>
        <v>168.57825567502988</v>
      </c>
      <c r="P104" s="16">
        <f>IF($E104="S",$J104,0)</f>
        <v>0</v>
      </c>
      <c r="Q104" s="16">
        <f>SUM(M104:P104)</f>
        <v>168.57825567502988</v>
      </c>
      <c r="R104" s="118">
        <v>41</v>
      </c>
    </row>
    <row r="105" spans="1:20" outlineLevel="1" x14ac:dyDescent="0.5">
      <c r="A105" s="131" t="s">
        <v>448</v>
      </c>
      <c r="B105" s="14">
        <v>3</v>
      </c>
      <c r="C105" s="15" t="s">
        <v>7</v>
      </c>
      <c r="D105" s="44" t="str">
        <f>VLOOKUP(Estimate!$C105,Resources!$B$3:$G$336,4,FALSE)</f>
        <v xml:space="preserve">hr   </v>
      </c>
      <c r="E105" s="44" t="str">
        <f>VLOOKUP(Estimate!$C105,Resources!$B$3:$G$336,3,FALSE)</f>
        <v>L</v>
      </c>
      <c r="F105" s="52">
        <v>2</v>
      </c>
      <c r="G105" s="12">
        <f>G103*9</f>
        <v>83.7</v>
      </c>
      <c r="H105" s="12">
        <f>H102</f>
        <v>83</v>
      </c>
      <c r="I105" s="12">
        <f>VLOOKUP(C105,Resources!$B$3:$G$336,6,FALSE)</f>
        <v>38</v>
      </c>
      <c r="J105" s="12">
        <f>(H105/(G105/F105))*I105</f>
        <v>75.364396654719229</v>
      </c>
      <c r="K105" s="90">
        <f>L105*F105</f>
        <v>1.983273596176822</v>
      </c>
      <c r="L105" s="90">
        <f>IF(E105="M"," ",H105/G105)</f>
        <v>0.99163679808841099</v>
      </c>
      <c r="M105" s="16">
        <f>IF($E105="L",$J105,0)</f>
        <v>75.364396654719229</v>
      </c>
      <c r="N105" s="16">
        <f>IF($E105="M",$J105,0)</f>
        <v>0</v>
      </c>
      <c r="O105" s="16">
        <f>IF($E105="P",$J105,0)</f>
        <v>0</v>
      </c>
      <c r="P105" s="16">
        <f>IF($E105="S",$J105,0)</f>
        <v>0</v>
      </c>
      <c r="Q105" s="16">
        <f>SUM(M105:P105)</f>
        <v>75.364396654719229</v>
      </c>
      <c r="R105" s="118">
        <v>41</v>
      </c>
    </row>
    <row r="106" spans="1:20" outlineLevel="1" x14ac:dyDescent="0.5">
      <c r="A106" s="131" t="s">
        <v>448</v>
      </c>
      <c r="B106" s="14">
        <v>4</v>
      </c>
      <c r="C106" s="15" t="s">
        <v>63</v>
      </c>
      <c r="D106" s="44" t="str">
        <f>VLOOKUP(Estimate!$C106,Resources!$B$3:$G$336,4,FALSE)</f>
        <v>tonne</v>
      </c>
      <c r="E106" s="44" t="str">
        <f>VLOOKUP(Estimate!$C106,Resources!$B$3:$G$336,3,FALSE)</f>
        <v>S</v>
      </c>
      <c r="F106" s="52">
        <v>1</v>
      </c>
      <c r="G106" s="12">
        <v>1</v>
      </c>
      <c r="H106" s="12">
        <f>H102/8.3</f>
        <v>10</v>
      </c>
      <c r="I106" s="12">
        <f>VLOOKUP(C106,Resources!$B$3:$G$336,6,FALSE)</f>
        <v>45</v>
      </c>
      <c r="J106" s="12">
        <f>(H106/(G106/F106))*I106</f>
        <v>450</v>
      </c>
      <c r="K106" s="90"/>
      <c r="L106" s="90"/>
      <c r="M106" s="16">
        <f>IF($E106="L",$J106,0)</f>
        <v>0</v>
      </c>
      <c r="N106" s="16">
        <f>IF($E106="M",$J106,0)</f>
        <v>0</v>
      </c>
      <c r="O106" s="16">
        <f>IF($E106="P",$J106,0)</f>
        <v>0</v>
      </c>
      <c r="P106" s="16">
        <f>IF($E106="S",$J106,0)</f>
        <v>450</v>
      </c>
      <c r="Q106" s="16">
        <f>SUM(M106:P106)</f>
        <v>450</v>
      </c>
      <c r="R106" s="118">
        <v>41</v>
      </c>
    </row>
    <row r="107" spans="1:20" outlineLevel="1" x14ac:dyDescent="0.5">
      <c r="A107" s="132" t="s">
        <v>448</v>
      </c>
      <c r="B107" s="1"/>
      <c r="C107" s="2"/>
      <c r="D107" s="1"/>
      <c r="E107" s="45"/>
      <c r="F107" s="53"/>
      <c r="G107" s="11"/>
      <c r="H107" s="11"/>
      <c r="I107" s="11"/>
      <c r="J107" s="11"/>
      <c r="K107" s="91"/>
      <c r="L107" s="91"/>
      <c r="M107" s="13"/>
      <c r="N107" s="13"/>
      <c r="O107" s="13"/>
      <c r="P107" s="13"/>
      <c r="Q107" s="13"/>
      <c r="R107" s="119"/>
    </row>
    <row r="108" spans="1:20" x14ac:dyDescent="0.5">
      <c r="A108" s="132">
        <v>28</v>
      </c>
      <c r="B108" s="1"/>
      <c r="C108" s="5" t="s">
        <v>619</v>
      </c>
      <c r="D108" s="1"/>
      <c r="E108" s="45"/>
      <c r="F108" s="53"/>
      <c r="G108" s="11"/>
      <c r="H108" s="11"/>
      <c r="I108" s="11"/>
      <c r="J108" s="11"/>
      <c r="K108" s="91"/>
      <c r="L108" s="91"/>
      <c r="M108" s="13"/>
      <c r="N108" s="13"/>
      <c r="O108" s="13"/>
      <c r="P108" s="13"/>
      <c r="Q108" s="13"/>
      <c r="R108" s="119"/>
    </row>
    <row r="109" spans="1:20" ht="31.5" x14ac:dyDescent="0.5">
      <c r="A109" s="130">
        <v>29</v>
      </c>
      <c r="B109" s="7" t="s">
        <v>86</v>
      </c>
      <c r="C109" s="7" t="s">
        <v>87</v>
      </c>
      <c r="D109" s="8" t="s">
        <v>88</v>
      </c>
      <c r="E109" s="43"/>
      <c r="F109" s="51"/>
      <c r="G109" s="9"/>
      <c r="H109" s="129">
        <f>VLOOKUP($A109,'Model Inputs'!$A:$D,4)</f>
        <v>916</v>
      </c>
      <c r="I109" s="9">
        <f>J109/H109</f>
        <v>8.5749999999999993</v>
      </c>
      <c r="J109" s="9">
        <f>SUBTOTAL(9,J110:J112)</f>
        <v>7854.7</v>
      </c>
      <c r="K109" s="89"/>
      <c r="L109" s="89">
        <f>ROUNDUP(MAX(L110:L112)/workhrs,0)</f>
        <v>3</v>
      </c>
      <c r="M109" s="9">
        <f>SUBTOTAL(9,M110:M112)</f>
        <v>870.19999999999993</v>
      </c>
      <c r="N109" s="9">
        <f>SUBTOTAL(9,N110:N112)</f>
        <v>0</v>
      </c>
      <c r="O109" s="9">
        <f>SUBTOTAL(9,O110:O112)</f>
        <v>6984.5</v>
      </c>
      <c r="P109" s="9">
        <f>SUBTOTAL(9,P110:P112)</f>
        <v>0</v>
      </c>
      <c r="Q109" s="10">
        <f>SUM(M109:P109)</f>
        <v>7854.7</v>
      </c>
      <c r="R109" s="117"/>
      <c r="T109" s="85"/>
    </row>
    <row r="110" spans="1:20" outlineLevel="1" x14ac:dyDescent="0.5">
      <c r="A110" s="131">
        <v>29.1</v>
      </c>
      <c r="B110" s="14">
        <v>1</v>
      </c>
      <c r="C110" s="15" t="s">
        <v>55</v>
      </c>
      <c r="D110" s="44" t="str">
        <f>VLOOKUP(Estimate!$C110,Resources!$B$3:$G$336,4,FALSE)</f>
        <v xml:space="preserve">hr   </v>
      </c>
      <c r="E110" s="44" t="str">
        <f>VLOOKUP(Estimate!$C110,Resources!$B$3:$G$336,3,FALSE)</f>
        <v>P</v>
      </c>
      <c r="F110" s="52">
        <v>1</v>
      </c>
      <c r="G110" s="129">
        <f>VLOOKUP($A110,'Model Inputs'!$A:$D,4)</f>
        <v>40</v>
      </c>
      <c r="H110" s="12">
        <f>H109</f>
        <v>916</v>
      </c>
      <c r="I110" s="12">
        <f>VLOOKUP(C110,Resources!$B$3:$G$336,6,FALSE)</f>
        <v>135</v>
      </c>
      <c r="J110" s="12">
        <f>(H110/(G110/F110))*I110</f>
        <v>3091.5</v>
      </c>
      <c r="K110" s="90">
        <f>L110*F110</f>
        <v>22.9</v>
      </c>
      <c r="L110" s="90">
        <f>IF(E110="M"," ",H110/G110)</f>
        <v>22.9</v>
      </c>
      <c r="M110" s="16">
        <f>IF($E110="L",$J110,0)</f>
        <v>0</v>
      </c>
      <c r="N110" s="16">
        <f>IF($E110="M",$J110,0)</f>
        <v>0</v>
      </c>
      <c r="O110" s="16">
        <f>IF($E110="P",$J110,0)</f>
        <v>3091.5</v>
      </c>
      <c r="P110" s="16">
        <f>IF($E110="S",$J110,0)</f>
        <v>0</v>
      </c>
      <c r="Q110" s="16">
        <f>SUM(M110:P110)</f>
        <v>3091.5</v>
      </c>
      <c r="R110" s="118">
        <v>31</v>
      </c>
    </row>
    <row r="111" spans="1:20" outlineLevel="1" x14ac:dyDescent="0.5">
      <c r="A111" s="131" t="s">
        <v>448</v>
      </c>
      <c r="B111" s="14">
        <v>2</v>
      </c>
      <c r="C111" s="15" t="s">
        <v>66</v>
      </c>
      <c r="D111" s="44" t="str">
        <f>VLOOKUP(Estimate!$C111,Resources!$B$3:$G$336,4,FALSE)</f>
        <v xml:space="preserve">hr   </v>
      </c>
      <c r="E111" s="44" t="str">
        <f>VLOOKUP(Estimate!$C111,Resources!$B$3:$G$336,3,FALSE)</f>
        <v>P</v>
      </c>
      <c r="F111" s="52">
        <v>2</v>
      </c>
      <c r="G111" s="12">
        <f>G110</f>
        <v>40</v>
      </c>
      <c r="H111" s="12">
        <f>H109</f>
        <v>916</v>
      </c>
      <c r="I111" s="12">
        <f>VLOOKUP(C111,Resources!$B$3:$G$336,6,FALSE)</f>
        <v>85</v>
      </c>
      <c r="J111" s="12">
        <f>(H111/(G111/F111))*I111</f>
        <v>3892.9999999999995</v>
      </c>
      <c r="K111" s="90">
        <f>L111*F111</f>
        <v>45.8</v>
      </c>
      <c r="L111" s="90">
        <f>IF(E111="M"," ",H111/G111)</f>
        <v>22.9</v>
      </c>
      <c r="M111" s="16">
        <f>IF($E111="L",$J111,0)</f>
        <v>0</v>
      </c>
      <c r="N111" s="16">
        <f>IF($E111="M",$J111,0)</f>
        <v>0</v>
      </c>
      <c r="O111" s="16">
        <f>IF($E111="P",$J111,0)</f>
        <v>3892.9999999999995</v>
      </c>
      <c r="P111" s="16">
        <f>IF($E111="S",$J111,0)</f>
        <v>0</v>
      </c>
      <c r="Q111" s="16">
        <f>SUM(M111:P111)</f>
        <v>3892.9999999999995</v>
      </c>
      <c r="R111" s="118">
        <v>31</v>
      </c>
    </row>
    <row r="112" spans="1:20" outlineLevel="1" x14ac:dyDescent="0.5">
      <c r="A112" s="131" t="s">
        <v>448</v>
      </c>
      <c r="B112" s="14">
        <v>3</v>
      </c>
      <c r="C112" s="15" t="s">
        <v>7</v>
      </c>
      <c r="D112" s="44" t="str">
        <f>VLOOKUP(Estimate!$C112,Resources!$B$3:$G$336,4,FALSE)</f>
        <v xml:space="preserve">hr   </v>
      </c>
      <c r="E112" s="44" t="str">
        <f>VLOOKUP(Estimate!$C112,Resources!$B$3:$G$336,3,FALSE)</f>
        <v>L</v>
      </c>
      <c r="F112" s="52">
        <v>1</v>
      </c>
      <c r="G112" s="12">
        <f>G110</f>
        <v>40</v>
      </c>
      <c r="H112" s="12">
        <f>H109</f>
        <v>916</v>
      </c>
      <c r="I112" s="12">
        <f>VLOOKUP(C112,Resources!$B$3:$G$336,6,FALSE)</f>
        <v>38</v>
      </c>
      <c r="J112" s="12">
        <f>(H112/(G112/F112))*I112</f>
        <v>870.19999999999993</v>
      </c>
      <c r="K112" s="90">
        <f>L112*F112</f>
        <v>22.9</v>
      </c>
      <c r="L112" s="90">
        <f>IF(E112="M"," ",H112/G112)</f>
        <v>22.9</v>
      </c>
      <c r="M112" s="16">
        <f>IF($E112="L",$J112,0)</f>
        <v>870.19999999999993</v>
      </c>
      <c r="N112" s="16">
        <f>IF($E112="M",$J112,0)</f>
        <v>0</v>
      </c>
      <c r="O112" s="16">
        <f>IF($E112="P",$J112,0)</f>
        <v>0</v>
      </c>
      <c r="P112" s="16">
        <f>IF($E112="S",$J112,0)</f>
        <v>0</v>
      </c>
      <c r="Q112" s="16">
        <f>SUM(M112:P112)</f>
        <v>870.19999999999993</v>
      </c>
      <c r="R112" s="118">
        <v>31</v>
      </c>
      <c r="T112" s="86"/>
    </row>
    <row r="113" spans="1:18" outlineLevel="1" x14ac:dyDescent="0.5">
      <c r="A113" s="132" t="s">
        <v>448</v>
      </c>
      <c r="B113" s="1"/>
      <c r="C113" s="2"/>
      <c r="D113" s="1"/>
      <c r="E113" s="45"/>
      <c r="F113" s="53"/>
      <c r="G113" s="11"/>
      <c r="H113" s="11"/>
      <c r="I113" s="11"/>
      <c r="J113" s="11"/>
      <c r="K113" s="91"/>
      <c r="L113" s="91"/>
      <c r="M113" s="13"/>
      <c r="N113" s="13"/>
      <c r="O113" s="13"/>
      <c r="P113" s="13"/>
      <c r="Q113" s="13"/>
      <c r="R113" s="119"/>
    </row>
    <row r="114" spans="1:18" ht="31.5" x14ac:dyDescent="0.5">
      <c r="A114" s="130">
        <v>30</v>
      </c>
      <c r="B114" s="7" t="s">
        <v>89</v>
      </c>
      <c r="C114" s="7" t="s">
        <v>90</v>
      </c>
      <c r="D114" s="8" t="s">
        <v>88</v>
      </c>
      <c r="E114" s="43"/>
      <c r="F114" s="51"/>
      <c r="G114" s="9"/>
      <c r="H114" s="129">
        <f>VLOOKUP($A114,'Model Inputs'!$A:$D,4)</f>
        <v>341</v>
      </c>
      <c r="I114" s="9">
        <f>J114/H114</f>
        <v>14.24</v>
      </c>
      <c r="J114" s="9">
        <f>SUBTOTAL(9,J115:J118)</f>
        <v>4855.84</v>
      </c>
      <c r="K114" s="89"/>
      <c r="L114" s="89">
        <f>ROUNDUP(MAX(L115:L118)/workhrs,0)</f>
        <v>2</v>
      </c>
      <c r="M114" s="9">
        <f>SUBTOTAL(9,M115:M118)</f>
        <v>1036.6400000000001</v>
      </c>
      <c r="N114" s="9">
        <f>SUBTOTAL(9,N115:N118)</f>
        <v>0</v>
      </c>
      <c r="O114" s="9">
        <f>SUBTOTAL(9,O115:O118)</f>
        <v>3819.2</v>
      </c>
      <c r="P114" s="9">
        <f>SUBTOTAL(9,P115:P118)</f>
        <v>0</v>
      </c>
      <c r="Q114" s="10">
        <f>SUM(M114:P114)</f>
        <v>4855.84</v>
      </c>
      <c r="R114" s="117"/>
    </row>
    <row r="115" spans="1:18" outlineLevel="1" x14ac:dyDescent="0.5">
      <c r="A115" s="131">
        <v>30.1</v>
      </c>
      <c r="B115" s="14">
        <v>1</v>
      </c>
      <c r="C115" s="15" t="s">
        <v>91</v>
      </c>
      <c r="D115" s="44" t="str">
        <f>VLOOKUP(Estimate!$C115,Resources!$B$3:$G$336,4,FALSE)</f>
        <v xml:space="preserve">hr   </v>
      </c>
      <c r="E115" s="44" t="str">
        <f>VLOOKUP(Estimate!$C115,Resources!$B$3:$G$336,3,FALSE)</f>
        <v>P</v>
      </c>
      <c r="F115" s="52">
        <v>1</v>
      </c>
      <c r="G115" s="129">
        <f>VLOOKUP($A115,'Model Inputs'!$A:$D,4)</f>
        <v>250</v>
      </c>
      <c r="H115" s="12">
        <f>H114*10</f>
        <v>3410</v>
      </c>
      <c r="I115" s="12">
        <f>VLOOKUP(C115,Resources!$B$3:$G$336,6,FALSE)</f>
        <v>100</v>
      </c>
      <c r="J115" s="12">
        <f>(H115/(G115/F115))*I115</f>
        <v>1364</v>
      </c>
      <c r="K115" s="90">
        <f>L115*F115</f>
        <v>13.64</v>
      </c>
      <c r="L115" s="90">
        <f>IF(E115="M"," ",H115/G115)</f>
        <v>13.64</v>
      </c>
      <c r="M115" s="16">
        <f>IF($E115="L",$J115,0)</f>
        <v>0</v>
      </c>
      <c r="N115" s="16">
        <f>IF($E115="M",$J115,0)</f>
        <v>0</v>
      </c>
      <c r="O115" s="16">
        <f>IF($E115="P",$J115,0)</f>
        <v>1364</v>
      </c>
      <c r="P115" s="16">
        <f>IF($E115="S",$J115,0)</f>
        <v>0</v>
      </c>
      <c r="Q115" s="16">
        <f>SUM(M115:P115)</f>
        <v>1364</v>
      </c>
      <c r="R115" s="118">
        <v>33</v>
      </c>
    </row>
    <row r="116" spans="1:18" outlineLevel="1" x14ac:dyDescent="0.5">
      <c r="A116" s="131" t="s">
        <v>448</v>
      </c>
      <c r="B116" s="14">
        <v>2</v>
      </c>
      <c r="C116" s="15" t="s">
        <v>66</v>
      </c>
      <c r="D116" s="44" t="str">
        <f>VLOOKUP(Estimate!$C116,Resources!$B$3:$G$336,4,FALSE)</f>
        <v xml:space="preserve">hr   </v>
      </c>
      <c r="E116" s="44" t="str">
        <f>VLOOKUP(Estimate!$C116,Resources!$B$3:$G$336,3,FALSE)</f>
        <v>P</v>
      </c>
      <c r="F116" s="52">
        <v>1</v>
      </c>
      <c r="G116" s="12">
        <f>G115</f>
        <v>250</v>
      </c>
      <c r="H116" s="12">
        <f>H115</f>
        <v>3410</v>
      </c>
      <c r="I116" s="12">
        <f>VLOOKUP(C116,Resources!$B$3:$G$336,6,FALSE)</f>
        <v>85</v>
      </c>
      <c r="J116" s="12">
        <f>(H116/(G116/F116))*I116</f>
        <v>1159.4000000000001</v>
      </c>
      <c r="K116" s="90">
        <f>L116*F116</f>
        <v>13.64</v>
      </c>
      <c r="L116" s="90">
        <f>IF(E116="M"," ",H116/G116)</f>
        <v>13.64</v>
      </c>
      <c r="M116" s="16">
        <f>IF($E116="L",$J116,0)</f>
        <v>0</v>
      </c>
      <c r="N116" s="16">
        <f>IF($E116="M",$J116,0)</f>
        <v>0</v>
      </c>
      <c r="O116" s="16">
        <f>IF($E116="P",$J116,0)</f>
        <v>1159.4000000000001</v>
      </c>
      <c r="P116" s="16">
        <f>IF($E116="S",$J116,0)</f>
        <v>0</v>
      </c>
      <c r="Q116" s="16">
        <f>SUM(M116:P116)</f>
        <v>1159.4000000000001</v>
      </c>
      <c r="R116" s="118">
        <v>33</v>
      </c>
    </row>
    <row r="117" spans="1:18" outlineLevel="1" x14ac:dyDescent="0.5">
      <c r="A117" s="131" t="s">
        <v>448</v>
      </c>
      <c r="B117" s="14">
        <v>3</v>
      </c>
      <c r="C117" s="15" t="s">
        <v>49</v>
      </c>
      <c r="D117" s="44" t="str">
        <f>VLOOKUP(Estimate!$C117,Resources!$B$3:$G$336,4,FALSE)</f>
        <v xml:space="preserve">hr   </v>
      </c>
      <c r="E117" s="44" t="str">
        <f>VLOOKUP(Estimate!$C117,Resources!$B$3:$G$336,3,FALSE)</f>
        <v>P</v>
      </c>
      <c r="F117" s="52">
        <v>1</v>
      </c>
      <c r="G117" s="12">
        <f>G115</f>
        <v>250</v>
      </c>
      <c r="H117" s="12">
        <f>H115</f>
        <v>3410</v>
      </c>
      <c r="I117" s="12">
        <f>VLOOKUP(C117,Resources!$B$3:$G$336,6,FALSE)</f>
        <v>95</v>
      </c>
      <c r="J117" s="12">
        <f>(H117/(G117/F117))*I117</f>
        <v>1295.8</v>
      </c>
      <c r="K117" s="90">
        <f>L117*F117</f>
        <v>13.64</v>
      </c>
      <c r="L117" s="90">
        <f>IF(E117="M"," ",H117/G117)</f>
        <v>13.64</v>
      </c>
      <c r="M117" s="16">
        <f>IF($E117="L",$J117,0)</f>
        <v>0</v>
      </c>
      <c r="N117" s="16">
        <f>IF($E117="M",$J117,0)</f>
        <v>0</v>
      </c>
      <c r="O117" s="16">
        <f>IF($E117="P",$J117,0)</f>
        <v>1295.8</v>
      </c>
      <c r="P117" s="16">
        <f>IF($E117="S",$J117,0)</f>
        <v>0</v>
      </c>
      <c r="Q117" s="16">
        <f>SUM(M117:P117)</f>
        <v>1295.8</v>
      </c>
      <c r="R117" s="118">
        <v>33</v>
      </c>
    </row>
    <row r="118" spans="1:18" outlineLevel="1" x14ac:dyDescent="0.5">
      <c r="A118" s="131" t="s">
        <v>448</v>
      </c>
      <c r="B118" s="14">
        <v>4</v>
      </c>
      <c r="C118" s="15" t="s">
        <v>7</v>
      </c>
      <c r="D118" s="44" t="str">
        <f>VLOOKUP(Estimate!$C118,Resources!$B$3:$G$336,4,FALSE)</f>
        <v xml:space="preserve">hr   </v>
      </c>
      <c r="E118" s="44" t="str">
        <f>VLOOKUP(Estimate!$C118,Resources!$B$3:$G$336,3,FALSE)</f>
        <v>L</v>
      </c>
      <c r="F118" s="52">
        <v>2</v>
      </c>
      <c r="G118" s="12">
        <f>G115</f>
        <v>250</v>
      </c>
      <c r="H118" s="12">
        <f>H115</f>
        <v>3410</v>
      </c>
      <c r="I118" s="12">
        <f>VLOOKUP(C118,Resources!$B$3:$G$336,6,FALSE)</f>
        <v>38</v>
      </c>
      <c r="J118" s="12">
        <f>(H118/(G118/F118))*I118</f>
        <v>1036.6400000000001</v>
      </c>
      <c r="K118" s="90">
        <f>L118*F118</f>
        <v>27.28</v>
      </c>
      <c r="L118" s="90">
        <f>IF(E118="M"," ",H118/G118)</f>
        <v>13.64</v>
      </c>
      <c r="M118" s="16">
        <f>IF($E118="L",$J118,0)</f>
        <v>1036.6400000000001</v>
      </c>
      <c r="N118" s="16">
        <f>IF($E118="M",$J118,0)</f>
        <v>0</v>
      </c>
      <c r="O118" s="16">
        <f>IF($E118="P",$J118,0)</f>
        <v>0</v>
      </c>
      <c r="P118" s="16">
        <f>IF($E118="S",$J118,0)</f>
        <v>0</v>
      </c>
      <c r="Q118" s="16">
        <f>SUM(M118:P118)</f>
        <v>1036.6400000000001</v>
      </c>
      <c r="R118" s="118">
        <v>33</v>
      </c>
    </row>
    <row r="119" spans="1:18" outlineLevel="1" x14ac:dyDescent="0.5">
      <c r="A119" s="132" t="s">
        <v>448</v>
      </c>
      <c r="B119" s="1"/>
      <c r="C119" s="2"/>
      <c r="D119" s="1"/>
      <c r="E119" s="45"/>
      <c r="F119" s="53"/>
      <c r="G119" s="11"/>
      <c r="H119" s="11"/>
      <c r="I119" s="11"/>
      <c r="J119" s="11"/>
      <c r="K119" s="91"/>
      <c r="L119" s="91"/>
      <c r="M119" s="13"/>
      <c r="N119" s="13"/>
      <c r="O119" s="13"/>
      <c r="P119" s="13"/>
      <c r="Q119" s="13"/>
      <c r="R119" s="119"/>
    </row>
    <row r="120" spans="1:18" ht="21" x14ac:dyDescent="0.5">
      <c r="A120" s="130">
        <v>31</v>
      </c>
      <c r="B120" s="7" t="s">
        <v>92</v>
      </c>
      <c r="C120" s="7" t="s">
        <v>93</v>
      </c>
      <c r="D120" s="8"/>
      <c r="E120" s="43"/>
      <c r="F120" s="51"/>
      <c r="G120" s="9"/>
      <c r="H120" s="129">
        <f>VLOOKUP($A120,'Model Inputs'!$A:$D,4)</f>
        <v>575</v>
      </c>
      <c r="I120" s="9">
        <f>J120/H120</f>
        <v>13.074999999999999</v>
      </c>
      <c r="J120" s="9">
        <f>SUBTOTAL(9,J121:J124)</f>
        <v>7518.125</v>
      </c>
      <c r="K120" s="89"/>
      <c r="L120" s="89">
        <f>ROUNDUP(MAX(L121:L124)/workhrs,0)</f>
        <v>2</v>
      </c>
      <c r="M120" s="9">
        <f>SUBTOTAL(9,M121:M124)</f>
        <v>546.25</v>
      </c>
      <c r="N120" s="9">
        <f>SUBTOTAL(9,N121:N124)</f>
        <v>0</v>
      </c>
      <c r="O120" s="9">
        <f>SUBTOTAL(9,O121:O124)</f>
        <v>6971.875</v>
      </c>
      <c r="P120" s="9">
        <f>SUBTOTAL(9,P121:P124)</f>
        <v>0</v>
      </c>
      <c r="Q120" s="10">
        <f>SUM(M120:P120)</f>
        <v>7518.125</v>
      </c>
      <c r="R120" s="117"/>
    </row>
    <row r="121" spans="1:18" outlineLevel="1" x14ac:dyDescent="0.5">
      <c r="A121" s="131">
        <v>31.1</v>
      </c>
      <c r="B121" s="14">
        <v>1</v>
      </c>
      <c r="C121" s="15" t="s">
        <v>55</v>
      </c>
      <c r="D121" s="44" t="str">
        <f>VLOOKUP(Estimate!$C121,Resources!$B$3:$G$336,4,FALSE)</f>
        <v xml:space="preserve">hr   </v>
      </c>
      <c r="E121" s="44" t="str">
        <f>VLOOKUP(Estimate!$C121,Resources!$B$3:$G$336,3,FALSE)</f>
        <v>P</v>
      </c>
      <c r="F121" s="52">
        <v>1</v>
      </c>
      <c r="G121" s="129">
        <f>VLOOKUP($A121,'Model Inputs'!$A:$D,4)</f>
        <v>40</v>
      </c>
      <c r="H121" s="12">
        <f>H120</f>
        <v>575</v>
      </c>
      <c r="I121" s="12">
        <f>VLOOKUP(C121,Resources!$B$3:$G$336,6,FALSE)</f>
        <v>135</v>
      </c>
      <c r="J121" s="12">
        <f>(H121/(G121/F121))*I121</f>
        <v>1940.625</v>
      </c>
      <c r="K121" s="90">
        <f>L121*F121</f>
        <v>14.375</v>
      </c>
      <c r="L121" s="90">
        <f>IF(E121="M"," ",H121/G121)</f>
        <v>14.375</v>
      </c>
      <c r="M121" s="16">
        <f>IF($E121="L",$J121,0)</f>
        <v>0</v>
      </c>
      <c r="N121" s="16">
        <f>IF($E121="M",$J121,0)</f>
        <v>0</v>
      </c>
      <c r="O121" s="16">
        <f>IF($E121="P",$J121,0)</f>
        <v>1940.625</v>
      </c>
      <c r="P121" s="16">
        <f>IF($E121="S",$J121,0)</f>
        <v>0</v>
      </c>
      <c r="Q121" s="16">
        <f>SUM(M121:P121)</f>
        <v>1940.625</v>
      </c>
      <c r="R121" s="118">
        <v>53</v>
      </c>
    </row>
    <row r="122" spans="1:18" outlineLevel="1" x14ac:dyDescent="0.5">
      <c r="A122" s="131" t="s">
        <v>448</v>
      </c>
      <c r="B122" s="14">
        <v>2</v>
      </c>
      <c r="C122" s="15" t="s">
        <v>66</v>
      </c>
      <c r="D122" s="44" t="str">
        <f>VLOOKUP(Estimate!$C122,Resources!$B$3:$G$336,4,FALSE)</f>
        <v xml:space="preserve">hr   </v>
      </c>
      <c r="E122" s="44" t="str">
        <f>VLOOKUP(Estimate!$C122,Resources!$B$3:$G$336,3,FALSE)</f>
        <v>P</v>
      </c>
      <c r="F122" s="52">
        <v>3</v>
      </c>
      <c r="G122" s="12">
        <f>G121</f>
        <v>40</v>
      </c>
      <c r="H122" s="12">
        <f>H120</f>
        <v>575</v>
      </c>
      <c r="I122" s="12">
        <f>VLOOKUP(C122,Resources!$B$3:$G$336,6,FALSE)</f>
        <v>85</v>
      </c>
      <c r="J122" s="12">
        <f>(H122/(G122/F122))*I122</f>
        <v>3665.625</v>
      </c>
      <c r="K122" s="90">
        <f>L122*F122</f>
        <v>43.125</v>
      </c>
      <c r="L122" s="90">
        <f>IF(E122="M"," ",H122/G122)</f>
        <v>14.375</v>
      </c>
      <c r="M122" s="16">
        <f>IF($E122="L",$J122,0)</f>
        <v>0</v>
      </c>
      <c r="N122" s="16">
        <f>IF($E122="M",$J122,0)</f>
        <v>0</v>
      </c>
      <c r="O122" s="16">
        <f>IF($E122="P",$J122,0)</f>
        <v>3665.625</v>
      </c>
      <c r="P122" s="16">
        <f>IF($E122="S",$J122,0)</f>
        <v>0</v>
      </c>
      <c r="Q122" s="16">
        <f>SUM(M122:P122)</f>
        <v>3665.625</v>
      </c>
      <c r="R122" s="118">
        <v>53</v>
      </c>
    </row>
    <row r="123" spans="1:18" outlineLevel="1" x14ac:dyDescent="0.5">
      <c r="A123" s="131" t="s">
        <v>448</v>
      </c>
      <c r="B123" s="14">
        <v>3</v>
      </c>
      <c r="C123" s="15" t="s">
        <v>60</v>
      </c>
      <c r="D123" s="44" t="str">
        <f>VLOOKUP(Estimate!$C123,Resources!$B$3:$G$336,4,FALSE)</f>
        <v xml:space="preserve">hr   </v>
      </c>
      <c r="E123" s="44" t="str">
        <f>VLOOKUP(Estimate!$C123,Resources!$B$3:$G$336,3,FALSE)</f>
        <v>P</v>
      </c>
      <c r="F123" s="52">
        <v>1</v>
      </c>
      <c r="G123" s="12">
        <f>G121</f>
        <v>40</v>
      </c>
      <c r="H123" s="12">
        <f>H120</f>
        <v>575</v>
      </c>
      <c r="I123" s="12">
        <f>VLOOKUP(C123,Resources!$B$3:$G$336,6,FALSE)</f>
        <v>95</v>
      </c>
      <c r="J123" s="12">
        <f>(H123/(G123/F123))*I123</f>
        <v>1365.625</v>
      </c>
      <c r="K123" s="90">
        <f>L123*F123</f>
        <v>14.375</v>
      </c>
      <c r="L123" s="90">
        <f>IF(E123="M"," ",H123/G123)</f>
        <v>14.375</v>
      </c>
      <c r="M123" s="16">
        <f>IF($E123="L",$J123,0)</f>
        <v>0</v>
      </c>
      <c r="N123" s="16">
        <f>IF($E123="M",$J123,0)</f>
        <v>0</v>
      </c>
      <c r="O123" s="16">
        <f>IF($E123="P",$J123,0)</f>
        <v>1365.625</v>
      </c>
      <c r="P123" s="16">
        <f>IF($E123="S",$J123,0)</f>
        <v>0</v>
      </c>
      <c r="Q123" s="16">
        <f>SUM(M123:P123)</f>
        <v>1365.625</v>
      </c>
      <c r="R123" s="118">
        <v>53</v>
      </c>
    </row>
    <row r="124" spans="1:18" outlineLevel="1" x14ac:dyDescent="0.5">
      <c r="A124" s="131" t="s">
        <v>448</v>
      </c>
      <c r="B124" s="14">
        <v>4</v>
      </c>
      <c r="C124" s="15" t="s">
        <v>7</v>
      </c>
      <c r="D124" s="44" t="str">
        <f>VLOOKUP(Estimate!$C124,Resources!$B$3:$G$336,4,FALSE)</f>
        <v xml:space="preserve">hr   </v>
      </c>
      <c r="E124" s="44" t="str">
        <f>VLOOKUP(Estimate!$C124,Resources!$B$3:$G$336,3,FALSE)</f>
        <v>L</v>
      </c>
      <c r="F124" s="52">
        <v>1</v>
      </c>
      <c r="G124" s="12">
        <f>G121</f>
        <v>40</v>
      </c>
      <c r="H124" s="12">
        <f>H120</f>
        <v>575</v>
      </c>
      <c r="I124" s="12">
        <f>VLOOKUP(C124,Resources!$B$3:$G$336,6,FALSE)</f>
        <v>38</v>
      </c>
      <c r="J124" s="12">
        <f>(H124/(G124/F124))*I124</f>
        <v>546.25</v>
      </c>
      <c r="K124" s="90">
        <f>L124*F124</f>
        <v>14.375</v>
      </c>
      <c r="L124" s="90">
        <f>IF(E124="M"," ",H124/G124)</f>
        <v>14.375</v>
      </c>
      <c r="M124" s="16">
        <f>IF($E124="L",$J124,0)</f>
        <v>546.25</v>
      </c>
      <c r="N124" s="16">
        <f>IF($E124="M",$J124,0)</f>
        <v>0</v>
      </c>
      <c r="O124" s="16">
        <f>IF($E124="P",$J124,0)</f>
        <v>0</v>
      </c>
      <c r="P124" s="16">
        <f>IF($E124="S",$J124,0)</f>
        <v>0</v>
      </c>
      <c r="Q124" s="16">
        <f>SUM(M124:P124)</f>
        <v>546.25</v>
      </c>
      <c r="R124" s="118">
        <v>53</v>
      </c>
    </row>
    <row r="125" spans="1:18" outlineLevel="1" x14ac:dyDescent="0.5">
      <c r="A125" s="132" t="s">
        <v>448</v>
      </c>
      <c r="B125" s="1"/>
      <c r="C125" s="2"/>
      <c r="D125" s="1"/>
      <c r="E125" s="45"/>
      <c r="F125" s="53"/>
      <c r="G125" s="11"/>
      <c r="H125" s="11"/>
      <c r="I125" s="11"/>
      <c r="J125" s="11"/>
      <c r="K125" s="91"/>
      <c r="L125" s="91"/>
      <c r="M125" s="13"/>
      <c r="N125" s="13"/>
      <c r="O125" s="13"/>
      <c r="P125" s="13"/>
      <c r="Q125" s="13"/>
      <c r="R125" s="119"/>
    </row>
    <row r="126" spans="1:18" ht="21" x14ac:dyDescent="0.5">
      <c r="A126" s="130">
        <v>32</v>
      </c>
      <c r="B126" s="7" t="s">
        <v>94</v>
      </c>
      <c r="C126" s="7" t="s">
        <v>95</v>
      </c>
      <c r="D126" s="8" t="s">
        <v>88</v>
      </c>
      <c r="E126" s="43"/>
      <c r="F126" s="51"/>
      <c r="G126" s="9"/>
      <c r="H126" s="129">
        <f>VLOOKUP($A126,'Model Inputs'!$A:$D,4)</f>
        <v>2388</v>
      </c>
      <c r="I126" s="9">
        <f>J126/H126</f>
        <v>7.1168291645678572</v>
      </c>
      <c r="J126" s="9">
        <f>SUBTOTAL(9,J127:J134)</f>
        <v>16994.988044988044</v>
      </c>
      <c r="K126" s="89"/>
      <c r="L126" s="89">
        <f>ROUNDUP(MAX(L127:L132)/workhrs,0)</f>
        <v>3</v>
      </c>
      <c r="M126" s="9">
        <f>SUBTOTAL(9,M127:M134)</f>
        <v>1633.3936333936333</v>
      </c>
      <c r="N126" s="9">
        <f>SUBTOTAL(9,N127:N134)</f>
        <v>0</v>
      </c>
      <c r="O126" s="9">
        <f>SUBTOTAL(9,O127:O134)</f>
        <v>15361.594411594411</v>
      </c>
      <c r="P126" s="9">
        <f>SUBTOTAL(9,P127:P134)</f>
        <v>0</v>
      </c>
      <c r="Q126" s="10">
        <f t="shared" ref="Q126:Q132" si="6">SUM(M126:P126)</f>
        <v>16994.988044988044</v>
      </c>
      <c r="R126" s="117"/>
    </row>
    <row r="127" spans="1:18" outlineLevel="1" x14ac:dyDescent="0.5">
      <c r="A127" s="131">
        <v>32.1</v>
      </c>
      <c r="B127" s="14">
        <v>1</v>
      </c>
      <c r="C127" s="15" t="s">
        <v>55</v>
      </c>
      <c r="D127" s="44" t="str">
        <f>VLOOKUP(Estimate!$C127,Resources!$B$3:$G$336,4,FALSE)</f>
        <v xml:space="preserve">hr   </v>
      </c>
      <c r="E127" s="44" t="str">
        <f>VLOOKUP(Estimate!$C127,Resources!$B$3:$G$336,3,FALSE)</f>
        <v>P</v>
      </c>
      <c r="F127" s="52">
        <v>1</v>
      </c>
      <c r="G127" s="129">
        <f>VLOOKUP($A127,'Model Inputs'!$A:$D,4)</f>
        <v>111.111</v>
      </c>
      <c r="H127" s="12">
        <f>H126</f>
        <v>2388</v>
      </c>
      <c r="I127" s="12">
        <f>VLOOKUP(C127,Resources!$B$3:$G$336,6,FALSE)</f>
        <v>135</v>
      </c>
      <c r="J127" s="12">
        <f t="shared" ref="J127:J132" si="7">(H127/(G127/F127))*I127</f>
        <v>2901.4229014229013</v>
      </c>
      <c r="K127" s="90">
        <f t="shared" ref="K127:K132" si="8">L127*F127</f>
        <v>21.49202149202149</v>
      </c>
      <c r="L127" s="90">
        <f t="shared" ref="L127:L132" si="9">IF(E127="M"," ",H127/G127)</f>
        <v>21.49202149202149</v>
      </c>
      <c r="M127" s="16">
        <f t="shared" ref="M127:M132" si="10">IF($E127="L",$J127,0)</f>
        <v>0</v>
      </c>
      <c r="N127" s="16">
        <f t="shared" ref="N127:N132" si="11">IF($E127="M",$J127,0)</f>
        <v>0</v>
      </c>
      <c r="O127" s="16">
        <f t="shared" ref="O127:O132" si="12">IF($E127="P",$J127,0)</f>
        <v>2901.4229014229013</v>
      </c>
      <c r="P127" s="16">
        <f t="shared" ref="P127:P132" si="13">IF($E127="S",$J127,0)</f>
        <v>0</v>
      </c>
      <c r="Q127" s="16">
        <f t="shared" si="6"/>
        <v>2901.4229014229013</v>
      </c>
      <c r="R127" s="118">
        <v>51</v>
      </c>
    </row>
    <row r="128" spans="1:18" outlineLevel="1" x14ac:dyDescent="0.5">
      <c r="A128" s="131" t="s">
        <v>448</v>
      </c>
      <c r="B128" s="14">
        <v>2</v>
      </c>
      <c r="C128" s="15" t="s">
        <v>66</v>
      </c>
      <c r="D128" s="44" t="str">
        <f>VLOOKUP(Estimate!$C128,Resources!$B$3:$G$336,4,FALSE)</f>
        <v xml:space="preserve">hr   </v>
      </c>
      <c r="E128" s="44" t="str">
        <f>VLOOKUP(Estimate!$C128,Resources!$B$3:$G$336,3,FALSE)</f>
        <v>P</v>
      </c>
      <c r="F128" s="52">
        <v>3</v>
      </c>
      <c r="G128" s="12">
        <f>G127</f>
        <v>111.111</v>
      </c>
      <c r="H128" s="12">
        <f>H126</f>
        <v>2388</v>
      </c>
      <c r="I128" s="12">
        <f>VLOOKUP(C128,Resources!$B$3:$G$336,6,FALSE)</f>
        <v>85</v>
      </c>
      <c r="J128" s="12">
        <f t="shared" si="7"/>
        <v>5480.4654804654811</v>
      </c>
      <c r="K128" s="90">
        <f t="shared" si="8"/>
        <v>64.476064476064465</v>
      </c>
      <c r="L128" s="90">
        <f t="shared" si="9"/>
        <v>21.49202149202149</v>
      </c>
      <c r="M128" s="16">
        <f t="shared" si="10"/>
        <v>0</v>
      </c>
      <c r="N128" s="16">
        <f t="shared" si="11"/>
        <v>0</v>
      </c>
      <c r="O128" s="16">
        <f t="shared" si="12"/>
        <v>5480.4654804654811</v>
      </c>
      <c r="P128" s="16">
        <f t="shared" si="13"/>
        <v>0</v>
      </c>
      <c r="Q128" s="16">
        <f t="shared" si="6"/>
        <v>5480.4654804654811</v>
      </c>
      <c r="R128" s="118">
        <v>51</v>
      </c>
    </row>
    <row r="129" spans="1:70" outlineLevel="1" x14ac:dyDescent="0.5">
      <c r="A129" s="131" t="s">
        <v>448</v>
      </c>
      <c r="B129" s="14">
        <v>3</v>
      </c>
      <c r="C129" s="15" t="s">
        <v>7</v>
      </c>
      <c r="D129" s="44" t="str">
        <f>VLOOKUP(Estimate!$C129,Resources!$B$3:$G$336,4,FALSE)</f>
        <v xml:space="preserve">hr   </v>
      </c>
      <c r="E129" s="44" t="str">
        <f>VLOOKUP(Estimate!$C129,Resources!$B$3:$G$336,3,FALSE)</f>
        <v>L</v>
      </c>
      <c r="F129" s="52">
        <v>2</v>
      </c>
      <c r="G129" s="12">
        <f>G127</f>
        <v>111.111</v>
      </c>
      <c r="H129" s="12">
        <f>H126</f>
        <v>2388</v>
      </c>
      <c r="I129" s="12">
        <f>VLOOKUP(C129,Resources!$B$3:$G$336,6,FALSE)</f>
        <v>38</v>
      </c>
      <c r="J129" s="12">
        <f t="shared" si="7"/>
        <v>1633.3936333936333</v>
      </c>
      <c r="K129" s="90">
        <f t="shared" si="8"/>
        <v>42.984042984042979</v>
      </c>
      <c r="L129" s="90">
        <f t="shared" si="9"/>
        <v>21.49202149202149</v>
      </c>
      <c r="M129" s="16">
        <f t="shared" si="10"/>
        <v>1633.3936333936333</v>
      </c>
      <c r="N129" s="16">
        <f t="shared" si="11"/>
        <v>0</v>
      </c>
      <c r="O129" s="16">
        <f t="shared" si="12"/>
        <v>0</v>
      </c>
      <c r="P129" s="16">
        <f t="shared" si="13"/>
        <v>0</v>
      </c>
      <c r="Q129" s="16">
        <f t="shared" si="6"/>
        <v>1633.3936333936333</v>
      </c>
      <c r="R129" s="118">
        <v>51</v>
      </c>
    </row>
    <row r="130" spans="1:70" outlineLevel="1" x14ac:dyDescent="0.5">
      <c r="A130" s="131" t="s">
        <v>448</v>
      </c>
      <c r="B130" s="14">
        <v>4</v>
      </c>
      <c r="C130" s="15" t="s">
        <v>96</v>
      </c>
      <c r="D130" s="44" t="str">
        <f>VLOOKUP(Estimate!$C130,Resources!$B$3:$G$336,4,FALSE)</f>
        <v xml:space="preserve">hr   </v>
      </c>
      <c r="E130" s="44" t="str">
        <f>VLOOKUP(Estimate!$C130,Resources!$B$3:$G$336,3,FALSE)</f>
        <v>P</v>
      </c>
      <c r="F130" s="52">
        <v>1</v>
      </c>
      <c r="G130" s="12">
        <f>G127</f>
        <v>111.111</v>
      </c>
      <c r="H130" s="12">
        <f>H126</f>
        <v>2388</v>
      </c>
      <c r="I130" s="12">
        <f>VLOOKUP(C130,Resources!$B$3:$G$336,6,FALSE)</f>
        <v>145</v>
      </c>
      <c r="J130" s="12">
        <f t="shared" si="7"/>
        <v>3116.343116343116</v>
      </c>
      <c r="K130" s="90">
        <f t="shared" si="8"/>
        <v>21.49202149202149</v>
      </c>
      <c r="L130" s="90">
        <f t="shared" si="9"/>
        <v>21.49202149202149</v>
      </c>
      <c r="M130" s="16">
        <f t="shared" si="10"/>
        <v>0</v>
      </c>
      <c r="N130" s="16">
        <f t="shared" si="11"/>
        <v>0</v>
      </c>
      <c r="O130" s="16">
        <f t="shared" si="12"/>
        <v>3116.343116343116</v>
      </c>
      <c r="P130" s="16">
        <f t="shared" si="13"/>
        <v>0</v>
      </c>
      <c r="Q130" s="16">
        <f t="shared" si="6"/>
        <v>3116.343116343116</v>
      </c>
      <c r="R130" s="118">
        <v>51</v>
      </c>
    </row>
    <row r="131" spans="1:70" outlineLevel="1" x14ac:dyDescent="0.5">
      <c r="A131" s="131" t="s">
        <v>448</v>
      </c>
      <c r="B131" s="14">
        <v>5</v>
      </c>
      <c r="C131" s="15" t="s">
        <v>97</v>
      </c>
      <c r="D131" s="44" t="str">
        <f>VLOOKUP(Estimate!$C131,Resources!$B$3:$G$336,4,FALSE)</f>
        <v xml:space="preserve">day  </v>
      </c>
      <c r="E131" s="44" t="str">
        <f>VLOOKUP(Estimate!$C131,Resources!$B$3:$G$336,3,FALSE)</f>
        <v>P</v>
      </c>
      <c r="F131" s="52">
        <v>1</v>
      </c>
      <c r="G131" s="12">
        <f>G127*9</f>
        <v>999.99900000000002</v>
      </c>
      <c r="H131" s="12">
        <f>H126</f>
        <v>2388</v>
      </c>
      <c r="I131" s="12">
        <f>VLOOKUP(C131,Resources!$B$3:$G$336,6,FALSE)</f>
        <v>365</v>
      </c>
      <c r="J131" s="12">
        <f t="shared" si="7"/>
        <v>871.62087162087153</v>
      </c>
      <c r="K131" s="90">
        <f t="shared" si="8"/>
        <v>2.3880023880023877</v>
      </c>
      <c r="L131" s="90">
        <f t="shared" si="9"/>
        <v>2.3880023880023877</v>
      </c>
      <c r="M131" s="16">
        <f t="shared" si="10"/>
        <v>0</v>
      </c>
      <c r="N131" s="16">
        <f t="shared" si="11"/>
        <v>0</v>
      </c>
      <c r="O131" s="16">
        <f t="shared" si="12"/>
        <v>871.62087162087153</v>
      </c>
      <c r="P131" s="16">
        <f t="shared" si="13"/>
        <v>0</v>
      </c>
      <c r="Q131" s="16">
        <f t="shared" si="6"/>
        <v>871.62087162087153</v>
      </c>
      <c r="R131" s="118">
        <v>51</v>
      </c>
    </row>
    <row r="132" spans="1:70" outlineLevel="1" x14ac:dyDescent="0.5">
      <c r="A132" s="131" t="s">
        <v>448</v>
      </c>
      <c r="B132" s="14">
        <v>6</v>
      </c>
      <c r="C132" s="15" t="s">
        <v>60</v>
      </c>
      <c r="D132" s="44" t="str">
        <f>VLOOKUP(Estimate!$C132,Resources!$B$3:$G$336,4,FALSE)</f>
        <v xml:space="preserve">hr   </v>
      </c>
      <c r="E132" s="44" t="str">
        <f>VLOOKUP(Estimate!$C132,Resources!$B$3:$G$336,3,FALSE)</f>
        <v>P</v>
      </c>
      <c r="F132" s="52">
        <v>1</v>
      </c>
      <c r="G132" s="12">
        <f>G127</f>
        <v>111.111</v>
      </c>
      <c r="H132" s="12">
        <f>H126</f>
        <v>2388</v>
      </c>
      <c r="I132" s="12">
        <f>VLOOKUP(C132,Resources!$B$3:$G$336,6,FALSE)</f>
        <v>95</v>
      </c>
      <c r="J132" s="12">
        <f t="shared" si="7"/>
        <v>2041.7420417420415</v>
      </c>
      <c r="K132" s="90">
        <f t="shared" si="8"/>
        <v>21.49202149202149</v>
      </c>
      <c r="L132" s="90">
        <f t="shared" si="9"/>
        <v>21.49202149202149</v>
      </c>
      <c r="M132" s="16">
        <f t="shared" si="10"/>
        <v>0</v>
      </c>
      <c r="N132" s="16">
        <f t="shared" si="11"/>
        <v>0</v>
      </c>
      <c r="O132" s="16">
        <f t="shared" si="12"/>
        <v>2041.7420417420415</v>
      </c>
      <c r="P132" s="16">
        <f t="shared" si="13"/>
        <v>0</v>
      </c>
      <c r="Q132" s="16">
        <f t="shared" si="6"/>
        <v>2041.7420417420415</v>
      </c>
      <c r="R132" s="118">
        <v>51</v>
      </c>
    </row>
    <row r="133" spans="1:70" s="22" customFormat="1" outlineLevel="1" x14ac:dyDescent="0.5">
      <c r="A133" s="133" t="s">
        <v>448</v>
      </c>
      <c r="B133" s="18">
        <v>7</v>
      </c>
      <c r="C133" s="19" t="s">
        <v>912</v>
      </c>
      <c r="D133" s="18"/>
      <c r="E133" s="46"/>
      <c r="F133" s="54"/>
      <c r="G133" s="20"/>
      <c r="H133" s="20"/>
      <c r="I133" s="20"/>
      <c r="J133" s="20"/>
      <c r="K133" s="92"/>
      <c r="L133" s="92"/>
      <c r="M133" s="21"/>
      <c r="N133" s="21"/>
      <c r="O133" s="21"/>
      <c r="P133" s="21"/>
      <c r="Q133" s="21"/>
      <c r="R133" s="120"/>
      <c r="Z133" s="3"/>
      <c r="AA133" s="3"/>
      <c r="AH133" s="3"/>
      <c r="AI133" s="3"/>
      <c r="BR133" s="83"/>
    </row>
    <row r="134" spans="1:70" outlineLevel="1" x14ac:dyDescent="0.5">
      <c r="A134" s="131" t="s">
        <v>448</v>
      </c>
      <c r="B134" s="14">
        <v>8</v>
      </c>
      <c r="C134" s="15" t="s">
        <v>49</v>
      </c>
      <c r="D134" s="44" t="str">
        <f>VLOOKUP(Estimate!$C134,Resources!$B$3:$G$336,4,FALSE)</f>
        <v xml:space="preserve">hr   </v>
      </c>
      <c r="E134" s="44" t="str">
        <f>VLOOKUP(Estimate!$C134,Resources!$B$3:$G$336,3,FALSE)</f>
        <v>P</v>
      </c>
      <c r="F134" s="52">
        <v>1</v>
      </c>
      <c r="G134" s="12">
        <v>1</v>
      </c>
      <c r="H134" s="12">
        <v>10</v>
      </c>
      <c r="I134" s="12">
        <f>VLOOKUP(C134,Resources!$B$3:$G$336,6,FALSE)</f>
        <v>95</v>
      </c>
      <c r="J134" s="12">
        <f>(H134/(G134/F134))*I134</f>
        <v>950</v>
      </c>
      <c r="K134" s="90">
        <f>L134*F134</f>
        <v>10</v>
      </c>
      <c r="L134" s="90">
        <f>H134/(G134*F134)</f>
        <v>10</v>
      </c>
      <c r="M134" s="16">
        <f>IF($E134="L",$J134,0)</f>
        <v>0</v>
      </c>
      <c r="N134" s="16">
        <f>IF($E134="M",$J134,0)</f>
        <v>0</v>
      </c>
      <c r="O134" s="16">
        <f>IF($E134="P",$J134,0)</f>
        <v>950</v>
      </c>
      <c r="P134" s="16">
        <f>IF($E134="S",$J134,0)</f>
        <v>0</v>
      </c>
      <c r="Q134" s="16">
        <f>SUM(M134:P134)</f>
        <v>950</v>
      </c>
      <c r="R134" s="118">
        <v>51</v>
      </c>
    </row>
    <row r="135" spans="1:70" outlineLevel="1" x14ac:dyDescent="0.5">
      <c r="A135" s="132" t="s">
        <v>448</v>
      </c>
      <c r="B135" s="1"/>
      <c r="C135" s="2"/>
      <c r="D135" s="1"/>
      <c r="E135" s="45"/>
      <c r="F135" s="53"/>
      <c r="G135" s="11"/>
      <c r="H135" s="11"/>
      <c r="I135" s="11"/>
      <c r="J135" s="11"/>
      <c r="K135" s="91"/>
      <c r="L135" s="91"/>
      <c r="M135" s="13"/>
      <c r="N135" s="13"/>
      <c r="O135" s="13"/>
      <c r="P135" s="13"/>
      <c r="Q135" s="13"/>
      <c r="R135" s="119"/>
    </row>
    <row r="136" spans="1:70" ht="31.5" x14ac:dyDescent="0.5">
      <c r="A136" s="130">
        <v>33</v>
      </c>
      <c r="B136" s="7" t="s">
        <v>99</v>
      </c>
      <c r="C136" s="7" t="s">
        <v>100</v>
      </c>
      <c r="D136" s="8" t="s">
        <v>88</v>
      </c>
      <c r="E136" s="43"/>
      <c r="F136" s="51"/>
      <c r="G136" s="9"/>
      <c r="H136" s="129">
        <f>VLOOKUP($A136,'Model Inputs'!$A:$D,4)</f>
        <v>4030</v>
      </c>
      <c r="I136" s="9">
        <f>J136/H136</f>
        <v>13.503738323465104</v>
      </c>
      <c r="J136" s="9">
        <f>SUBTOTAL(9,J138:J147)</f>
        <v>54420.065443564366</v>
      </c>
      <c r="K136" s="89"/>
      <c r="L136" s="89">
        <f>ROUNDUP(MAX(L138:L147)/workhrs,0)</f>
        <v>6</v>
      </c>
      <c r="M136" s="9">
        <f>SUBTOTAL(9,M138:M147)</f>
        <v>5168.4685394143262</v>
      </c>
      <c r="N136" s="9">
        <f>SUBTOTAL(9,N138:N147)</f>
        <v>0</v>
      </c>
      <c r="O136" s="9">
        <f>SUBTOTAL(9,O138:O147)</f>
        <v>49251.596904150043</v>
      </c>
      <c r="P136" s="9">
        <f>SUBTOTAL(9,P138:P147)</f>
        <v>0</v>
      </c>
      <c r="Q136" s="10">
        <f>SUM(M136:P136)</f>
        <v>54420.065443564366</v>
      </c>
      <c r="R136" s="117"/>
    </row>
    <row r="137" spans="1:70" outlineLevel="1" x14ac:dyDescent="0.5">
      <c r="A137" s="132" t="s">
        <v>448</v>
      </c>
      <c r="B137" s="1">
        <v>1</v>
      </c>
      <c r="C137" s="2" t="s">
        <v>911</v>
      </c>
      <c r="D137" s="1"/>
      <c r="E137" s="45"/>
      <c r="F137" s="53"/>
      <c r="G137" s="11"/>
      <c r="H137" s="11"/>
      <c r="I137" s="11"/>
      <c r="J137" s="11"/>
      <c r="K137" s="91"/>
      <c r="L137" s="91"/>
      <c r="M137" s="13"/>
      <c r="N137" s="13"/>
      <c r="O137" s="13"/>
      <c r="P137" s="13"/>
      <c r="Q137" s="13"/>
      <c r="R137" s="119"/>
    </row>
    <row r="138" spans="1:70" outlineLevel="1" x14ac:dyDescent="0.5">
      <c r="A138" s="131">
        <v>33.1</v>
      </c>
      <c r="B138" s="14">
        <v>2</v>
      </c>
      <c r="C138" s="15" t="s">
        <v>101</v>
      </c>
      <c r="D138" s="44" t="str">
        <f>VLOOKUP(Estimate!$C138,Resources!$B$3:$G$336,4,FALSE)</f>
        <v xml:space="preserve">hr   </v>
      </c>
      <c r="E138" s="44" t="str">
        <f>VLOOKUP(Estimate!$C138,Resources!$B$3:$G$336,3,FALSE)</f>
        <v>P</v>
      </c>
      <c r="F138" s="52">
        <v>1</v>
      </c>
      <c r="G138" s="129">
        <f>VLOOKUP($A138,'Model Inputs'!$A:$D,4)</f>
        <v>133.333</v>
      </c>
      <c r="H138" s="12">
        <f>H136</f>
        <v>4030</v>
      </c>
      <c r="I138" s="12">
        <f>VLOOKUP(C138,Resources!$B$3:$G$336,6,FALSE)</f>
        <v>185</v>
      </c>
      <c r="J138" s="12">
        <f>(H138/(G138/F138))*I138</f>
        <v>5591.6389790974481</v>
      </c>
      <c r="K138" s="90">
        <f>L138*F138</f>
        <v>30.225075562688907</v>
      </c>
      <c r="L138" s="90">
        <f>IF(E138="M"," ",H138/G138)</f>
        <v>30.225075562688907</v>
      </c>
      <c r="M138" s="16">
        <f>IF($E138="L",$J138,0)</f>
        <v>0</v>
      </c>
      <c r="N138" s="16">
        <f>IF($E138="M",$J138,0)</f>
        <v>0</v>
      </c>
      <c r="O138" s="16">
        <f>IF($E138="P",$J138,0)</f>
        <v>5591.6389790974481</v>
      </c>
      <c r="P138" s="16">
        <f>IF($E138="S",$J138,0)</f>
        <v>0</v>
      </c>
      <c r="Q138" s="16">
        <f>SUM(M138:P138)</f>
        <v>5591.6389790974481</v>
      </c>
      <c r="R138" s="118">
        <v>52</v>
      </c>
    </row>
    <row r="139" spans="1:70" outlineLevel="1" x14ac:dyDescent="0.5">
      <c r="A139" s="132" t="s">
        <v>448</v>
      </c>
      <c r="B139" s="1">
        <v>3</v>
      </c>
      <c r="C139" s="2" t="s">
        <v>655</v>
      </c>
      <c r="D139" s="1"/>
      <c r="E139" s="45"/>
      <c r="F139" s="53"/>
      <c r="G139" s="11"/>
      <c r="H139" s="11"/>
      <c r="I139" s="11"/>
      <c r="J139" s="11"/>
      <c r="K139" s="91"/>
      <c r="L139" s="91"/>
      <c r="M139" s="13"/>
      <c r="N139" s="13"/>
      <c r="O139" s="13"/>
      <c r="P139" s="13"/>
      <c r="Q139" s="13"/>
      <c r="R139" s="119"/>
    </row>
    <row r="140" spans="1:70" outlineLevel="1" x14ac:dyDescent="0.5">
      <c r="A140" s="131">
        <v>33.200000000000003</v>
      </c>
      <c r="B140" s="14">
        <v>4</v>
      </c>
      <c r="C140" s="15" t="s">
        <v>55</v>
      </c>
      <c r="D140" s="44" t="str">
        <f>VLOOKUP(Estimate!$C140,Resources!$B$3:$G$336,4,FALSE)</f>
        <v xml:space="preserve">hr   </v>
      </c>
      <c r="E140" s="44" t="str">
        <f>VLOOKUP(Estimate!$C140,Resources!$B$3:$G$336,3,FALSE)</f>
        <v>P</v>
      </c>
      <c r="F140" s="52">
        <v>1</v>
      </c>
      <c r="G140" s="129">
        <f>VLOOKUP($A140,'Model Inputs'!$A:$D,4)</f>
        <v>88.888999999999996</v>
      </c>
      <c r="H140" s="12">
        <f>H136</f>
        <v>4030</v>
      </c>
      <c r="I140" s="12">
        <f>VLOOKUP(C140,Resources!$B$3:$G$336,6,FALSE)</f>
        <v>135</v>
      </c>
      <c r="J140" s="12">
        <f>(H140/(G140/F140))*I140</f>
        <v>6120.554849306438</v>
      </c>
      <c r="K140" s="90">
        <f>L140*F140</f>
        <v>45.337443328195839</v>
      </c>
      <c r="L140" s="90">
        <f>IF(E140="M"," ",H140/G140)</f>
        <v>45.337443328195839</v>
      </c>
      <c r="M140" s="16">
        <f>IF($E140="L",$J140,0)</f>
        <v>0</v>
      </c>
      <c r="N140" s="16">
        <f>IF($E140="M",$J140,0)</f>
        <v>0</v>
      </c>
      <c r="O140" s="16">
        <f>IF($E140="P",$J140,0)</f>
        <v>6120.554849306438</v>
      </c>
      <c r="P140" s="16">
        <f>IF($E140="S",$J140,0)</f>
        <v>0</v>
      </c>
      <c r="Q140" s="16">
        <f>SUM(M140:P140)</f>
        <v>6120.554849306438</v>
      </c>
      <c r="R140" s="118">
        <v>52</v>
      </c>
    </row>
    <row r="141" spans="1:70" outlineLevel="1" x14ac:dyDescent="0.5">
      <c r="A141" s="131" t="s">
        <v>448</v>
      </c>
      <c r="B141" s="14">
        <v>5</v>
      </c>
      <c r="C141" s="15" t="s">
        <v>102</v>
      </c>
      <c r="D141" s="44" t="str">
        <f>VLOOKUP(Estimate!$C141,Resources!$B$3:$G$336,4,FALSE)</f>
        <v xml:space="preserve">hr   </v>
      </c>
      <c r="E141" s="44" t="str">
        <f>VLOOKUP(Estimate!$C141,Resources!$B$3:$G$336,3,FALSE)</f>
        <v>P</v>
      </c>
      <c r="F141" s="52">
        <v>3</v>
      </c>
      <c r="G141" s="12">
        <f>G140</f>
        <v>88.888999999999996</v>
      </c>
      <c r="H141" s="12">
        <f>H136</f>
        <v>4030</v>
      </c>
      <c r="I141" s="12">
        <f>VLOOKUP(C141,Resources!$B$3:$G$336,6,FALSE)</f>
        <v>145</v>
      </c>
      <c r="J141" s="12">
        <f>(H141/(G141/F141))*I141</f>
        <v>19721.78784776519</v>
      </c>
      <c r="K141" s="90">
        <f>L141*F141</f>
        <v>136.01232998458752</v>
      </c>
      <c r="L141" s="90">
        <f>IF(E141="M"," ",H141/G141)</f>
        <v>45.337443328195839</v>
      </c>
      <c r="M141" s="16">
        <f>IF($E141="L",$J141,0)</f>
        <v>0</v>
      </c>
      <c r="N141" s="16">
        <f>IF($E141="M",$J141,0)</f>
        <v>0</v>
      </c>
      <c r="O141" s="16">
        <f>IF($E141="P",$J141,0)</f>
        <v>19721.78784776519</v>
      </c>
      <c r="P141" s="16">
        <f>IF($E141="S",$J141,0)</f>
        <v>0</v>
      </c>
      <c r="Q141" s="16">
        <f>SUM(M141:P141)</f>
        <v>19721.78784776519</v>
      </c>
      <c r="R141" s="118">
        <v>52</v>
      </c>
    </row>
    <row r="142" spans="1:70" outlineLevel="1" x14ac:dyDescent="0.5">
      <c r="A142" s="132" t="s">
        <v>448</v>
      </c>
      <c r="B142" s="1">
        <v>6</v>
      </c>
      <c r="C142" s="2" t="s">
        <v>656</v>
      </c>
      <c r="D142" s="1"/>
      <c r="E142" s="45"/>
      <c r="F142" s="53"/>
      <c r="G142" s="11"/>
      <c r="H142" s="11"/>
      <c r="I142" s="11"/>
      <c r="J142" s="11"/>
      <c r="K142" s="91"/>
      <c r="L142" s="91"/>
      <c r="M142" s="13"/>
      <c r="N142" s="13"/>
      <c r="O142" s="13"/>
      <c r="P142" s="13"/>
      <c r="Q142" s="13"/>
      <c r="R142" s="119"/>
    </row>
    <row r="143" spans="1:70" outlineLevel="1" x14ac:dyDescent="0.5">
      <c r="A143" s="131" t="s">
        <v>448</v>
      </c>
      <c r="B143" s="14">
        <v>7</v>
      </c>
      <c r="C143" s="15" t="s">
        <v>96</v>
      </c>
      <c r="D143" s="44" t="str">
        <f>VLOOKUP(Estimate!$C143,Resources!$B$3:$G$336,4,FALSE)</f>
        <v xml:space="preserve">hr   </v>
      </c>
      <c r="E143" s="44" t="str">
        <f>VLOOKUP(Estimate!$C143,Resources!$B$3:$G$336,3,FALSE)</f>
        <v>P</v>
      </c>
      <c r="F143" s="52">
        <v>1</v>
      </c>
      <c r="G143" s="12">
        <f>G140</f>
        <v>88.888999999999996</v>
      </c>
      <c r="H143" s="12">
        <f>H136</f>
        <v>4030</v>
      </c>
      <c r="I143" s="12">
        <f>VLOOKUP(C143,Resources!$B$3:$G$336,6,FALSE)</f>
        <v>145</v>
      </c>
      <c r="J143" s="12">
        <f>(H143/(G143/F143))*I143</f>
        <v>6573.9292825883967</v>
      </c>
      <c r="K143" s="90">
        <f>L143*F143</f>
        <v>45.337443328195839</v>
      </c>
      <c r="L143" s="90">
        <f>IF(E143="M"," ",H143/G143)</f>
        <v>45.337443328195839</v>
      </c>
      <c r="M143" s="16">
        <f>IF($E143="L",$J143,0)</f>
        <v>0</v>
      </c>
      <c r="N143" s="16">
        <f>IF($E143="M",$J143,0)</f>
        <v>0</v>
      </c>
      <c r="O143" s="16">
        <f>IF($E143="P",$J143,0)</f>
        <v>6573.9292825883967</v>
      </c>
      <c r="P143" s="16">
        <f>IF($E143="S",$J143,0)</f>
        <v>0</v>
      </c>
      <c r="Q143" s="16">
        <f>SUM(M143:P143)</f>
        <v>6573.9292825883967</v>
      </c>
      <c r="R143" s="118">
        <v>52</v>
      </c>
    </row>
    <row r="144" spans="1:70" outlineLevel="1" x14ac:dyDescent="0.5">
      <c r="A144" s="131" t="s">
        <v>448</v>
      </c>
      <c r="B144" s="14">
        <v>8</v>
      </c>
      <c r="C144" s="15" t="s">
        <v>60</v>
      </c>
      <c r="D144" s="44" t="str">
        <f>VLOOKUP(Estimate!$C144,Resources!$B$3:$G$336,4,FALSE)</f>
        <v xml:space="preserve">hr   </v>
      </c>
      <c r="E144" s="44" t="str">
        <f>VLOOKUP(Estimate!$C144,Resources!$B$3:$G$336,3,FALSE)</f>
        <v>P</v>
      </c>
      <c r="F144" s="52">
        <v>1</v>
      </c>
      <c r="G144" s="12">
        <f>G140</f>
        <v>88.888999999999996</v>
      </c>
      <c r="H144" s="12">
        <f>H136</f>
        <v>4030</v>
      </c>
      <c r="I144" s="12">
        <f>VLOOKUP(C144,Resources!$B$3:$G$336,6,FALSE)</f>
        <v>95</v>
      </c>
      <c r="J144" s="12">
        <f>(H144/(G144/F144))*I144</f>
        <v>4307.0571161786047</v>
      </c>
      <c r="K144" s="90">
        <f>L144*F144</f>
        <v>45.337443328195839</v>
      </c>
      <c r="L144" s="90">
        <f>IF(E144="M"," ",H144/G144)</f>
        <v>45.337443328195839</v>
      </c>
      <c r="M144" s="16">
        <f>IF($E144="L",$J144,0)</f>
        <v>0</v>
      </c>
      <c r="N144" s="16">
        <f>IF($E144="M",$J144,0)</f>
        <v>0</v>
      </c>
      <c r="O144" s="16">
        <f>IF($E144="P",$J144,0)</f>
        <v>4307.0571161786047</v>
      </c>
      <c r="P144" s="16">
        <f>IF($E144="S",$J144,0)</f>
        <v>0</v>
      </c>
      <c r="Q144" s="16">
        <f>SUM(M144:P144)</f>
        <v>4307.0571161786047</v>
      </c>
      <c r="R144" s="118">
        <v>52</v>
      </c>
    </row>
    <row r="145" spans="1:18" outlineLevel="1" x14ac:dyDescent="0.5">
      <c r="A145" s="131" t="s">
        <v>448</v>
      </c>
      <c r="B145" s="14">
        <v>9</v>
      </c>
      <c r="C145" s="15" t="s">
        <v>830</v>
      </c>
      <c r="D145" s="44" t="str">
        <f>VLOOKUP(Estimate!$C145,Resources!$B$3:$G$336,4,FALSE)</f>
        <v xml:space="preserve">hr   </v>
      </c>
      <c r="E145" s="44" t="str">
        <f>VLOOKUP(Estimate!$C145,Resources!$B$3:$G$336,3,FALSE)</f>
        <v>P</v>
      </c>
      <c r="F145" s="52">
        <v>1</v>
      </c>
      <c r="G145" s="12">
        <f>G140</f>
        <v>88.888999999999996</v>
      </c>
      <c r="H145" s="12">
        <f>H136</f>
        <v>4030</v>
      </c>
      <c r="I145" s="12">
        <f>VLOOKUP(C145,Resources!$B$3:$G$336,6,FALSE)</f>
        <v>58</v>
      </c>
      <c r="J145" s="12">
        <f>(H145/(G145/F145))*I145</f>
        <v>2629.5717130353587</v>
      </c>
      <c r="K145" s="90">
        <f>L145*F145</f>
        <v>45.337443328195839</v>
      </c>
      <c r="L145" s="90">
        <f>IF(E145="M"," ",H145/G145)</f>
        <v>45.337443328195839</v>
      </c>
      <c r="M145" s="16">
        <f>IF($E145="L",$J145,0)</f>
        <v>0</v>
      </c>
      <c r="N145" s="16">
        <f>IF($E145="M",$J145,0)</f>
        <v>0</v>
      </c>
      <c r="O145" s="16">
        <f>IF($E145="P",$J145,0)</f>
        <v>2629.5717130353587</v>
      </c>
      <c r="P145" s="16">
        <f>IF($E145="S",$J145,0)</f>
        <v>0</v>
      </c>
      <c r="Q145" s="16">
        <f>SUM(M145:P145)</f>
        <v>2629.5717130353587</v>
      </c>
      <c r="R145" s="118">
        <v>52</v>
      </c>
    </row>
    <row r="146" spans="1:18" outlineLevel="1" x14ac:dyDescent="0.5">
      <c r="A146" s="131" t="s">
        <v>448</v>
      </c>
      <c r="B146" s="14">
        <v>10</v>
      </c>
      <c r="C146" s="15" t="s">
        <v>7</v>
      </c>
      <c r="D146" s="44" t="str">
        <f>VLOOKUP(Estimate!$C146,Resources!$B$3:$G$336,4,FALSE)</f>
        <v xml:space="preserve">hr   </v>
      </c>
      <c r="E146" s="44" t="str">
        <f>VLOOKUP(Estimate!$C146,Resources!$B$3:$G$336,3,FALSE)</f>
        <v>L</v>
      </c>
      <c r="F146" s="52">
        <v>3</v>
      </c>
      <c r="G146" s="12">
        <f>G140</f>
        <v>88.888999999999996</v>
      </c>
      <c r="H146" s="12">
        <f>H136</f>
        <v>4030</v>
      </c>
      <c r="I146" s="12">
        <f>VLOOKUP(C146,Resources!$B$3:$G$336,6,FALSE)</f>
        <v>38</v>
      </c>
      <c r="J146" s="12">
        <f>(H146/(G146/F146))*I146</f>
        <v>5168.4685394143262</v>
      </c>
      <c r="K146" s="90">
        <f>L146*F146</f>
        <v>136.01232998458752</v>
      </c>
      <c r="L146" s="90">
        <f>IF(E146="M"," ",H146/G146)</f>
        <v>45.337443328195839</v>
      </c>
      <c r="M146" s="16">
        <f>IF($E146="L",$J146,0)</f>
        <v>5168.4685394143262</v>
      </c>
      <c r="N146" s="16">
        <f>IF($E146="M",$J146,0)</f>
        <v>0</v>
      </c>
      <c r="O146" s="16">
        <f>IF($E146="P",$J146,0)</f>
        <v>0</v>
      </c>
      <c r="P146" s="16">
        <f>IF($E146="S",$J146,0)</f>
        <v>0</v>
      </c>
      <c r="Q146" s="16">
        <f>SUM(M146:P146)</f>
        <v>5168.4685394143262</v>
      </c>
      <c r="R146" s="118">
        <v>52</v>
      </c>
    </row>
    <row r="147" spans="1:18" outlineLevel="1" x14ac:dyDescent="0.5">
      <c r="A147" s="131" t="s">
        <v>448</v>
      </c>
      <c r="B147" s="14">
        <v>11</v>
      </c>
      <c r="C147" s="15" t="s">
        <v>49</v>
      </c>
      <c r="D147" s="44" t="str">
        <f>VLOOKUP(Estimate!$C147,Resources!$B$3:$G$336,4,FALSE)</f>
        <v xml:space="preserve">hr   </v>
      </c>
      <c r="E147" s="44" t="str">
        <f>VLOOKUP(Estimate!$C147,Resources!$B$3:$G$336,3,FALSE)</f>
        <v>P</v>
      </c>
      <c r="F147" s="52">
        <v>1</v>
      </c>
      <c r="G147" s="12">
        <f>G140</f>
        <v>88.888999999999996</v>
      </c>
      <c r="H147" s="12">
        <f>H136</f>
        <v>4030</v>
      </c>
      <c r="I147" s="12">
        <f>VLOOKUP(C147,Resources!$B$3:$G$336,6,FALSE)</f>
        <v>95</v>
      </c>
      <c r="J147" s="12">
        <f>(H147/(G147/F147))*I147</f>
        <v>4307.0571161786047</v>
      </c>
      <c r="K147" s="90">
        <f>L147*F147</f>
        <v>45.337443328195839</v>
      </c>
      <c r="L147" s="90">
        <f>IF(E147="M"," ",H147/G147)</f>
        <v>45.337443328195839</v>
      </c>
      <c r="M147" s="16">
        <f>IF($E147="L",$J147,0)</f>
        <v>0</v>
      </c>
      <c r="N147" s="16">
        <f>IF($E147="M",$J147,0)</f>
        <v>0</v>
      </c>
      <c r="O147" s="16">
        <f>IF($E147="P",$J147,0)</f>
        <v>4307.0571161786047</v>
      </c>
      <c r="P147" s="16">
        <f>IF($E147="S",$J147,0)</f>
        <v>0</v>
      </c>
      <c r="Q147" s="16">
        <f>SUM(M147:P147)</f>
        <v>4307.0571161786047</v>
      </c>
      <c r="R147" s="118">
        <v>52</v>
      </c>
    </row>
    <row r="148" spans="1:18" outlineLevel="1" x14ac:dyDescent="0.5">
      <c r="A148" s="132" t="s">
        <v>448</v>
      </c>
      <c r="B148" s="1"/>
      <c r="C148" s="2"/>
      <c r="D148" s="1"/>
      <c r="E148" s="45"/>
      <c r="F148" s="53"/>
      <c r="G148" s="11"/>
      <c r="H148" s="11"/>
      <c r="I148" s="11"/>
      <c r="J148" s="11"/>
      <c r="K148" s="91"/>
      <c r="L148" s="91"/>
      <c r="M148" s="13"/>
      <c r="N148" s="13"/>
      <c r="O148" s="13"/>
      <c r="P148" s="13"/>
      <c r="Q148" s="13"/>
      <c r="R148" s="119"/>
    </row>
    <row r="149" spans="1:18" ht="21" x14ac:dyDescent="0.5">
      <c r="A149" s="130">
        <v>34</v>
      </c>
      <c r="B149" s="7" t="s">
        <v>103</v>
      </c>
      <c r="C149" s="7" t="s">
        <v>104</v>
      </c>
      <c r="D149" s="8" t="s">
        <v>54</v>
      </c>
      <c r="E149" s="43"/>
      <c r="F149" s="51"/>
      <c r="G149" s="9"/>
      <c r="H149" s="129">
        <f>VLOOKUP($A149,'Model Inputs'!$A:$D,4)</f>
        <v>100</v>
      </c>
      <c r="I149" s="9">
        <f>J149/H149</f>
        <v>17.433333333333334</v>
      </c>
      <c r="J149" s="9">
        <f>SUBTOTAL(9,J150:J153)</f>
        <v>1743.3333333333335</v>
      </c>
      <c r="K149" s="89"/>
      <c r="L149" s="89">
        <f>ROUNDUP(MAX(L150:L153)/workhrs,0)</f>
        <v>1</v>
      </c>
      <c r="M149" s="9">
        <f>SUBTOTAL(9,M150:M153)</f>
        <v>126.66666666666667</v>
      </c>
      <c r="N149" s="9">
        <f>SUBTOTAL(9,N150:N153)</f>
        <v>0</v>
      </c>
      <c r="O149" s="9">
        <f>SUBTOTAL(9,O150:O153)</f>
        <v>1616.6666666666667</v>
      </c>
      <c r="P149" s="9">
        <f>SUBTOTAL(9,P150:P153)</f>
        <v>0</v>
      </c>
      <c r="Q149" s="10">
        <f>SUM(M149:P149)</f>
        <v>1743.3333333333335</v>
      </c>
      <c r="R149" s="117"/>
    </row>
    <row r="150" spans="1:18" outlineLevel="1" x14ac:dyDescent="0.5">
      <c r="A150" s="131">
        <v>34.1</v>
      </c>
      <c r="B150" s="14">
        <v>1</v>
      </c>
      <c r="C150" s="15" t="s">
        <v>55</v>
      </c>
      <c r="D150" s="44" t="str">
        <f>VLOOKUP(Estimate!$C150,Resources!$B$3:$G$336,4,FALSE)</f>
        <v xml:space="preserve">hr   </v>
      </c>
      <c r="E150" s="44" t="str">
        <f>VLOOKUP(Estimate!$C150,Resources!$B$3:$G$336,3,FALSE)</f>
        <v>P</v>
      </c>
      <c r="F150" s="52">
        <v>1</v>
      </c>
      <c r="G150" s="129">
        <f>VLOOKUP($A150,'Model Inputs'!$A:$D,4)</f>
        <v>30</v>
      </c>
      <c r="H150" s="12">
        <f>H149</f>
        <v>100</v>
      </c>
      <c r="I150" s="12">
        <f>VLOOKUP(C150,Resources!$B$3:$G$336,6,FALSE)</f>
        <v>135</v>
      </c>
      <c r="J150" s="12">
        <f>(H150/(G150/F150))*I150</f>
        <v>450</v>
      </c>
      <c r="K150" s="90">
        <f>L150*F150</f>
        <v>3.3333333333333335</v>
      </c>
      <c r="L150" s="90">
        <f>IF(E150="M"," ",H150/G150)</f>
        <v>3.3333333333333335</v>
      </c>
      <c r="M150" s="16">
        <f>IF($E150="L",$J150,0)</f>
        <v>0</v>
      </c>
      <c r="N150" s="16">
        <f>IF($E150="M",$J150,0)</f>
        <v>0</v>
      </c>
      <c r="O150" s="16">
        <f>IF($E150="P",$J150,0)</f>
        <v>450</v>
      </c>
      <c r="P150" s="16">
        <f>IF($E150="S",$J150,0)</f>
        <v>0</v>
      </c>
      <c r="Q150" s="16">
        <f>SUM(M150:P150)</f>
        <v>450</v>
      </c>
      <c r="R150" s="118">
        <v>53</v>
      </c>
    </row>
    <row r="151" spans="1:18" outlineLevel="1" x14ac:dyDescent="0.5">
      <c r="A151" s="131" t="s">
        <v>448</v>
      </c>
      <c r="B151" s="14">
        <v>2</v>
      </c>
      <c r="C151" s="15" t="s">
        <v>66</v>
      </c>
      <c r="D151" s="44" t="str">
        <f>VLOOKUP(Estimate!$C151,Resources!$B$3:$G$336,4,FALSE)</f>
        <v xml:space="preserve">hr   </v>
      </c>
      <c r="E151" s="44" t="str">
        <f>VLOOKUP(Estimate!$C151,Resources!$B$3:$G$336,3,FALSE)</f>
        <v>P</v>
      </c>
      <c r="F151" s="52">
        <v>3</v>
      </c>
      <c r="G151" s="12">
        <f>G150</f>
        <v>30</v>
      </c>
      <c r="H151" s="12">
        <f>H149</f>
        <v>100</v>
      </c>
      <c r="I151" s="12">
        <f>VLOOKUP(C151,Resources!$B$3:$G$336,6,FALSE)</f>
        <v>85</v>
      </c>
      <c r="J151" s="12">
        <f>(H151/(G151/F151))*I151</f>
        <v>850</v>
      </c>
      <c r="K151" s="90">
        <f>L151*F151</f>
        <v>10</v>
      </c>
      <c r="L151" s="90">
        <f>IF(E151="M"," ",H151/G151)</f>
        <v>3.3333333333333335</v>
      </c>
      <c r="M151" s="16">
        <f>IF($E151="L",$J151,0)</f>
        <v>0</v>
      </c>
      <c r="N151" s="16">
        <f>IF($E151="M",$J151,0)</f>
        <v>0</v>
      </c>
      <c r="O151" s="16">
        <f>IF($E151="P",$J151,0)</f>
        <v>850</v>
      </c>
      <c r="P151" s="16">
        <f>IF($E151="S",$J151,0)</f>
        <v>0</v>
      </c>
      <c r="Q151" s="16">
        <f>SUM(M151:P151)</f>
        <v>850</v>
      </c>
      <c r="R151" s="118">
        <v>53</v>
      </c>
    </row>
    <row r="152" spans="1:18" outlineLevel="1" x14ac:dyDescent="0.5">
      <c r="A152" s="131" t="s">
        <v>448</v>
      </c>
      <c r="B152" s="14">
        <v>3</v>
      </c>
      <c r="C152" s="15" t="s">
        <v>60</v>
      </c>
      <c r="D152" s="44" t="str">
        <f>VLOOKUP(Estimate!$C152,Resources!$B$3:$G$336,4,FALSE)</f>
        <v xml:space="preserve">hr   </v>
      </c>
      <c r="E152" s="44" t="str">
        <f>VLOOKUP(Estimate!$C152,Resources!$B$3:$G$336,3,FALSE)</f>
        <v>P</v>
      </c>
      <c r="F152" s="52">
        <v>1</v>
      </c>
      <c r="G152" s="12">
        <f>G150</f>
        <v>30</v>
      </c>
      <c r="H152" s="12">
        <f>H149</f>
        <v>100</v>
      </c>
      <c r="I152" s="12">
        <f>VLOOKUP(C152,Resources!$B$3:$G$336,6,FALSE)</f>
        <v>95</v>
      </c>
      <c r="J152" s="12">
        <f>(H152/(G152/F152))*I152</f>
        <v>316.66666666666669</v>
      </c>
      <c r="K152" s="90">
        <f>L152*F152</f>
        <v>3.3333333333333335</v>
      </c>
      <c r="L152" s="90">
        <f>IF(E152="M"," ",H152/G152)</f>
        <v>3.3333333333333335</v>
      </c>
      <c r="M152" s="16">
        <f>IF($E152="L",$J152,0)</f>
        <v>0</v>
      </c>
      <c r="N152" s="16">
        <f>IF($E152="M",$J152,0)</f>
        <v>0</v>
      </c>
      <c r="O152" s="16">
        <f>IF($E152="P",$J152,0)</f>
        <v>316.66666666666669</v>
      </c>
      <c r="P152" s="16">
        <f>IF($E152="S",$J152,0)</f>
        <v>0</v>
      </c>
      <c r="Q152" s="16">
        <f>SUM(M152:P152)</f>
        <v>316.66666666666669</v>
      </c>
      <c r="R152" s="118">
        <v>53</v>
      </c>
    </row>
    <row r="153" spans="1:18" outlineLevel="1" x14ac:dyDescent="0.5">
      <c r="A153" s="131" t="s">
        <v>448</v>
      </c>
      <c r="B153" s="14">
        <v>4</v>
      </c>
      <c r="C153" s="15" t="s">
        <v>7</v>
      </c>
      <c r="D153" s="44" t="str">
        <f>VLOOKUP(Estimate!$C153,Resources!$B$3:$G$336,4,FALSE)</f>
        <v xml:space="preserve">hr   </v>
      </c>
      <c r="E153" s="44" t="str">
        <f>VLOOKUP(Estimate!$C153,Resources!$B$3:$G$336,3,FALSE)</f>
        <v>L</v>
      </c>
      <c r="F153" s="52">
        <v>1</v>
      </c>
      <c r="G153" s="12">
        <f>G150</f>
        <v>30</v>
      </c>
      <c r="H153" s="12">
        <f>H149</f>
        <v>100</v>
      </c>
      <c r="I153" s="12">
        <f>VLOOKUP(C153,Resources!$B$3:$G$336,6,FALSE)</f>
        <v>38</v>
      </c>
      <c r="J153" s="12">
        <f>(H153/(G153/F153))*I153</f>
        <v>126.66666666666667</v>
      </c>
      <c r="K153" s="90">
        <f>L153*F153</f>
        <v>3.3333333333333335</v>
      </c>
      <c r="L153" s="90">
        <f>IF(E153="M"," ",H153/G153)</f>
        <v>3.3333333333333335</v>
      </c>
      <c r="M153" s="16">
        <f>IF($E153="L",$J153,0)</f>
        <v>126.66666666666667</v>
      </c>
      <c r="N153" s="16">
        <f>IF($E153="M",$J153,0)</f>
        <v>0</v>
      </c>
      <c r="O153" s="16">
        <f>IF($E153="P",$J153,0)</f>
        <v>0</v>
      </c>
      <c r="P153" s="16">
        <f>IF($E153="S",$J153,0)</f>
        <v>0</v>
      </c>
      <c r="Q153" s="16">
        <f>SUM(M153:P153)</f>
        <v>126.66666666666667</v>
      </c>
      <c r="R153" s="118">
        <v>53</v>
      </c>
    </row>
    <row r="154" spans="1:18" outlineLevel="1" x14ac:dyDescent="0.5">
      <c r="A154" s="132" t="s">
        <v>448</v>
      </c>
      <c r="B154" s="1"/>
      <c r="C154" s="2"/>
      <c r="D154" s="1"/>
      <c r="E154" s="45"/>
      <c r="F154" s="53"/>
      <c r="G154" s="11"/>
      <c r="H154" s="11"/>
      <c r="I154" s="11"/>
      <c r="J154" s="11"/>
      <c r="K154" s="91"/>
      <c r="L154" s="91"/>
      <c r="M154" s="13"/>
      <c r="N154" s="13"/>
      <c r="O154" s="13"/>
      <c r="P154" s="13"/>
      <c r="Q154" s="13"/>
      <c r="R154" s="119"/>
    </row>
    <row r="155" spans="1:18" ht="21" x14ac:dyDescent="0.5">
      <c r="A155" s="130">
        <v>35</v>
      </c>
      <c r="B155" s="7" t="s">
        <v>105</v>
      </c>
      <c r="C155" s="7" t="s">
        <v>934</v>
      </c>
      <c r="D155" s="8"/>
      <c r="E155" s="43"/>
      <c r="F155" s="51"/>
      <c r="G155" s="9"/>
      <c r="H155" s="129">
        <f>VLOOKUP($A155,'Model Inputs'!$A:$D,4)</f>
        <v>150</v>
      </c>
      <c r="I155" s="9">
        <f>J155/H155</f>
        <v>51.131159905323031</v>
      </c>
      <c r="J155" s="9">
        <f>SUBTOTAL(9,J157:J172)</f>
        <v>7669.6739857984549</v>
      </c>
      <c r="K155" s="89"/>
      <c r="L155" s="89">
        <f>ROUNDUP(MAX(L157:L172)/workhrs,0)</f>
        <v>1</v>
      </c>
      <c r="M155" s="9">
        <f>SUBTOTAL(9,M157:M172)</f>
        <v>703.00513005130063</v>
      </c>
      <c r="N155" s="9">
        <f>SUBTOTAL(9,N157:N172)</f>
        <v>0</v>
      </c>
      <c r="O155" s="9">
        <f>SUBTOTAL(9,O157:O172)</f>
        <v>6966.6688557471543</v>
      </c>
      <c r="P155" s="9">
        <f>SUBTOTAL(9,P157:P172)</f>
        <v>0</v>
      </c>
      <c r="Q155" s="10">
        <f>SUM(M155:P155)</f>
        <v>7669.6739857984549</v>
      </c>
      <c r="R155" s="117"/>
    </row>
    <row r="156" spans="1:18" outlineLevel="1" x14ac:dyDescent="0.5">
      <c r="A156" s="132" t="s">
        <v>448</v>
      </c>
      <c r="B156" s="1">
        <v>1</v>
      </c>
      <c r="C156" s="2" t="s">
        <v>913</v>
      </c>
      <c r="D156" s="1"/>
      <c r="E156" s="45"/>
      <c r="F156" s="53"/>
      <c r="G156" s="11"/>
      <c r="H156" s="11"/>
      <c r="I156" s="11"/>
      <c r="J156" s="11"/>
      <c r="K156" s="91"/>
      <c r="L156" s="91"/>
      <c r="M156" s="13"/>
      <c r="N156" s="13"/>
      <c r="O156" s="13"/>
      <c r="P156" s="13"/>
      <c r="Q156" s="13"/>
      <c r="R156" s="119"/>
    </row>
    <row r="157" spans="1:18" outlineLevel="1" x14ac:dyDescent="0.5">
      <c r="A157" s="131">
        <v>35.1</v>
      </c>
      <c r="B157" s="14">
        <v>2</v>
      </c>
      <c r="C157" s="15" t="s">
        <v>55</v>
      </c>
      <c r="D157" s="44" t="str">
        <f>VLOOKUP(Estimate!$C157,Resources!$B$3:$G$336,4,FALSE)</f>
        <v xml:space="preserve">hr   </v>
      </c>
      <c r="E157" s="44" t="str">
        <f>VLOOKUP(Estimate!$C157,Resources!$B$3:$G$336,3,FALSE)</f>
        <v>P</v>
      </c>
      <c r="F157" s="52">
        <v>1</v>
      </c>
      <c r="G157" s="129">
        <f>VLOOKUP($A157,'Model Inputs'!$A:$D,4)</f>
        <v>30</v>
      </c>
      <c r="H157" s="12">
        <f>H155</f>
        <v>150</v>
      </c>
      <c r="I157" s="12">
        <f>VLOOKUP(C157,Resources!$B$3:$G$336,6,FALSE)</f>
        <v>135</v>
      </c>
      <c r="J157" s="12">
        <f>(H157/(G157/F157))*I157</f>
        <v>675</v>
      </c>
      <c r="K157" s="90">
        <f>L157*F157</f>
        <v>5</v>
      </c>
      <c r="L157" s="90">
        <f>IF(E157="M"," ",H157/G157)</f>
        <v>5</v>
      </c>
      <c r="M157" s="16">
        <f>IF($E157="L",$J157,0)</f>
        <v>0</v>
      </c>
      <c r="N157" s="16">
        <f>IF($E157="M",$J157,0)</f>
        <v>0</v>
      </c>
      <c r="O157" s="16">
        <f>IF($E157="P",$J157,0)</f>
        <v>675</v>
      </c>
      <c r="P157" s="16">
        <f>IF($E157="S",$J157,0)</f>
        <v>0</v>
      </c>
      <c r="Q157" s="16">
        <f>SUM(M157:P157)</f>
        <v>675</v>
      </c>
      <c r="R157" s="118">
        <v>57</v>
      </c>
    </row>
    <row r="158" spans="1:18" outlineLevel="1" x14ac:dyDescent="0.5">
      <c r="A158" s="131" t="s">
        <v>448</v>
      </c>
      <c r="B158" s="14">
        <v>3</v>
      </c>
      <c r="C158" s="15" t="s">
        <v>66</v>
      </c>
      <c r="D158" s="44" t="str">
        <f>VLOOKUP(Estimate!$C158,Resources!$B$3:$G$336,4,FALSE)</f>
        <v xml:space="preserve">hr   </v>
      </c>
      <c r="E158" s="44" t="str">
        <f>VLOOKUP(Estimate!$C158,Resources!$B$3:$G$336,3,FALSE)</f>
        <v>P</v>
      </c>
      <c r="F158" s="52">
        <v>3</v>
      </c>
      <c r="G158" s="12">
        <f>G157</f>
        <v>30</v>
      </c>
      <c r="H158" s="12">
        <f>H155</f>
        <v>150</v>
      </c>
      <c r="I158" s="12">
        <f>VLOOKUP(C158,Resources!$B$3:$G$336,6,FALSE)</f>
        <v>85</v>
      </c>
      <c r="J158" s="12">
        <f>(H158/(G158/F158))*I158</f>
        <v>1275</v>
      </c>
      <c r="K158" s="90">
        <f>L158*F158</f>
        <v>15</v>
      </c>
      <c r="L158" s="90">
        <f>IF(E158="M"," ",H158/G158)</f>
        <v>5</v>
      </c>
      <c r="M158" s="16">
        <f>IF($E158="L",$J158,0)</f>
        <v>0</v>
      </c>
      <c r="N158" s="16">
        <f>IF($E158="M",$J158,0)</f>
        <v>0</v>
      </c>
      <c r="O158" s="16">
        <f>IF($E158="P",$J158,0)</f>
        <v>1275</v>
      </c>
      <c r="P158" s="16">
        <f>IF($E158="S",$J158,0)</f>
        <v>0</v>
      </c>
      <c r="Q158" s="16">
        <f>SUM(M158:P158)</f>
        <v>1275</v>
      </c>
      <c r="R158" s="118">
        <v>57</v>
      </c>
    </row>
    <row r="159" spans="1:18" outlineLevel="1" x14ac:dyDescent="0.5">
      <c r="A159" s="131" t="s">
        <v>448</v>
      </c>
      <c r="B159" s="14">
        <v>4</v>
      </c>
      <c r="C159" s="15" t="s">
        <v>60</v>
      </c>
      <c r="D159" s="44" t="str">
        <f>VLOOKUP(Estimate!$C159,Resources!$B$3:$G$336,4,FALSE)</f>
        <v xml:space="preserve">hr   </v>
      </c>
      <c r="E159" s="44" t="str">
        <f>VLOOKUP(Estimate!$C159,Resources!$B$3:$G$336,3,FALSE)</f>
        <v>P</v>
      </c>
      <c r="F159" s="52">
        <v>1</v>
      </c>
      <c r="G159" s="12">
        <f>G157</f>
        <v>30</v>
      </c>
      <c r="H159" s="12">
        <f>H155</f>
        <v>150</v>
      </c>
      <c r="I159" s="12">
        <f>VLOOKUP(C159,Resources!$B$3:$G$336,6,FALSE)</f>
        <v>95</v>
      </c>
      <c r="J159" s="12">
        <f>(H159/(G159/F159))*I159</f>
        <v>475</v>
      </c>
      <c r="K159" s="90">
        <f>L159*F159</f>
        <v>5</v>
      </c>
      <c r="L159" s="90">
        <f>IF(E159="M"," ",H159/G159)</f>
        <v>5</v>
      </c>
      <c r="M159" s="16">
        <f>IF($E159="L",$J159,0)</f>
        <v>0</v>
      </c>
      <c r="N159" s="16">
        <f>IF($E159="M",$J159,0)</f>
        <v>0</v>
      </c>
      <c r="O159" s="16">
        <f>IF($E159="P",$J159,0)</f>
        <v>475</v>
      </c>
      <c r="P159" s="16">
        <f>IF($E159="S",$J159,0)</f>
        <v>0</v>
      </c>
      <c r="Q159" s="16">
        <f>SUM(M159:P159)</f>
        <v>475</v>
      </c>
      <c r="R159" s="118">
        <v>57</v>
      </c>
    </row>
    <row r="160" spans="1:18" outlineLevel="1" x14ac:dyDescent="0.5">
      <c r="A160" s="131" t="s">
        <v>448</v>
      </c>
      <c r="B160" s="14">
        <v>5</v>
      </c>
      <c r="C160" s="15" t="s">
        <v>7</v>
      </c>
      <c r="D160" s="44" t="str">
        <f>VLOOKUP(Estimate!$C160,Resources!$B$3:$G$336,4,FALSE)</f>
        <v xml:space="preserve">hr   </v>
      </c>
      <c r="E160" s="44" t="str">
        <f>VLOOKUP(Estimate!$C160,Resources!$B$3:$G$336,3,FALSE)</f>
        <v>L</v>
      </c>
      <c r="F160" s="52">
        <v>1</v>
      </c>
      <c r="G160" s="12">
        <f>G157</f>
        <v>30</v>
      </c>
      <c r="H160" s="12">
        <f>H155</f>
        <v>150</v>
      </c>
      <c r="I160" s="12">
        <f>VLOOKUP(C160,Resources!$B$3:$G$336,6,FALSE)</f>
        <v>38</v>
      </c>
      <c r="J160" s="12">
        <f>(H160/(G160/F160))*I160</f>
        <v>190</v>
      </c>
      <c r="K160" s="90">
        <f>L160*F160</f>
        <v>5</v>
      </c>
      <c r="L160" s="90">
        <f>IF(E160="M"," ",H160/G160)</f>
        <v>5</v>
      </c>
      <c r="M160" s="16">
        <f>IF($E160="L",$J160,0)</f>
        <v>190</v>
      </c>
      <c r="N160" s="16">
        <f>IF($E160="M",$J160,0)</f>
        <v>0</v>
      </c>
      <c r="O160" s="16">
        <f>IF($E160="P",$J160,0)</f>
        <v>0</v>
      </c>
      <c r="P160" s="16">
        <f>IF($E160="S",$J160,0)</f>
        <v>0</v>
      </c>
      <c r="Q160" s="16">
        <f>SUM(M160:P160)</f>
        <v>190</v>
      </c>
      <c r="R160" s="118">
        <v>57</v>
      </c>
    </row>
    <row r="161" spans="1:18" outlineLevel="1" x14ac:dyDescent="0.5">
      <c r="A161" s="132" t="s">
        <v>448</v>
      </c>
      <c r="B161" s="1">
        <v>6</v>
      </c>
      <c r="C161" s="2" t="s">
        <v>914</v>
      </c>
      <c r="D161" s="1"/>
      <c r="E161" s="45"/>
      <c r="F161" s="53"/>
      <c r="G161" s="11"/>
      <c r="H161" s="11"/>
      <c r="I161" s="11"/>
      <c r="J161" s="11"/>
      <c r="K161" s="91"/>
      <c r="L161" s="91"/>
      <c r="M161" s="13"/>
      <c r="N161" s="13"/>
      <c r="O161" s="13"/>
      <c r="P161" s="13"/>
      <c r="Q161" s="13"/>
      <c r="R161" s="119"/>
    </row>
    <row r="162" spans="1:18" outlineLevel="1" x14ac:dyDescent="0.5">
      <c r="A162" s="132" t="s">
        <v>448</v>
      </c>
      <c r="B162" s="1">
        <v>7</v>
      </c>
      <c r="C162" s="2" t="s">
        <v>915</v>
      </c>
      <c r="D162" s="1"/>
      <c r="E162" s="45"/>
      <c r="F162" s="53"/>
      <c r="G162" s="11"/>
      <c r="H162" s="11"/>
      <c r="I162" s="11"/>
      <c r="J162" s="11"/>
      <c r="K162" s="91"/>
      <c r="L162" s="91"/>
      <c r="M162" s="13"/>
      <c r="N162" s="13"/>
      <c r="O162" s="13"/>
      <c r="P162" s="13"/>
      <c r="Q162" s="13"/>
      <c r="R162" s="119"/>
    </row>
    <row r="163" spans="1:18" outlineLevel="1" x14ac:dyDescent="0.5">
      <c r="A163" s="131" t="s">
        <v>448</v>
      </c>
      <c r="B163" s="14">
        <v>8</v>
      </c>
      <c r="C163" s="15" t="s">
        <v>101</v>
      </c>
      <c r="D163" s="44" t="str">
        <f>VLOOKUP(Estimate!$C163,Resources!$B$3:$G$336,4,FALSE)</f>
        <v xml:space="preserve">hr   </v>
      </c>
      <c r="E163" s="44" t="str">
        <f>VLOOKUP(Estimate!$C163,Resources!$B$3:$G$336,3,FALSE)</f>
        <v>P</v>
      </c>
      <c r="F163" s="52">
        <v>1</v>
      </c>
      <c r="G163" s="12">
        <v>133.333</v>
      </c>
      <c r="H163" s="12">
        <f>H155</f>
        <v>150</v>
      </c>
      <c r="I163" s="12">
        <f>VLOOKUP(C163,Resources!$B$3:$G$336,6,FALSE)</f>
        <v>185</v>
      </c>
      <c r="J163" s="12">
        <f>(H163/(G163/F163))*I163</f>
        <v>208.12552031380079</v>
      </c>
      <c r="K163" s="90">
        <f>L163*F163</f>
        <v>1.1250028125070313</v>
      </c>
      <c r="L163" s="90">
        <f>IF(E163="M"," ",H163/G163)</f>
        <v>1.1250028125070313</v>
      </c>
      <c r="M163" s="16">
        <f>IF($E163="L",$J163,0)</f>
        <v>0</v>
      </c>
      <c r="N163" s="16">
        <f>IF($E163="M",$J163,0)</f>
        <v>0</v>
      </c>
      <c r="O163" s="16">
        <f>IF($E163="P",$J163,0)</f>
        <v>208.12552031380079</v>
      </c>
      <c r="P163" s="16">
        <f>IF($E163="S",$J163,0)</f>
        <v>0</v>
      </c>
      <c r="Q163" s="16">
        <f>SUM(M163:P163)</f>
        <v>208.12552031380079</v>
      </c>
      <c r="R163" s="118">
        <v>57</v>
      </c>
    </row>
    <row r="164" spans="1:18" outlineLevel="1" x14ac:dyDescent="0.5">
      <c r="A164" s="132" t="s">
        <v>448</v>
      </c>
      <c r="B164" s="1">
        <v>9</v>
      </c>
      <c r="C164" s="2" t="s">
        <v>655</v>
      </c>
      <c r="D164" s="1"/>
      <c r="E164" s="45"/>
      <c r="F164" s="53"/>
      <c r="G164" s="11"/>
      <c r="H164" s="11"/>
      <c r="I164" s="11"/>
      <c r="J164" s="11"/>
      <c r="K164" s="91"/>
      <c r="L164" s="91"/>
      <c r="M164" s="13"/>
      <c r="N164" s="13"/>
      <c r="O164" s="13"/>
      <c r="P164" s="13"/>
      <c r="Q164" s="13"/>
      <c r="R164" s="119"/>
    </row>
    <row r="165" spans="1:18" outlineLevel="1" x14ac:dyDescent="0.5">
      <c r="A165" s="131">
        <v>35.200000000000003</v>
      </c>
      <c r="B165" s="14">
        <v>10</v>
      </c>
      <c r="C165" s="15" t="s">
        <v>55</v>
      </c>
      <c r="D165" s="44" t="str">
        <f>VLOOKUP(Estimate!$C165,Resources!$B$3:$G$336,4,FALSE)</f>
        <v xml:space="preserve">hr   </v>
      </c>
      <c r="E165" s="44" t="str">
        <f>VLOOKUP(Estimate!$C165,Resources!$B$3:$G$336,3,FALSE)</f>
        <v>P</v>
      </c>
      <c r="F165" s="52">
        <v>1</v>
      </c>
      <c r="G165" s="129">
        <f>VLOOKUP($A165,'Model Inputs'!$A:$D,4)</f>
        <v>33.332999999999998</v>
      </c>
      <c r="H165" s="12">
        <f>H155</f>
        <v>150</v>
      </c>
      <c r="I165" s="12">
        <f>VLOOKUP(C165,Resources!$B$3:$G$336,6,FALSE)</f>
        <v>135</v>
      </c>
      <c r="J165" s="12">
        <f>(H165/(G165/F165))*I165</f>
        <v>607.50607506075062</v>
      </c>
      <c r="K165" s="90">
        <f>L165*F165</f>
        <v>4.5000450004500046</v>
      </c>
      <c r="L165" s="90">
        <f>IF(E165="M"," ",H165/G165)</f>
        <v>4.5000450004500046</v>
      </c>
      <c r="M165" s="16">
        <f>IF($E165="L",$J165,0)</f>
        <v>0</v>
      </c>
      <c r="N165" s="16">
        <f>IF($E165="M",$J165,0)</f>
        <v>0</v>
      </c>
      <c r="O165" s="16">
        <f>IF($E165="P",$J165,0)</f>
        <v>607.50607506075062</v>
      </c>
      <c r="P165" s="16">
        <f>IF($E165="S",$J165,0)</f>
        <v>0</v>
      </c>
      <c r="Q165" s="16">
        <f>SUM(M165:P165)</f>
        <v>607.50607506075062</v>
      </c>
      <c r="R165" s="118">
        <v>57</v>
      </c>
    </row>
    <row r="166" spans="1:18" outlineLevel="1" x14ac:dyDescent="0.5">
      <c r="A166" s="131" t="s">
        <v>448</v>
      </c>
      <c r="B166" s="14">
        <v>11</v>
      </c>
      <c r="C166" s="15" t="s">
        <v>102</v>
      </c>
      <c r="D166" s="44" t="str">
        <f>VLOOKUP(Estimate!$C166,Resources!$B$3:$G$336,4,FALSE)</f>
        <v xml:space="preserve">hr   </v>
      </c>
      <c r="E166" s="44" t="str">
        <f>VLOOKUP(Estimate!$C166,Resources!$B$3:$G$336,3,FALSE)</f>
        <v>P</v>
      </c>
      <c r="F166" s="52">
        <v>3</v>
      </c>
      <c r="G166" s="12">
        <f>G165</f>
        <v>33.332999999999998</v>
      </c>
      <c r="H166" s="12">
        <f>H155</f>
        <v>150</v>
      </c>
      <c r="I166" s="12">
        <f>VLOOKUP(C166,Resources!$B$3:$G$336,6,FALSE)</f>
        <v>145</v>
      </c>
      <c r="J166" s="12">
        <f>(H166/(G166/F166))*I166</f>
        <v>1957.5195751957522</v>
      </c>
      <c r="K166" s="90">
        <f>L166*F166</f>
        <v>13.500135001350014</v>
      </c>
      <c r="L166" s="90">
        <f>IF(E166="M"," ",H166/G166)</f>
        <v>4.5000450004500046</v>
      </c>
      <c r="M166" s="16">
        <f>IF($E166="L",$J166,0)</f>
        <v>0</v>
      </c>
      <c r="N166" s="16">
        <f>IF($E166="M",$J166,0)</f>
        <v>0</v>
      </c>
      <c r="O166" s="16">
        <f>IF($E166="P",$J166,0)</f>
        <v>1957.5195751957522</v>
      </c>
      <c r="P166" s="16">
        <f>IF($E166="S",$J166,0)</f>
        <v>0</v>
      </c>
      <c r="Q166" s="16">
        <f>SUM(M166:P166)</f>
        <v>1957.5195751957522</v>
      </c>
      <c r="R166" s="118">
        <v>57</v>
      </c>
    </row>
    <row r="167" spans="1:18" outlineLevel="1" x14ac:dyDescent="0.5">
      <c r="A167" s="132" t="s">
        <v>448</v>
      </c>
      <c r="B167" s="1">
        <v>12</v>
      </c>
      <c r="C167" s="2" t="s">
        <v>656</v>
      </c>
      <c r="D167" s="1"/>
      <c r="E167" s="45"/>
      <c r="F167" s="53"/>
      <c r="G167" s="11"/>
      <c r="H167" s="11"/>
      <c r="I167" s="11"/>
      <c r="J167" s="11"/>
      <c r="K167" s="91"/>
      <c r="L167" s="91"/>
      <c r="M167" s="13"/>
      <c r="N167" s="13"/>
      <c r="O167" s="13"/>
      <c r="P167" s="13"/>
      <c r="Q167" s="13"/>
      <c r="R167" s="119"/>
    </row>
    <row r="168" spans="1:18" outlineLevel="1" x14ac:dyDescent="0.5">
      <c r="A168" s="131" t="s">
        <v>448</v>
      </c>
      <c r="B168" s="14">
        <v>13</v>
      </c>
      <c r="C168" s="15" t="s">
        <v>96</v>
      </c>
      <c r="D168" s="44" t="str">
        <f>VLOOKUP(Estimate!$C168,Resources!$B$3:$G$336,4,FALSE)</f>
        <v xml:space="preserve">hr   </v>
      </c>
      <c r="E168" s="44" t="str">
        <f>VLOOKUP(Estimate!$C168,Resources!$B$3:$G$336,3,FALSE)</f>
        <v>P</v>
      </c>
      <c r="F168" s="52">
        <v>1</v>
      </c>
      <c r="G168" s="12">
        <f>G165</f>
        <v>33.332999999999998</v>
      </c>
      <c r="H168" s="12">
        <f>H155</f>
        <v>150</v>
      </c>
      <c r="I168" s="12">
        <f>VLOOKUP(C168,Resources!$B$3:$G$336,6,FALSE)</f>
        <v>145</v>
      </c>
      <c r="J168" s="12">
        <f>(H168/(G168/F168))*I168</f>
        <v>652.50652506525068</v>
      </c>
      <c r="K168" s="90">
        <f>L168*F168</f>
        <v>4.5000450004500046</v>
      </c>
      <c r="L168" s="90">
        <f>IF(E168="M"," ",H168/G168)</f>
        <v>4.5000450004500046</v>
      </c>
      <c r="M168" s="16">
        <f>IF($E168="L",$J168,0)</f>
        <v>0</v>
      </c>
      <c r="N168" s="16">
        <f>IF($E168="M",$J168,0)</f>
        <v>0</v>
      </c>
      <c r="O168" s="16">
        <f>IF($E168="P",$J168,0)</f>
        <v>652.50652506525068</v>
      </c>
      <c r="P168" s="16">
        <f>IF($E168="S",$J168,0)</f>
        <v>0</v>
      </c>
      <c r="Q168" s="16">
        <f>SUM(M168:P168)</f>
        <v>652.50652506525068</v>
      </c>
      <c r="R168" s="118">
        <v>57</v>
      </c>
    </row>
    <row r="169" spans="1:18" outlineLevel="1" x14ac:dyDescent="0.5">
      <c r="A169" s="131" t="s">
        <v>448</v>
      </c>
      <c r="B169" s="14">
        <v>14</v>
      </c>
      <c r="C169" s="15" t="s">
        <v>60</v>
      </c>
      <c r="D169" s="44" t="str">
        <f>VLOOKUP(Estimate!$C169,Resources!$B$3:$G$336,4,FALSE)</f>
        <v xml:space="preserve">hr   </v>
      </c>
      <c r="E169" s="44" t="str">
        <f>VLOOKUP(Estimate!$C169,Resources!$B$3:$G$336,3,FALSE)</f>
        <v>P</v>
      </c>
      <c r="F169" s="52">
        <v>1</v>
      </c>
      <c r="G169" s="12">
        <f>G165</f>
        <v>33.332999999999998</v>
      </c>
      <c r="H169" s="12">
        <f>H155</f>
        <v>150</v>
      </c>
      <c r="I169" s="12">
        <f>VLOOKUP(C169,Resources!$B$3:$G$336,6,FALSE)</f>
        <v>95</v>
      </c>
      <c r="J169" s="12">
        <f>(H169/(G169/F169))*I169</f>
        <v>427.50427504275041</v>
      </c>
      <c r="K169" s="90">
        <f>L169*F169</f>
        <v>4.5000450004500046</v>
      </c>
      <c r="L169" s="90">
        <f>IF(E169="M"," ",H169/G169)</f>
        <v>4.5000450004500046</v>
      </c>
      <c r="M169" s="16">
        <f>IF($E169="L",$J169,0)</f>
        <v>0</v>
      </c>
      <c r="N169" s="16">
        <f>IF($E169="M",$J169,0)</f>
        <v>0</v>
      </c>
      <c r="O169" s="16">
        <f>IF($E169="P",$J169,0)</f>
        <v>427.50427504275041</v>
      </c>
      <c r="P169" s="16">
        <f>IF($E169="S",$J169,0)</f>
        <v>0</v>
      </c>
      <c r="Q169" s="16">
        <f>SUM(M169:P169)</f>
        <v>427.50427504275041</v>
      </c>
      <c r="R169" s="118">
        <v>57</v>
      </c>
    </row>
    <row r="170" spans="1:18" outlineLevel="1" x14ac:dyDescent="0.5">
      <c r="A170" s="131" t="s">
        <v>448</v>
      </c>
      <c r="B170" s="14">
        <v>15</v>
      </c>
      <c r="C170" s="15" t="s">
        <v>830</v>
      </c>
      <c r="D170" s="44" t="str">
        <f>VLOOKUP(Estimate!$C170,Resources!$B$3:$G$336,4,FALSE)</f>
        <v xml:space="preserve">hr   </v>
      </c>
      <c r="E170" s="44" t="str">
        <f>VLOOKUP(Estimate!$C170,Resources!$B$3:$G$336,3,FALSE)</f>
        <v>P</v>
      </c>
      <c r="F170" s="52">
        <v>1</v>
      </c>
      <c r="G170" s="12">
        <f>G165</f>
        <v>33.332999999999998</v>
      </c>
      <c r="H170" s="12">
        <f>H155</f>
        <v>150</v>
      </c>
      <c r="I170" s="12">
        <f>VLOOKUP(C170,Resources!$B$3:$G$336,6,FALSE)</f>
        <v>58</v>
      </c>
      <c r="J170" s="12">
        <f>(H170/(G170/F170))*I170</f>
        <v>261.00261002610029</v>
      </c>
      <c r="K170" s="90">
        <f>L170*F170</f>
        <v>4.5000450004500046</v>
      </c>
      <c r="L170" s="90">
        <f>IF(E170="M"," ",H170/G170)</f>
        <v>4.5000450004500046</v>
      </c>
      <c r="M170" s="16">
        <f>IF($E170="L",$J170,0)</f>
        <v>0</v>
      </c>
      <c r="N170" s="16">
        <f>IF($E170="M",$J170,0)</f>
        <v>0</v>
      </c>
      <c r="O170" s="16">
        <f>IF($E170="P",$J170,0)</f>
        <v>261.00261002610029</v>
      </c>
      <c r="P170" s="16">
        <f>IF($E170="S",$J170,0)</f>
        <v>0</v>
      </c>
      <c r="Q170" s="16">
        <f>SUM(M170:P170)</f>
        <v>261.00261002610029</v>
      </c>
      <c r="R170" s="118">
        <v>57</v>
      </c>
    </row>
    <row r="171" spans="1:18" outlineLevel="1" x14ac:dyDescent="0.5">
      <c r="A171" s="131" t="s">
        <v>448</v>
      </c>
      <c r="B171" s="14">
        <v>16</v>
      </c>
      <c r="C171" s="15" t="s">
        <v>7</v>
      </c>
      <c r="D171" s="44" t="str">
        <f>VLOOKUP(Estimate!$C171,Resources!$B$3:$G$336,4,FALSE)</f>
        <v xml:space="preserve">hr   </v>
      </c>
      <c r="E171" s="44" t="str">
        <f>VLOOKUP(Estimate!$C171,Resources!$B$3:$G$336,3,FALSE)</f>
        <v>L</v>
      </c>
      <c r="F171" s="52">
        <v>3</v>
      </c>
      <c r="G171" s="12">
        <f>G165</f>
        <v>33.332999999999998</v>
      </c>
      <c r="H171" s="12">
        <f>H155</f>
        <v>150</v>
      </c>
      <c r="I171" s="12">
        <f>VLOOKUP(C171,Resources!$B$3:$G$336,6,FALSE)</f>
        <v>38</v>
      </c>
      <c r="J171" s="12">
        <f>(H171/(G171/F171))*I171</f>
        <v>513.00513005130063</v>
      </c>
      <c r="K171" s="90">
        <f>L171*F171</f>
        <v>13.500135001350014</v>
      </c>
      <c r="L171" s="90">
        <f>IF(E171="M"," ",H171/G171)</f>
        <v>4.5000450004500046</v>
      </c>
      <c r="M171" s="16">
        <f>IF($E171="L",$J171,0)</f>
        <v>513.00513005130063</v>
      </c>
      <c r="N171" s="16">
        <f>IF($E171="M",$J171,0)</f>
        <v>0</v>
      </c>
      <c r="O171" s="16">
        <f>IF($E171="P",$J171,0)</f>
        <v>0</v>
      </c>
      <c r="P171" s="16">
        <f>IF($E171="S",$J171,0)</f>
        <v>0</v>
      </c>
      <c r="Q171" s="16">
        <f>SUM(M171:P171)</f>
        <v>513.00513005130063</v>
      </c>
      <c r="R171" s="118">
        <v>57</v>
      </c>
    </row>
    <row r="172" spans="1:18" outlineLevel="1" x14ac:dyDescent="0.5">
      <c r="A172" s="131" t="s">
        <v>448</v>
      </c>
      <c r="B172" s="14">
        <v>17</v>
      </c>
      <c r="C172" s="15" t="s">
        <v>49</v>
      </c>
      <c r="D172" s="44" t="str">
        <f>VLOOKUP(Estimate!$C172,Resources!$B$3:$G$336,4,FALSE)</f>
        <v xml:space="preserve">hr   </v>
      </c>
      <c r="E172" s="44" t="str">
        <f>VLOOKUP(Estimate!$C172,Resources!$B$3:$G$336,3,FALSE)</f>
        <v>P</v>
      </c>
      <c r="F172" s="52">
        <v>1</v>
      </c>
      <c r="G172" s="12">
        <f>G165</f>
        <v>33.332999999999998</v>
      </c>
      <c r="H172" s="12">
        <f>H155</f>
        <v>150</v>
      </c>
      <c r="I172" s="12">
        <f>VLOOKUP(C172,Resources!$B$3:$G$336,6,FALSE)</f>
        <v>95</v>
      </c>
      <c r="J172" s="12">
        <f>(H172/(G172/F172))*I172</f>
        <v>427.50427504275041</v>
      </c>
      <c r="K172" s="90">
        <f>L172*F172</f>
        <v>4.5000450004500046</v>
      </c>
      <c r="L172" s="90">
        <f>IF(E172="M"," ",H172/G172)</f>
        <v>4.5000450004500046</v>
      </c>
      <c r="M172" s="16">
        <f>IF($E172="L",$J172,0)</f>
        <v>0</v>
      </c>
      <c r="N172" s="16">
        <f>IF($E172="M",$J172,0)</f>
        <v>0</v>
      </c>
      <c r="O172" s="16">
        <f>IF($E172="P",$J172,0)</f>
        <v>427.50427504275041</v>
      </c>
      <c r="P172" s="16">
        <f>IF($E172="S",$J172,0)</f>
        <v>0</v>
      </c>
      <c r="Q172" s="16">
        <f>SUM(M172:P172)</f>
        <v>427.50427504275041</v>
      </c>
      <c r="R172" s="118">
        <v>57</v>
      </c>
    </row>
    <row r="173" spans="1:18" outlineLevel="1" x14ac:dyDescent="0.5">
      <c r="A173" s="132" t="s">
        <v>448</v>
      </c>
      <c r="B173" s="1"/>
      <c r="C173" s="2"/>
      <c r="D173" s="1"/>
      <c r="E173" s="45"/>
      <c r="F173" s="53"/>
      <c r="G173" s="11"/>
      <c r="H173" s="11"/>
      <c r="I173" s="11"/>
      <c r="J173" s="11"/>
      <c r="K173" s="91"/>
      <c r="L173" s="91"/>
      <c r="M173" s="13"/>
      <c r="N173" s="13"/>
      <c r="O173" s="13"/>
      <c r="P173" s="13"/>
      <c r="Q173" s="13"/>
      <c r="R173" s="119"/>
    </row>
    <row r="174" spans="1:18" ht="21" x14ac:dyDescent="0.5">
      <c r="A174" s="130">
        <v>36</v>
      </c>
      <c r="B174" s="7" t="s">
        <v>106</v>
      </c>
      <c r="C174" s="7" t="s">
        <v>107</v>
      </c>
      <c r="D174" s="8" t="s">
        <v>54</v>
      </c>
      <c r="E174" s="43"/>
      <c r="F174" s="51"/>
      <c r="G174" s="9"/>
      <c r="H174" s="129">
        <f>VLOOKUP($A174,'Model Inputs'!$A:$D,4)</f>
        <v>2791</v>
      </c>
      <c r="I174" s="9">
        <f>J174/H174</f>
        <v>2.82</v>
      </c>
      <c r="J174" s="9">
        <f>SUBTOTAL(9,J175)</f>
        <v>7870.62</v>
      </c>
      <c r="K174" s="89"/>
      <c r="L174" s="89">
        <f>ROUNDUP((MAX(L175)/5000)/workhrs,0)</f>
        <v>1</v>
      </c>
      <c r="M174" s="9">
        <f>SUBTOTAL(9,M175)</f>
        <v>0</v>
      </c>
      <c r="N174" s="9">
        <f>SUBTOTAL(9,N175)</f>
        <v>0</v>
      </c>
      <c r="O174" s="9">
        <f>SUBTOTAL(9,O175)</f>
        <v>0</v>
      </c>
      <c r="P174" s="9">
        <f>SUBTOTAL(9,P175)</f>
        <v>7870.62</v>
      </c>
      <c r="Q174" s="10">
        <f>SUM(M174:P174)</f>
        <v>7870.62</v>
      </c>
      <c r="R174" s="117"/>
    </row>
    <row r="175" spans="1:18" outlineLevel="1" x14ac:dyDescent="0.5">
      <c r="A175" s="131" t="s">
        <v>448</v>
      </c>
      <c r="B175" s="14">
        <v>1</v>
      </c>
      <c r="C175" s="15" t="s">
        <v>82</v>
      </c>
      <c r="D175" s="44" t="str">
        <f>VLOOKUP(Estimate!$C175,Resources!$B$3:$G$336,4,FALSE)</f>
        <v xml:space="preserve">m²   </v>
      </c>
      <c r="E175" s="44" t="str">
        <f>VLOOKUP(Estimate!$C175,Resources!$B$3:$G$336,3,FALSE)</f>
        <v>S</v>
      </c>
      <c r="F175" s="52">
        <v>1</v>
      </c>
      <c r="G175" s="12">
        <v>1</v>
      </c>
      <c r="H175" s="12">
        <f>H174*1.2</f>
        <v>3349.2</v>
      </c>
      <c r="I175" s="12">
        <f>VLOOKUP(C175,Resources!$B$3:$G$336,6,FALSE)</f>
        <v>2.35</v>
      </c>
      <c r="J175" s="12">
        <f>(H175/(G175/F175))*I175</f>
        <v>7870.62</v>
      </c>
      <c r="K175" s="90"/>
      <c r="L175" s="90">
        <f>H175/(G175*F175)</f>
        <v>3349.2</v>
      </c>
      <c r="M175" s="16">
        <f>IF($E175="L",$J175,0)</f>
        <v>0</v>
      </c>
      <c r="N175" s="16">
        <f>IF($E175="M",$J175,0)</f>
        <v>0</v>
      </c>
      <c r="O175" s="16">
        <f>IF($E175="P",$J175,0)</f>
        <v>0</v>
      </c>
      <c r="P175" s="16">
        <f>IF($E175="S",$J175,0)</f>
        <v>7870.62</v>
      </c>
      <c r="Q175" s="16">
        <f>SUM(M175:P175)</f>
        <v>7870.62</v>
      </c>
      <c r="R175" s="118">
        <v>111</v>
      </c>
    </row>
    <row r="176" spans="1:18" x14ac:dyDescent="0.5">
      <c r="A176" s="132" t="s">
        <v>448</v>
      </c>
      <c r="B176" s="1"/>
      <c r="C176" s="2"/>
      <c r="D176" s="1"/>
      <c r="E176" s="45"/>
      <c r="F176" s="53"/>
      <c r="G176" s="11"/>
      <c r="H176" s="11"/>
      <c r="I176" s="11"/>
      <c r="J176" s="11"/>
      <c r="K176" s="91"/>
      <c r="L176" s="91"/>
      <c r="M176" s="13"/>
      <c r="N176" s="13"/>
      <c r="O176" s="13"/>
      <c r="P176" s="13"/>
      <c r="Q176" s="13"/>
      <c r="R176" s="119"/>
    </row>
    <row r="177" spans="1:18" x14ac:dyDescent="0.5">
      <c r="A177" s="132">
        <v>37</v>
      </c>
      <c r="B177" s="1"/>
      <c r="C177" s="2" t="s">
        <v>620</v>
      </c>
      <c r="D177" s="1"/>
      <c r="E177" s="45"/>
      <c r="F177" s="53"/>
      <c r="G177" s="11"/>
      <c r="H177" s="11"/>
      <c r="I177" s="11"/>
      <c r="J177" s="11"/>
      <c r="K177" s="91"/>
      <c r="L177" s="91"/>
      <c r="M177" s="13"/>
      <c r="N177" s="13"/>
      <c r="O177" s="13"/>
      <c r="P177" s="13"/>
      <c r="Q177" s="13"/>
      <c r="R177" s="119"/>
    </row>
    <row r="178" spans="1:18" ht="31.5" x14ac:dyDescent="0.5">
      <c r="A178" s="130">
        <v>38</v>
      </c>
      <c r="B178" s="7" t="s">
        <v>108</v>
      </c>
      <c r="C178" s="7" t="s">
        <v>109</v>
      </c>
      <c r="D178" s="8" t="s">
        <v>54</v>
      </c>
      <c r="E178" s="43"/>
      <c r="F178" s="51"/>
      <c r="G178" s="9"/>
      <c r="H178" s="129">
        <f>VLOOKUP($A178,'Model Inputs'!$A:$D,4)</f>
        <v>19963</v>
      </c>
      <c r="I178" s="9">
        <f>J178/H178</f>
        <v>2.037460317460317</v>
      </c>
      <c r="J178" s="9">
        <f>SUBTOTAL(9,J179:J182)</f>
        <v>40673.820317460311</v>
      </c>
      <c r="K178" s="89"/>
      <c r="L178" s="89">
        <f>ROUNDUP(MAX(L179:L182)/workhrs,0)</f>
        <v>13</v>
      </c>
      <c r="M178" s="9">
        <f>SUBTOTAL(9,M179:M182)</f>
        <v>8669.6457142857143</v>
      </c>
      <c r="N178" s="9">
        <f>SUBTOTAL(9,N179:N182)</f>
        <v>0</v>
      </c>
      <c r="O178" s="9">
        <f>SUBTOTAL(9,O179:O182)</f>
        <v>32004.174603174601</v>
      </c>
      <c r="P178" s="9">
        <f>SUBTOTAL(9,P179:P182)</f>
        <v>0</v>
      </c>
      <c r="Q178" s="10">
        <f>SUM(M178:P178)</f>
        <v>40673.820317460311</v>
      </c>
      <c r="R178" s="117"/>
    </row>
    <row r="179" spans="1:18" outlineLevel="1" x14ac:dyDescent="0.5">
      <c r="A179" s="131">
        <v>38.1</v>
      </c>
      <c r="B179" s="14">
        <v>1</v>
      </c>
      <c r="C179" s="15" t="s">
        <v>96</v>
      </c>
      <c r="D179" s="44" t="str">
        <f>VLOOKUP(Estimate!$C179,Resources!$B$3:$G$336,4,FALSE)</f>
        <v xml:space="preserve">hr   </v>
      </c>
      <c r="E179" s="44" t="str">
        <f>VLOOKUP(Estimate!$C179,Resources!$B$3:$G$336,3,FALSE)</f>
        <v>P</v>
      </c>
      <c r="F179" s="52">
        <v>1</v>
      </c>
      <c r="G179" s="129">
        <f>VLOOKUP($A179,'Model Inputs'!$A:$D,4)</f>
        <v>175</v>
      </c>
      <c r="H179" s="12">
        <f>H178</f>
        <v>19963</v>
      </c>
      <c r="I179" s="12">
        <f>VLOOKUP(C179,Resources!$B$3:$G$336,6,FALSE)</f>
        <v>145</v>
      </c>
      <c r="J179" s="12">
        <f>(H179/(G179/F179))*I179</f>
        <v>16540.771428571428</v>
      </c>
      <c r="K179" s="90">
        <f>L179*F179</f>
        <v>114.07428571428571</v>
      </c>
      <c r="L179" s="90">
        <f>IF(E179="M"," ",H179/G179)</f>
        <v>114.07428571428571</v>
      </c>
      <c r="M179" s="16">
        <f>IF($E179="L",$J179,0)</f>
        <v>0</v>
      </c>
      <c r="N179" s="16">
        <f>IF($E179="M",$J179,0)</f>
        <v>0</v>
      </c>
      <c r="O179" s="16">
        <f>IF($E179="P",$J179,0)</f>
        <v>16540.771428571428</v>
      </c>
      <c r="P179" s="16">
        <f>IF($E179="S",$J179,0)</f>
        <v>0</v>
      </c>
      <c r="Q179" s="16">
        <f>SUM(M179:P179)</f>
        <v>16540.771428571428</v>
      </c>
      <c r="R179" s="118">
        <v>61</v>
      </c>
    </row>
    <row r="180" spans="1:18" outlineLevel="1" x14ac:dyDescent="0.5">
      <c r="A180" s="131" t="s">
        <v>448</v>
      </c>
      <c r="B180" s="14">
        <v>2</v>
      </c>
      <c r="C180" s="15" t="s">
        <v>110</v>
      </c>
      <c r="D180" s="44" t="str">
        <f>VLOOKUP(Estimate!$C180,Resources!$B$3:$G$336,4,FALSE)</f>
        <v xml:space="preserve">day  </v>
      </c>
      <c r="E180" s="44" t="str">
        <f>VLOOKUP(Estimate!$C180,Resources!$B$3:$G$336,3,FALSE)</f>
        <v>P</v>
      </c>
      <c r="F180" s="52">
        <v>1</v>
      </c>
      <c r="G180" s="12">
        <f>G179*9</f>
        <v>1575</v>
      </c>
      <c r="H180" s="12">
        <f>H179</f>
        <v>19963</v>
      </c>
      <c r="I180" s="12">
        <f>VLOOKUP(C180,Resources!$B$3:$G$336,6,FALSE)</f>
        <v>365</v>
      </c>
      <c r="J180" s="12">
        <f>(H180/(G180/F180))*I180</f>
        <v>4626.3460317460322</v>
      </c>
      <c r="K180" s="90">
        <f>L180*F180</f>
        <v>12.674920634920635</v>
      </c>
      <c r="L180" s="90">
        <f>IF(E180="M"," ",H180/G180)</f>
        <v>12.674920634920635</v>
      </c>
      <c r="M180" s="16">
        <f>IF($E180="L",$J180,0)</f>
        <v>0</v>
      </c>
      <c r="N180" s="16">
        <f>IF($E180="M",$J180,0)</f>
        <v>0</v>
      </c>
      <c r="O180" s="16">
        <f>IF($E180="P",$J180,0)</f>
        <v>4626.3460317460322</v>
      </c>
      <c r="P180" s="16">
        <f>IF($E180="S",$J180,0)</f>
        <v>0</v>
      </c>
      <c r="Q180" s="16">
        <f>SUM(M180:P180)</f>
        <v>4626.3460317460322</v>
      </c>
      <c r="R180" s="118">
        <v>61</v>
      </c>
    </row>
    <row r="181" spans="1:18" outlineLevel="1" x14ac:dyDescent="0.5">
      <c r="A181" s="131" t="s">
        <v>448</v>
      </c>
      <c r="B181" s="14">
        <v>3</v>
      </c>
      <c r="C181" s="15" t="s">
        <v>60</v>
      </c>
      <c r="D181" s="44" t="str">
        <f>VLOOKUP(Estimate!$C181,Resources!$B$3:$G$336,4,FALSE)</f>
        <v xml:space="preserve">hr   </v>
      </c>
      <c r="E181" s="44" t="str">
        <f>VLOOKUP(Estimate!$C181,Resources!$B$3:$G$336,3,FALSE)</f>
        <v>P</v>
      </c>
      <c r="F181" s="52">
        <v>1</v>
      </c>
      <c r="G181" s="12">
        <f>G179</f>
        <v>175</v>
      </c>
      <c r="H181" s="12">
        <f>H180</f>
        <v>19963</v>
      </c>
      <c r="I181" s="12">
        <f>VLOOKUP(C181,Resources!$B$3:$G$336,6,FALSE)</f>
        <v>95</v>
      </c>
      <c r="J181" s="12">
        <f>(H181/(G181/F181))*I181</f>
        <v>10837.057142857142</v>
      </c>
      <c r="K181" s="90">
        <f>L181*F181</f>
        <v>114.07428571428571</v>
      </c>
      <c r="L181" s="90">
        <f>IF(E181="M"," ",H181/G181)</f>
        <v>114.07428571428571</v>
      </c>
      <c r="M181" s="16">
        <f>IF($E181="L",$J181,0)</f>
        <v>0</v>
      </c>
      <c r="N181" s="16">
        <f>IF($E181="M",$J181,0)</f>
        <v>0</v>
      </c>
      <c r="O181" s="16">
        <f>IF($E181="P",$J181,0)</f>
        <v>10837.057142857142</v>
      </c>
      <c r="P181" s="16">
        <f>IF($E181="S",$J181,0)</f>
        <v>0</v>
      </c>
      <c r="Q181" s="16">
        <f>SUM(M181:P181)</f>
        <v>10837.057142857142</v>
      </c>
      <c r="R181" s="118">
        <v>61</v>
      </c>
    </row>
    <row r="182" spans="1:18" outlineLevel="1" x14ac:dyDescent="0.5">
      <c r="A182" s="131" t="s">
        <v>448</v>
      </c>
      <c r="B182" s="14">
        <v>4</v>
      </c>
      <c r="C182" s="15" t="s">
        <v>7</v>
      </c>
      <c r="D182" s="44" t="str">
        <f>VLOOKUP(Estimate!$C182,Resources!$B$3:$G$336,4,FALSE)</f>
        <v xml:space="preserve">hr   </v>
      </c>
      <c r="E182" s="44" t="str">
        <f>VLOOKUP(Estimate!$C182,Resources!$B$3:$G$336,3,FALSE)</f>
        <v>L</v>
      </c>
      <c r="F182" s="52">
        <v>2</v>
      </c>
      <c r="G182" s="12">
        <f>G179</f>
        <v>175</v>
      </c>
      <c r="H182" s="12">
        <f>H181</f>
        <v>19963</v>
      </c>
      <c r="I182" s="12">
        <f>VLOOKUP(C182,Resources!$B$3:$G$336,6,FALSE)</f>
        <v>38</v>
      </c>
      <c r="J182" s="12">
        <f>(H182/(G182/F182))*I182</f>
        <v>8669.6457142857143</v>
      </c>
      <c r="K182" s="90">
        <f>L182*F182</f>
        <v>228.14857142857142</v>
      </c>
      <c r="L182" s="90">
        <f>IF(E182="M"," ",H182/G182)</f>
        <v>114.07428571428571</v>
      </c>
      <c r="M182" s="16">
        <f>IF($E182="L",$J182,0)</f>
        <v>8669.6457142857143</v>
      </c>
      <c r="N182" s="16">
        <f>IF($E182="M",$J182,0)</f>
        <v>0</v>
      </c>
      <c r="O182" s="16">
        <f>IF($E182="P",$J182,0)</f>
        <v>0</v>
      </c>
      <c r="P182" s="16">
        <f>IF($E182="S",$J182,0)</f>
        <v>0</v>
      </c>
      <c r="Q182" s="16">
        <f>SUM(M182:P182)</f>
        <v>8669.6457142857143</v>
      </c>
      <c r="R182" s="118">
        <v>61</v>
      </c>
    </row>
    <row r="183" spans="1:18" outlineLevel="1" x14ac:dyDescent="0.5">
      <c r="A183" s="132" t="s">
        <v>448</v>
      </c>
      <c r="B183" s="1"/>
      <c r="C183" s="2"/>
      <c r="D183" s="1"/>
      <c r="E183" s="45"/>
      <c r="F183" s="53"/>
      <c r="G183" s="11"/>
      <c r="H183" s="11"/>
      <c r="I183" s="11"/>
      <c r="J183" s="11"/>
      <c r="K183" s="91"/>
      <c r="L183" s="91"/>
      <c r="M183" s="13"/>
      <c r="N183" s="13"/>
      <c r="O183" s="13"/>
      <c r="P183" s="13"/>
      <c r="Q183" s="13"/>
      <c r="R183" s="119"/>
    </row>
    <row r="184" spans="1:18" x14ac:dyDescent="0.5">
      <c r="A184" s="132">
        <v>39</v>
      </c>
      <c r="B184" s="1"/>
      <c r="C184" s="5" t="s">
        <v>621</v>
      </c>
      <c r="D184" s="1"/>
      <c r="E184" s="45"/>
      <c r="F184" s="53"/>
      <c r="G184" s="11"/>
      <c r="H184" s="11"/>
      <c r="I184" s="11"/>
      <c r="J184" s="11"/>
      <c r="K184" s="91"/>
      <c r="L184" s="91"/>
      <c r="M184" s="13"/>
      <c r="N184" s="13"/>
      <c r="O184" s="13"/>
      <c r="P184" s="13"/>
      <c r="Q184" s="13"/>
      <c r="R184" s="119"/>
    </row>
    <row r="185" spans="1:18" ht="21" x14ac:dyDescent="0.5">
      <c r="A185" s="130">
        <v>40</v>
      </c>
      <c r="B185" s="7" t="s">
        <v>111</v>
      </c>
      <c r="C185" s="7" t="s">
        <v>112</v>
      </c>
      <c r="D185" s="8" t="s">
        <v>88</v>
      </c>
      <c r="E185" s="43"/>
      <c r="F185" s="51"/>
      <c r="G185" s="9"/>
      <c r="H185" s="129">
        <f>VLOOKUP($A185,'Model Inputs'!$A:$D,4)</f>
        <v>555</v>
      </c>
      <c r="I185" s="9">
        <f>J185/H185</f>
        <v>62.916180225199355</v>
      </c>
      <c r="J185" s="9">
        <f>SUBTOTAL(9,J186:J190)</f>
        <v>34918.480024985642</v>
      </c>
      <c r="K185" s="89"/>
      <c r="L185" s="89">
        <f>ROUNDUP(MAX(L187:L190)/workhrs,0)</f>
        <v>2</v>
      </c>
      <c r="M185" s="9">
        <f>SUBTOTAL(9,M186:M190)</f>
        <v>1911.6523952788705</v>
      </c>
      <c r="N185" s="9">
        <f>SUBTOTAL(9,N186:N190)</f>
        <v>28302.224999999999</v>
      </c>
      <c r="O185" s="9">
        <f>SUBTOTAL(9,O186:O190)</f>
        <v>4704.602629706771</v>
      </c>
      <c r="P185" s="9">
        <f>SUBTOTAL(9,P186:P190)</f>
        <v>0</v>
      </c>
      <c r="Q185" s="10">
        <f t="shared" ref="Q185:Q190" si="14">SUM(M185:P185)</f>
        <v>34918.480024985642</v>
      </c>
      <c r="R185" s="117"/>
    </row>
    <row r="186" spans="1:18" outlineLevel="1" x14ac:dyDescent="0.5">
      <c r="A186" s="131" t="s">
        <v>448</v>
      </c>
      <c r="B186" s="14">
        <v>1</v>
      </c>
      <c r="C186" s="15" t="s">
        <v>721</v>
      </c>
      <c r="D186" s="44" t="str">
        <f>VLOOKUP(Estimate!$C186,Resources!$B$3:$G$336,4,FALSE)</f>
        <v>tonne</v>
      </c>
      <c r="E186" s="44" t="str">
        <f>VLOOKUP(Estimate!$C186,Resources!$B$3:$G$336,3,FALSE)</f>
        <v>M</v>
      </c>
      <c r="F186" s="52">
        <v>1</v>
      </c>
      <c r="G186" s="12">
        <v>1</v>
      </c>
      <c r="H186" s="12">
        <f>H185*2.35</f>
        <v>1304.25</v>
      </c>
      <c r="I186" s="12">
        <f>VLOOKUP(C186,Resources!$B$3:$G$336,6,FALSE)</f>
        <v>21.7</v>
      </c>
      <c r="J186" s="12">
        <f>(H186/(G186/F186))*I186</f>
        <v>28302.224999999999</v>
      </c>
      <c r="K186" s="90"/>
      <c r="L186" s="90" t="str">
        <f>IF(E186="M"," ",H186/G186)</f>
        <v xml:space="preserve"> </v>
      </c>
      <c r="M186" s="16">
        <f>IF($E186="L",$J186,0)</f>
        <v>0</v>
      </c>
      <c r="N186" s="16">
        <f>IF($E186="M",$J186,0)</f>
        <v>28302.224999999999</v>
      </c>
      <c r="O186" s="16">
        <f>IF($E186="P",$J186,0)</f>
        <v>0</v>
      </c>
      <c r="P186" s="16">
        <f>IF($E186="S",$J186,0)</f>
        <v>0</v>
      </c>
      <c r="Q186" s="16">
        <f t="shared" si="14"/>
        <v>28302.224999999999</v>
      </c>
      <c r="R186" s="118" t="s">
        <v>948</v>
      </c>
    </row>
    <row r="187" spans="1:18" outlineLevel="1" x14ac:dyDescent="0.5">
      <c r="A187" s="131">
        <v>40.1</v>
      </c>
      <c r="B187" s="14">
        <v>2</v>
      </c>
      <c r="C187" s="15" t="s">
        <v>96</v>
      </c>
      <c r="D187" s="44" t="str">
        <f>VLOOKUP(Estimate!$C187,Resources!$B$3:$G$336,4,FALSE)</f>
        <v xml:space="preserve">hr   </v>
      </c>
      <c r="E187" s="44" t="str">
        <f>VLOOKUP(Estimate!$C187,Resources!$B$3:$G$336,3,FALSE)</f>
        <v>P</v>
      </c>
      <c r="F187" s="52">
        <v>1</v>
      </c>
      <c r="G187" s="129">
        <f>VLOOKUP($A187,'Model Inputs'!$A:$D,4)</f>
        <v>77.778000000000006</v>
      </c>
      <c r="H187" s="12">
        <f>H186</f>
        <v>1304.25</v>
      </c>
      <c r="I187" s="12">
        <f>VLOOKUP(C187,Resources!$B$3:$G$336,6,FALSE)</f>
        <v>145</v>
      </c>
      <c r="J187" s="12">
        <f>(H187/(G187/F187))*I187</f>
        <v>2431.4876957494403</v>
      </c>
      <c r="K187" s="90">
        <f>L187*F187</f>
        <v>16.768880660340969</v>
      </c>
      <c r="L187" s="90">
        <f>IF(E187="M"," ",H187/G187)</f>
        <v>16.768880660340969</v>
      </c>
      <c r="M187" s="16">
        <f>IF($E187="L",$J187,0)</f>
        <v>0</v>
      </c>
      <c r="N187" s="16">
        <f>IF($E187="M",$J187,0)</f>
        <v>0</v>
      </c>
      <c r="O187" s="16">
        <f>IF($E187="P",$J187,0)</f>
        <v>2431.4876957494403</v>
      </c>
      <c r="P187" s="16">
        <f>IF($E187="S",$J187,0)</f>
        <v>0</v>
      </c>
      <c r="Q187" s="16">
        <f t="shared" si="14"/>
        <v>2431.4876957494403</v>
      </c>
      <c r="R187" s="118">
        <v>62</v>
      </c>
    </row>
    <row r="188" spans="1:18" outlineLevel="1" x14ac:dyDescent="0.5">
      <c r="A188" s="131" t="s">
        <v>448</v>
      </c>
      <c r="B188" s="14">
        <v>3</v>
      </c>
      <c r="C188" s="15" t="s">
        <v>60</v>
      </c>
      <c r="D188" s="44" t="str">
        <f>VLOOKUP(Estimate!$C188,Resources!$B$3:$G$336,4,FALSE)</f>
        <v xml:space="preserve">hr   </v>
      </c>
      <c r="E188" s="44" t="str">
        <f>VLOOKUP(Estimate!$C188,Resources!$B$3:$G$336,3,FALSE)</f>
        <v>P</v>
      </c>
      <c r="F188" s="52">
        <v>1</v>
      </c>
      <c r="G188" s="12">
        <f>G187</f>
        <v>77.778000000000006</v>
      </c>
      <c r="H188" s="12">
        <f>H187</f>
        <v>1304.25</v>
      </c>
      <c r="I188" s="12">
        <f>VLOOKUP(C188,Resources!$B$3:$G$336,6,FALSE)</f>
        <v>95</v>
      </c>
      <c r="J188" s="12">
        <f>(H188/(G188/F188))*I188</f>
        <v>1593.043662732392</v>
      </c>
      <c r="K188" s="90">
        <f>L188*F188</f>
        <v>16.768880660340969</v>
      </c>
      <c r="L188" s="90">
        <f>IF(E188="M"," ",H188/G188)</f>
        <v>16.768880660340969</v>
      </c>
      <c r="M188" s="16">
        <f>IF($E188="L",$J188,0)</f>
        <v>0</v>
      </c>
      <c r="N188" s="16">
        <f>IF($E188="M",$J188,0)</f>
        <v>0</v>
      </c>
      <c r="O188" s="16">
        <f>IF($E188="P",$J188,0)</f>
        <v>1593.043662732392</v>
      </c>
      <c r="P188" s="16">
        <f>IF($E188="S",$J188,0)</f>
        <v>0</v>
      </c>
      <c r="Q188" s="16">
        <f t="shared" si="14"/>
        <v>1593.043662732392</v>
      </c>
      <c r="R188" s="118">
        <v>62</v>
      </c>
    </row>
    <row r="189" spans="1:18" outlineLevel="1" x14ac:dyDescent="0.5">
      <c r="A189" s="131" t="s">
        <v>448</v>
      </c>
      <c r="B189" s="14">
        <v>4</v>
      </c>
      <c r="C189" s="15" t="s">
        <v>110</v>
      </c>
      <c r="D189" s="44" t="str">
        <f>VLOOKUP(Estimate!$C189,Resources!$B$3:$G$336,4,FALSE)</f>
        <v xml:space="preserve">day  </v>
      </c>
      <c r="E189" s="44" t="str">
        <f>VLOOKUP(Estimate!$C189,Resources!$B$3:$G$336,3,FALSE)</f>
        <v>P</v>
      </c>
      <c r="F189" s="52">
        <v>1</v>
      </c>
      <c r="G189" s="12">
        <f>G187*9</f>
        <v>700.00200000000007</v>
      </c>
      <c r="H189" s="12">
        <f>H188</f>
        <v>1304.25</v>
      </c>
      <c r="I189" s="12">
        <f>VLOOKUP(C189,Resources!$B$3:$G$336,6,FALSE)</f>
        <v>365</v>
      </c>
      <c r="J189" s="12">
        <f>(H189/(G189/F189))*I189</f>
        <v>680.07127122493921</v>
      </c>
      <c r="K189" s="90">
        <f>L189*F189</f>
        <v>1.8632089622601076</v>
      </c>
      <c r="L189" s="90">
        <f>IF(E189="M"," ",H189/G189)</f>
        <v>1.8632089622601076</v>
      </c>
      <c r="M189" s="16">
        <f>IF($E189="L",$J189,0)</f>
        <v>0</v>
      </c>
      <c r="N189" s="16">
        <f>IF($E189="M",$J189,0)</f>
        <v>0</v>
      </c>
      <c r="O189" s="16">
        <f>IF($E189="P",$J189,0)</f>
        <v>680.07127122493921</v>
      </c>
      <c r="P189" s="16">
        <f>IF($E189="S",$J189,0)</f>
        <v>0</v>
      </c>
      <c r="Q189" s="16">
        <f t="shared" si="14"/>
        <v>680.07127122493921</v>
      </c>
      <c r="R189" s="118">
        <v>62</v>
      </c>
    </row>
    <row r="190" spans="1:18" outlineLevel="1" x14ac:dyDescent="0.5">
      <c r="A190" s="131" t="s">
        <v>448</v>
      </c>
      <c r="B190" s="14">
        <v>5</v>
      </c>
      <c r="C190" s="15" t="s">
        <v>7</v>
      </c>
      <c r="D190" s="44" t="str">
        <f>VLOOKUP(Estimate!$C190,Resources!$B$3:$G$336,4,FALSE)</f>
        <v xml:space="preserve">hr   </v>
      </c>
      <c r="E190" s="44" t="str">
        <f>VLOOKUP(Estimate!$C190,Resources!$B$3:$G$336,3,FALSE)</f>
        <v>L</v>
      </c>
      <c r="F190" s="52">
        <v>3</v>
      </c>
      <c r="G190" s="12">
        <f>G187</f>
        <v>77.778000000000006</v>
      </c>
      <c r="H190" s="12">
        <f>H189</f>
        <v>1304.25</v>
      </c>
      <c r="I190" s="12">
        <f>VLOOKUP(C190,Resources!$B$3:$G$336,6,FALSE)</f>
        <v>38</v>
      </c>
      <c r="J190" s="12">
        <f>(H190/(G190/F190))*I190</f>
        <v>1911.6523952788705</v>
      </c>
      <c r="K190" s="90">
        <f>L190*F190</f>
        <v>50.306641981022906</v>
      </c>
      <c r="L190" s="90">
        <f>IF(E190="M"," ",H190/G190)</f>
        <v>16.768880660340969</v>
      </c>
      <c r="M190" s="16">
        <f>IF($E190="L",$J190,0)</f>
        <v>1911.6523952788705</v>
      </c>
      <c r="N190" s="16">
        <f>IF($E190="M",$J190,0)</f>
        <v>0</v>
      </c>
      <c r="O190" s="16">
        <f>IF($E190="P",$J190,0)</f>
        <v>0</v>
      </c>
      <c r="P190" s="16">
        <f>IF($E190="S",$J190,0)</f>
        <v>0</v>
      </c>
      <c r="Q190" s="16">
        <f t="shared" si="14"/>
        <v>1911.6523952788705</v>
      </c>
      <c r="R190" s="118">
        <v>62</v>
      </c>
    </row>
    <row r="191" spans="1:18" outlineLevel="1" x14ac:dyDescent="0.5">
      <c r="A191" s="132" t="s">
        <v>448</v>
      </c>
      <c r="B191" s="1"/>
      <c r="C191" s="2"/>
      <c r="D191" s="1"/>
      <c r="E191" s="45"/>
      <c r="F191" s="53"/>
      <c r="G191" s="11"/>
      <c r="H191" s="11"/>
      <c r="I191" s="11"/>
      <c r="J191" s="11"/>
      <c r="K191" s="91"/>
      <c r="L191" s="91"/>
      <c r="M191" s="13"/>
      <c r="N191" s="13"/>
      <c r="O191" s="13"/>
      <c r="P191" s="13"/>
      <c r="Q191" s="13"/>
      <c r="R191" s="119"/>
    </row>
    <row r="192" spans="1:18" ht="21" x14ac:dyDescent="0.5">
      <c r="A192" s="130">
        <v>41</v>
      </c>
      <c r="B192" s="7" t="s">
        <v>113</v>
      </c>
      <c r="C192" s="7" t="s">
        <v>114</v>
      </c>
      <c r="D192" s="8" t="s">
        <v>88</v>
      </c>
      <c r="E192" s="43"/>
      <c r="F192" s="51"/>
      <c r="G192" s="9"/>
      <c r="H192" s="129">
        <f>VLOOKUP($A192,'Model Inputs'!$A:$D,4)</f>
        <v>444</v>
      </c>
      <c r="I192" s="9">
        <f>J192/H192</f>
        <v>61.153680225199359</v>
      </c>
      <c r="J192" s="9">
        <f>SUBTOTAL(9,J193:J197)</f>
        <v>27152.234019988515</v>
      </c>
      <c r="K192" s="89"/>
      <c r="L192" s="89">
        <f>ROUNDUP(MAX(L194:L197)/workhrs,0)</f>
        <v>2</v>
      </c>
      <c r="M192" s="9">
        <f>SUBTOTAL(9,M193:M197)</f>
        <v>1529.3219162230964</v>
      </c>
      <c r="N192" s="9">
        <f>SUBTOTAL(9,N193:N197)</f>
        <v>21859.23</v>
      </c>
      <c r="O192" s="9">
        <f>SUBTOTAL(9,O193:O197)</f>
        <v>3763.6821037654177</v>
      </c>
      <c r="P192" s="9">
        <f>SUBTOTAL(9,P193:P197)</f>
        <v>0</v>
      </c>
      <c r="Q192" s="10">
        <f t="shared" ref="Q192:Q197" si="15">SUM(M192:P192)</f>
        <v>27152.234019988515</v>
      </c>
      <c r="R192" s="117"/>
    </row>
    <row r="193" spans="1:18" outlineLevel="1" x14ac:dyDescent="0.5">
      <c r="A193" s="131" t="s">
        <v>448</v>
      </c>
      <c r="B193" s="14">
        <v>1</v>
      </c>
      <c r="C193" s="15" t="s">
        <v>115</v>
      </c>
      <c r="D193" s="44" t="str">
        <f>VLOOKUP(Estimate!$C193,Resources!$B$3:$G$336,4,FALSE)</f>
        <v>tonne</v>
      </c>
      <c r="E193" s="44" t="str">
        <f>VLOOKUP(Estimate!$C193,Resources!$B$3:$G$336,3,FALSE)</f>
        <v>M</v>
      </c>
      <c r="F193" s="52">
        <v>1</v>
      </c>
      <c r="G193" s="12">
        <v>1</v>
      </c>
      <c r="H193" s="12">
        <f>H192*2.35</f>
        <v>1043.4000000000001</v>
      </c>
      <c r="I193" s="12">
        <f>VLOOKUP(C193,Resources!$B$3:$G$336,6,FALSE)</f>
        <v>20.95</v>
      </c>
      <c r="J193" s="12">
        <f>(H193/(G193/F193))*I193</f>
        <v>21859.23</v>
      </c>
      <c r="K193" s="90"/>
      <c r="L193" s="90" t="str">
        <f>IF(E193="M"," ",H193/G193)</f>
        <v xml:space="preserve"> </v>
      </c>
      <c r="M193" s="16">
        <f>IF($E193="L",$J193,0)</f>
        <v>0</v>
      </c>
      <c r="N193" s="16">
        <f>IF($E193="M",$J193,0)</f>
        <v>21859.23</v>
      </c>
      <c r="O193" s="16">
        <f>IF($E193="P",$J193,0)</f>
        <v>0</v>
      </c>
      <c r="P193" s="16">
        <f>IF($E193="S",$J193,0)</f>
        <v>0</v>
      </c>
      <c r="Q193" s="16">
        <f t="shared" si="15"/>
        <v>21859.23</v>
      </c>
      <c r="R193" s="118" t="s">
        <v>948</v>
      </c>
    </row>
    <row r="194" spans="1:18" outlineLevel="1" x14ac:dyDescent="0.5">
      <c r="A194" s="131">
        <v>41.1</v>
      </c>
      <c r="B194" s="14">
        <v>2</v>
      </c>
      <c r="C194" s="15" t="s">
        <v>96</v>
      </c>
      <c r="D194" s="44" t="str">
        <f>VLOOKUP(Estimate!$C194,Resources!$B$3:$G$336,4,FALSE)</f>
        <v xml:space="preserve">hr   </v>
      </c>
      <c r="E194" s="44" t="str">
        <f>VLOOKUP(Estimate!$C194,Resources!$B$3:$G$336,3,FALSE)</f>
        <v>P</v>
      </c>
      <c r="F194" s="52">
        <v>1</v>
      </c>
      <c r="G194" s="129">
        <f>VLOOKUP($A194,'Model Inputs'!$A:$D,4)</f>
        <v>77.778000000000006</v>
      </c>
      <c r="H194" s="12">
        <f>H193</f>
        <v>1043.4000000000001</v>
      </c>
      <c r="I194" s="12">
        <f>VLOOKUP(C194,Resources!$B$3:$G$336,6,FALSE)</f>
        <v>145</v>
      </c>
      <c r="J194" s="12">
        <f>(H194/(G194/F194))*I194</f>
        <v>1945.1901565995524</v>
      </c>
      <c r="K194" s="90">
        <f>L194*F194</f>
        <v>13.415104528272776</v>
      </c>
      <c r="L194" s="90">
        <f>IF(E194="M"," ",H194/G194)</f>
        <v>13.415104528272776</v>
      </c>
      <c r="M194" s="16">
        <f>IF($E194="L",$J194,0)</f>
        <v>0</v>
      </c>
      <c r="N194" s="16">
        <f>IF($E194="M",$J194,0)</f>
        <v>0</v>
      </c>
      <c r="O194" s="16">
        <f>IF($E194="P",$J194,0)</f>
        <v>1945.1901565995524</v>
      </c>
      <c r="P194" s="16">
        <f>IF($E194="S",$J194,0)</f>
        <v>0</v>
      </c>
      <c r="Q194" s="16">
        <f t="shared" si="15"/>
        <v>1945.1901565995524</v>
      </c>
      <c r="R194" s="118">
        <v>62</v>
      </c>
    </row>
    <row r="195" spans="1:18" outlineLevel="1" x14ac:dyDescent="0.5">
      <c r="A195" s="131" t="s">
        <v>448</v>
      </c>
      <c r="B195" s="14">
        <v>3</v>
      </c>
      <c r="C195" s="15" t="s">
        <v>60</v>
      </c>
      <c r="D195" s="44" t="str">
        <f>VLOOKUP(Estimate!$C195,Resources!$B$3:$G$336,4,FALSE)</f>
        <v xml:space="preserve">hr   </v>
      </c>
      <c r="E195" s="44" t="str">
        <f>VLOOKUP(Estimate!$C195,Resources!$B$3:$G$336,3,FALSE)</f>
        <v>P</v>
      </c>
      <c r="F195" s="52">
        <v>1</v>
      </c>
      <c r="G195" s="12">
        <f>G194</f>
        <v>77.778000000000006</v>
      </c>
      <c r="H195" s="12">
        <f>H194</f>
        <v>1043.4000000000001</v>
      </c>
      <c r="I195" s="12">
        <f>VLOOKUP(C195,Resources!$B$3:$G$336,6,FALSE)</f>
        <v>95</v>
      </c>
      <c r="J195" s="12">
        <f>(H195/(G195/F195))*I195</f>
        <v>1274.4349301859138</v>
      </c>
      <c r="K195" s="90">
        <f>L195*F195</f>
        <v>13.415104528272776</v>
      </c>
      <c r="L195" s="90">
        <f>IF(E195="M"," ",H195/G195)</f>
        <v>13.415104528272776</v>
      </c>
      <c r="M195" s="16">
        <f>IF($E195="L",$J195,0)</f>
        <v>0</v>
      </c>
      <c r="N195" s="16">
        <f>IF($E195="M",$J195,0)</f>
        <v>0</v>
      </c>
      <c r="O195" s="16">
        <f>IF($E195="P",$J195,0)</f>
        <v>1274.4349301859138</v>
      </c>
      <c r="P195" s="16">
        <f>IF($E195="S",$J195,0)</f>
        <v>0</v>
      </c>
      <c r="Q195" s="16">
        <f t="shared" si="15"/>
        <v>1274.4349301859138</v>
      </c>
      <c r="R195" s="118">
        <v>62</v>
      </c>
    </row>
    <row r="196" spans="1:18" outlineLevel="1" x14ac:dyDescent="0.5">
      <c r="A196" s="131" t="s">
        <v>448</v>
      </c>
      <c r="B196" s="14">
        <v>4</v>
      </c>
      <c r="C196" s="15" t="s">
        <v>110</v>
      </c>
      <c r="D196" s="44" t="str">
        <f>VLOOKUP(Estimate!$C196,Resources!$B$3:$G$336,4,FALSE)</f>
        <v xml:space="preserve">day  </v>
      </c>
      <c r="E196" s="44" t="str">
        <f>VLOOKUP(Estimate!$C196,Resources!$B$3:$G$336,3,FALSE)</f>
        <v>P</v>
      </c>
      <c r="F196" s="52">
        <v>1</v>
      </c>
      <c r="G196" s="12">
        <f>G194*9</f>
        <v>700.00200000000007</v>
      </c>
      <c r="H196" s="12">
        <f>H195</f>
        <v>1043.4000000000001</v>
      </c>
      <c r="I196" s="12">
        <f>VLOOKUP(C196,Resources!$B$3:$G$336,6,FALSE)</f>
        <v>365</v>
      </c>
      <c r="J196" s="12">
        <f>(H196/(G196/F196))*I196</f>
        <v>544.05701697995153</v>
      </c>
      <c r="K196" s="90">
        <f>L196*F196</f>
        <v>1.4905671698080862</v>
      </c>
      <c r="L196" s="90">
        <f>IF(E196="M"," ",H196/G196)</f>
        <v>1.4905671698080862</v>
      </c>
      <c r="M196" s="16">
        <f>IF($E196="L",$J196,0)</f>
        <v>0</v>
      </c>
      <c r="N196" s="16">
        <f>IF($E196="M",$J196,0)</f>
        <v>0</v>
      </c>
      <c r="O196" s="16">
        <f>IF($E196="P",$J196,0)</f>
        <v>544.05701697995153</v>
      </c>
      <c r="P196" s="16">
        <f>IF($E196="S",$J196,0)</f>
        <v>0</v>
      </c>
      <c r="Q196" s="16">
        <f t="shared" si="15"/>
        <v>544.05701697995153</v>
      </c>
      <c r="R196" s="118">
        <v>62</v>
      </c>
    </row>
    <row r="197" spans="1:18" outlineLevel="1" x14ac:dyDescent="0.5">
      <c r="A197" s="131" t="s">
        <v>448</v>
      </c>
      <c r="B197" s="14">
        <v>5</v>
      </c>
      <c r="C197" s="15" t="s">
        <v>7</v>
      </c>
      <c r="D197" s="44" t="str">
        <f>VLOOKUP(Estimate!$C197,Resources!$B$3:$G$336,4,FALSE)</f>
        <v xml:space="preserve">hr   </v>
      </c>
      <c r="E197" s="44" t="str">
        <f>VLOOKUP(Estimate!$C197,Resources!$B$3:$G$336,3,FALSE)</f>
        <v>L</v>
      </c>
      <c r="F197" s="52">
        <v>3</v>
      </c>
      <c r="G197" s="12">
        <f>G194</f>
        <v>77.778000000000006</v>
      </c>
      <c r="H197" s="12">
        <f>H196</f>
        <v>1043.4000000000001</v>
      </c>
      <c r="I197" s="12">
        <f>VLOOKUP(C197,Resources!$B$3:$G$336,6,FALSE)</f>
        <v>38</v>
      </c>
      <c r="J197" s="12">
        <f>(H197/(G197/F197))*I197</f>
        <v>1529.3219162230964</v>
      </c>
      <c r="K197" s="90">
        <f>L197*F197</f>
        <v>40.245313584818327</v>
      </c>
      <c r="L197" s="90">
        <f>IF(E197="M"," ",H197/G197)</f>
        <v>13.415104528272776</v>
      </c>
      <c r="M197" s="16">
        <f>IF($E197="L",$J197,0)</f>
        <v>1529.3219162230964</v>
      </c>
      <c r="N197" s="16">
        <f>IF($E197="M",$J197,0)</f>
        <v>0</v>
      </c>
      <c r="O197" s="16">
        <f>IF($E197="P",$J197,0)</f>
        <v>0</v>
      </c>
      <c r="P197" s="16">
        <f>IF($E197="S",$J197,0)</f>
        <v>0</v>
      </c>
      <c r="Q197" s="16">
        <f t="shared" si="15"/>
        <v>1529.3219162230964</v>
      </c>
      <c r="R197" s="118">
        <v>62</v>
      </c>
    </row>
    <row r="198" spans="1:18" outlineLevel="1" x14ac:dyDescent="0.5">
      <c r="A198" s="132" t="s">
        <v>448</v>
      </c>
      <c r="B198" s="1"/>
      <c r="C198" s="2"/>
      <c r="D198" s="1"/>
      <c r="E198" s="45"/>
      <c r="F198" s="53"/>
      <c r="G198" s="11"/>
      <c r="H198" s="11"/>
      <c r="I198" s="11"/>
      <c r="J198" s="11"/>
      <c r="K198" s="91"/>
      <c r="L198" s="91"/>
      <c r="M198" s="13"/>
      <c r="N198" s="13"/>
      <c r="O198" s="13"/>
      <c r="P198" s="13"/>
      <c r="Q198" s="13"/>
      <c r="R198" s="119"/>
    </row>
    <row r="199" spans="1:18" x14ac:dyDescent="0.5">
      <c r="A199" s="132">
        <v>42</v>
      </c>
      <c r="B199" s="1"/>
      <c r="C199" s="5" t="s">
        <v>622</v>
      </c>
      <c r="D199" s="1"/>
      <c r="E199" s="45"/>
      <c r="F199" s="53"/>
      <c r="G199" s="11"/>
      <c r="H199" s="11"/>
      <c r="I199" s="11"/>
      <c r="J199" s="11"/>
      <c r="K199" s="91"/>
      <c r="L199" s="91"/>
      <c r="M199" s="13"/>
      <c r="N199" s="13"/>
      <c r="O199" s="13"/>
      <c r="P199" s="13"/>
      <c r="Q199" s="13"/>
      <c r="R199" s="119"/>
    </row>
    <row r="200" spans="1:18" ht="21" x14ac:dyDescent="0.5">
      <c r="A200" s="130">
        <v>43</v>
      </c>
      <c r="B200" s="7" t="s">
        <v>116</v>
      </c>
      <c r="C200" s="7" t="s">
        <v>112</v>
      </c>
      <c r="D200" s="8" t="s">
        <v>88</v>
      </c>
      <c r="E200" s="43"/>
      <c r="F200" s="51"/>
      <c r="G200" s="9"/>
      <c r="H200" s="129">
        <f>VLOOKUP($A200,'Model Inputs'!$A:$D,4)</f>
        <v>38</v>
      </c>
      <c r="I200" s="9">
        <f>J200/H200</f>
        <v>62.916180225199362</v>
      </c>
      <c r="J200" s="9">
        <f>SUBTOTAL(9,J201:J205)</f>
        <v>2390.8148485575757</v>
      </c>
      <c r="K200" s="89"/>
      <c r="L200" s="89">
        <f>ROUNDUP(MAX(L202:L205)/workhrs,0)</f>
        <v>1</v>
      </c>
      <c r="M200" s="9">
        <f>SUBTOTAL(9,M201:M205)</f>
        <v>130.88791174882357</v>
      </c>
      <c r="N200" s="9">
        <f>SUBTOTAL(9,N201:N205)</f>
        <v>1937.81</v>
      </c>
      <c r="O200" s="9">
        <f>SUBTOTAL(9,O201:O205)</f>
        <v>322.11693680875192</v>
      </c>
      <c r="P200" s="9">
        <f>SUBTOTAL(9,P201:P205)</f>
        <v>0</v>
      </c>
      <c r="Q200" s="10">
        <f t="shared" ref="Q200:Q205" si="16">SUM(M200:P200)</f>
        <v>2390.8148485575757</v>
      </c>
      <c r="R200" s="117"/>
    </row>
    <row r="201" spans="1:18" outlineLevel="1" x14ac:dyDescent="0.5">
      <c r="A201" s="131" t="s">
        <v>448</v>
      </c>
      <c r="B201" s="14">
        <v>1</v>
      </c>
      <c r="C201" s="15" t="s">
        <v>721</v>
      </c>
      <c r="D201" s="44" t="str">
        <f>VLOOKUP(Estimate!$C201,Resources!$B$3:$G$336,4,FALSE)</f>
        <v>tonne</v>
      </c>
      <c r="E201" s="44" t="str">
        <f>VLOOKUP(Estimate!$C201,Resources!$B$3:$G$336,3,FALSE)</f>
        <v>M</v>
      </c>
      <c r="F201" s="52">
        <v>1</v>
      </c>
      <c r="G201" s="12">
        <v>1</v>
      </c>
      <c r="H201" s="12">
        <f>H200*2.35</f>
        <v>89.3</v>
      </c>
      <c r="I201" s="12">
        <f>VLOOKUP(C201,Resources!$B$3:$G$336,6,FALSE)</f>
        <v>21.7</v>
      </c>
      <c r="J201" s="12">
        <f>(H201/(G201/F201))*I201</f>
        <v>1937.81</v>
      </c>
      <c r="K201" s="90"/>
      <c r="L201" s="90" t="str">
        <f>IF(E201="M"," ",H201/G201)</f>
        <v xml:space="preserve"> </v>
      </c>
      <c r="M201" s="16">
        <f>IF($E201="L",$J201,0)</f>
        <v>0</v>
      </c>
      <c r="N201" s="16">
        <f>IF($E201="M",$J201,0)</f>
        <v>1937.81</v>
      </c>
      <c r="O201" s="16">
        <f>IF($E201="P",$J201,0)</f>
        <v>0</v>
      </c>
      <c r="P201" s="16">
        <f>IF($E201="S",$J201,0)</f>
        <v>0</v>
      </c>
      <c r="Q201" s="16">
        <f t="shared" si="16"/>
        <v>1937.81</v>
      </c>
      <c r="R201" s="118" t="s">
        <v>948</v>
      </c>
    </row>
    <row r="202" spans="1:18" outlineLevel="1" x14ac:dyDescent="0.5">
      <c r="A202" s="131">
        <v>43.1</v>
      </c>
      <c r="B202" s="14">
        <v>2</v>
      </c>
      <c r="C202" s="15" t="s">
        <v>96</v>
      </c>
      <c r="D202" s="44" t="str">
        <f>VLOOKUP(Estimate!$C202,Resources!$B$3:$G$336,4,FALSE)</f>
        <v xml:space="preserve">hr   </v>
      </c>
      <c r="E202" s="44" t="str">
        <f>VLOOKUP(Estimate!$C202,Resources!$B$3:$G$336,3,FALSE)</f>
        <v>P</v>
      </c>
      <c r="F202" s="52">
        <v>1</v>
      </c>
      <c r="G202" s="129">
        <f>VLOOKUP($A202,'Model Inputs'!$A:$D,4)</f>
        <v>77.778000000000006</v>
      </c>
      <c r="H202" s="12">
        <f>H201</f>
        <v>89.3</v>
      </c>
      <c r="I202" s="12">
        <f>VLOOKUP(C202,Resources!$B$3:$G$336,6,FALSE)</f>
        <v>145</v>
      </c>
      <c r="J202" s="12">
        <f>(H202/(G202/F202))*I202</f>
        <v>166.48023862788961</v>
      </c>
      <c r="K202" s="90">
        <f>L202*F202</f>
        <v>1.1481395767440663</v>
      </c>
      <c r="L202" s="90">
        <f>IF(E202="M"," ",H202/G202)</f>
        <v>1.1481395767440663</v>
      </c>
      <c r="M202" s="16">
        <f>IF($E202="L",$J202,0)</f>
        <v>0</v>
      </c>
      <c r="N202" s="16">
        <f>IF($E202="M",$J202,0)</f>
        <v>0</v>
      </c>
      <c r="O202" s="16">
        <f>IF($E202="P",$J202,0)</f>
        <v>166.48023862788961</v>
      </c>
      <c r="P202" s="16">
        <f>IF($E202="S",$J202,0)</f>
        <v>0</v>
      </c>
      <c r="Q202" s="16">
        <f t="shared" si="16"/>
        <v>166.48023862788961</v>
      </c>
      <c r="R202" s="118">
        <v>62</v>
      </c>
    </row>
    <row r="203" spans="1:18" outlineLevel="1" x14ac:dyDescent="0.5">
      <c r="A203" s="131" t="s">
        <v>448</v>
      </c>
      <c r="B203" s="14">
        <v>3</v>
      </c>
      <c r="C203" s="15" t="s">
        <v>60</v>
      </c>
      <c r="D203" s="44" t="str">
        <f>VLOOKUP(Estimate!$C203,Resources!$B$3:$G$336,4,FALSE)</f>
        <v xml:space="preserve">hr   </v>
      </c>
      <c r="E203" s="44" t="str">
        <f>VLOOKUP(Estimate!$C203,Resources!$B$3:$G$336,3,FALSE)</f>
        <v>P</v>
      </c>
      <c r="F203" s="52">
        <v>1</v>
      </c>
      <c r="G203" s="12">
        <f>G202</f>
        <v>77.778000000000006</v>
      </c>
      <c r="H203" s="12">
        <f>H202</f>
        <v>89.3</v>
      </c>
      <c r="I203" s="12">
        <f>VLOOKUP(C203,Resources!$B$3:$G$336,6,FALSE)</f>
        <v>95</v>
      </c>
      <c r="J203" s="12">
        <f>(H203/(G203/F203))*I203</f>
        <v>109.07325979068629</v>
      </c>
      <c r="K203" s="90">
        <f>L203*F203</f>
        <v>1.1481395767440663</v>
      </c>
      <c r="L203" s="90">
        <f>IF(E203="M"," ",H203/G203)</f>
        <v>1.1481395767440663</v>
      </c>
      <c r="M203" s="16">
        <f>IF($E203="L",$J203,0)</f>
        <v>0</v>
      </c>
      <c r="N203" s="16">
        <f>IF($E203="M",$J203,0)</f>
        <v>0</v>
      </c>
      <c r="O203" s="16">
        <f>IF($E203="P",$J203,0)</f>
        <v>109.07325979068629</v>
      </c>
      <c r="P203" s="16">
        <f>IF($E203="S",$J203,0)</f>
        <v>0</v>
      </c>
      <c r="Q203" s="16">
        <f t="shared" si="16"/>
        <v>109.07325979068629</v>
      </c>
      <c r="R203" s="118">
        <v>62</v>
      </c>
    </row>
    <row r="204" spans="1:18" outlineLevel="1" x14ac:dyDescent="0.5">
      <c r="A204" s="131" t="s">
        <v>448</v>
      </c>
      <c r="B204" s="14">
        <v>4</v>
      </c>
      <c r="C204" s="15" t="s">
        <v>110</v>
      </c>
      <c r="D204" s="44" t="str">
        <f>VLOOKUP(Estimate!$C204,Resources!$B$3:$G$336,4,FALSE)</f>
        <v xml:space="preserve">day  </v>
      </c>
      <c r="E204" s="44" t="str">
        <f>VLOOKUP(Estimate!$C204,Resources!$B$3:$G$336,3,FALSE)</f>
        <v>P</v>
      </c>
      <c r="F204" s="52">
        <v>1</v>
      </c>
      <c r="G204" s="12">
        <f>G202*9</f>
        <v>700.00200000000007</v>
      </c>
      <c r="H204" s="12">
        <f>H203</f>
        <v>89.3</v>
      </c>
      <c r="I204" s="12">
        <f>VLOOKUP(C204,Resources!$B$3:$G$336,6,FALSE)</f>
        <v>365</v>
      </c>
      <c r="J204" s="12">
        <f>(H204/(G204/F204))*I204</f>
        <v>46.563438390176024</v>
      </c>
      <c r="K204" s="90">
        <f>L204*F204</f>
        <v>0.12757106408267405</v>
      </c>
      <c r="L204" s="90">
        <f>IF(E204="M"," ",H204/G204)</f>
        <v>0.12757106408267405</v>
      </c>
      <c r="M204" s="16">
        <f>IF($E204="L",$J204,0)</f>
        <v>0</v>
      </c>
      <c r="N204" s="16">
        <f>IF($E204="M",$J204,0)</f>
        <v>0</v>
      </c>
      <c r="O204" s="16">
        <f>IF($E204="P",$J204,0)</f>
        <v>46.563438390176024</v>
      </c>
      <c r="P204" s="16">
        <f>IF($E204="S",$J204,0)</f>
        <v>0</v>
      </c>
      <c r="Q204" s="16">
        <f t="shared" si="16"/>
        <v>46.563438390176024</v>
      </c>
      <c r="R204" s="118">
        <v>62</v>
      </c>
    </row>
    <row r="205" spans="1:18" outlineLevel="1" x14ac:dyDescent="0.5">
      <c r="A205" s="131" t="s">
        <v>448</v>
      </c>
      <c r="B205" s="14">
        <v>5</v>
      </c>
      <c r="C205" s="15" t="s">
        <v>7</v>
      </c>
      <c r="D205" s="44" t="str">
        <f>VLOOKUP(Estimate!$C205,Resources!$B$3:$G$336,4,FALSE)</f>
        <v xml:space="preserve">hr   </v>
      </c>
      <c r="E205" s="44" t="str">
        <f>VLOOKUP(Estimate!$C205,Resources!$B$3:$G$336,3,FALSE)</f>
        <v>L</v>
      </c>
      <c r="F205" s="52">
        <v>3</v>
      </c>
      <c r="G205" s="12">
        <f>G202</f>
        <v>77.778000000000006</v>
      </c>
      <c r="H205" s="12">
        <f>H204</f>
        <v>89.3</v>
      </c>
      <c r="I205" s="12">
        <f>VLOOKUP(C205,Resources!$B$3:$G$336,6,FALSE)</f>
        <v>38</v>
      </c>
      <c r="J205" s="12">
        <f>(H205/(G205/F205))*I205</f>
        <v>130.88791174882357</v>
      </c>
      <c r="K205" s="90">
        <f>L205*F205</f>
        <v>3.4444187302321989</v>
      </c>
      <c r="L205" s="90">
        <f>IF(E205="M"," ",H205/G205)</f>
        <v>1.1481395767440663</v>
      </c>
      <c r="M205" s="16">
        <f>IF($E205="L",$J205,0)</f>
        <v>130.88791174882357</v>
      </c>
      <c r="N205" s="16">
        <f>IF($E205="M",$J205,0)</f>
        <v>0</v>
      </c>
      <c r="O205" s="16">
        <f>IF($E205="P",$J205,0)</f>
        <v>0</v>
      </c>
      <c r="P205" s="16">
        <f>IF($E205="S",$J205,0)</f>
        <v>0</v>
      </c>
      <c r="Q205" s="16">
        <f t="shared" si="16"/>
        <v>130.88791174882357</v>
      </c>
      <c r="R205" s="118">
        <v>62</v>
      </c>
    </row>
    <row r="206" spans="1:18" outlineLevel="1" x14ac:dyDescent="0.5">
      <c r="A206" s="132" t="s">
        <v>448</v>
      </c>
      <c r="B206" s="1"/>
      <c r="C206" s="2"/>
      <c r="D206" s="1"/>
      <c r="E206" s="45"/>
      <c r="F206" s="53"/>
      <c r="G206" s="11"/>
      <c r="H206" s="11"/>
      <c r="I206" s="11"/>
      <c r="J206" s="11"/>
      <c r="K206" s="91"/>
      <c r="L206" s="91"/>
      <c r="M206" s="13"/>
      <c r="N206" s="13"/>
      <c r="O206" s="13"/>
      <c r="P206" s="13"/>
      <c r="Q206" s="13"/>
      <c r="R206" s="119"/>
    </row>
    <row r="207" spans="1:18" ht="21" x14ac:dyDescent="0.5">
      <c r="A207" s="130">
        <v>44</v>
      </c>
      <c r="B207" s="7" t="s">
        <v>117</v>
      </c>
      <c r="C207" s="7" t="s">
        <v>114</v>
      </c>
      <c r="D207" s="8" t="s">
        <v>88</v>
      </c>
      <c r="E207" s="43"/>
      <c r="F207" s="51"/>
      <c r="G207" s="9"/>
      <c r="H207" s="129">
        <f>VLOOKUP($A207,'Model Inputs'!$A:$D,4)</f>
        <v>31</v>
      </c>
      <c r="I207" s="9">
        <f>J207/H207</f>
        <v>61.153680225199366</v>
      </c>
      <c r="J207" s="9">
        <f>SUBTOTAL(9,J208:J212)</f>
        <v>1895.7640869811803</v>
      </c>
      <c r="K207" s="89"/>
      <c r="L207" s="89">
        <f>ROUNDUP(MAX(L209:L212)/workhrs,0)</f>
        <v>1</v>
      </c>
      <c r="M207" s="9">
        <f>SUBTOTAL(9,M208:M212)</f>
        <v>106.77698063719819</v>
      </c>
      <c r="N207" s="9">
        <f>SUBTOTAL(9,N208:N212)</f>
        <v>1526.2075000000002</v>
      </c>
      <c r="O207" s="9">
        <f>SUBTOTAL(9,O208:O212)</f>
        <v>262.77960634398187</v>
      </c>
      <c r="P207" s="9">
        <f>SUBTOTAL(9,P208:P212)</f>
        <v>0</v>
      </c>
      <c r="Q207" s="10">
        <f t="shared" ref="Q207:Q212" si="17">SUM(M207:P207)</f>
        <v>1895.7640869811803</v>
      </c>
      <c r="R207" s="117"/>
    </row>
    <row r="208" spans="1:18" outlineLevel="1" x14ac:dyDescent="0.5">
      <c r="A208" s="131" t="s">
        <v>448</v>
      </c>
      <c r="B208" s="14">
        <v>1</v>
      </c>
      <c r="C208" s="15" t="s">
        <v>115</v>
      </c>
      <c r="D208" s="44" t="str">
        <f>VLOOKUP(Estimate!$C208,Resources!$B$3:$G$336,4,FALSE)</f>
        <v>tonne</v>
      </c>
      <c r="E208" s="44" t="str">
        <f>VLOOKUP(Estimate!$C208,Resources!$B$3:$G$336,3,FALSE)</f>
        <v>M</v>
      </c>
      <c r="F208" s="52">
        <v>1</v>
      </c>
      <c r="G208" s="12">
        <v>1</v>
      </c>
      <c r="H208" s="12">
        <f>H207*2.35</f>
        <v>72.850000000000009</v>
      </c>
      <c r="I208" s="12">
        <f>VLOOKUP(C208,Resources!$B$3:$G$336,6,FALSE)</f>
        <v>20.95</v>
      </c>
      <c r="J208" s="12">
        <f>(H208/(G208/F208))*I208</f>
        <v>1526.2075000000002</v>
      </c>
      <c r="K208" s="90"/>
      <c r="L208" s="90" t="str">
        <f>IF(E208="M"," ",H208/G208)</f>
        <v xml:space="preserve"> </v>
      </c>
      <c r="M208" s="16">
        <f>IF($E208="L",$J208,0)</f>
        <v>0</v>
      </c>
      <c r="N208" s="16">
        <f>IF($E208="M",$J208,0)</f>
        <v>1526.2075000000002</v>
      </c>
      <c r="O208" s="16">
        <f>IF($E208="P",$J208,0)</f>
        <v>0</v>
      </c>
      <c r="P208" s="16">
        <f>IF($E208="S",$J208,0)</f>
        <v>0</v>
      </c>
      <c r="Q208" s="16">
        <f t="shared" si="17"/>
        <v>1526.2075000000002</v>
      </c>
      <c r="R208" s="118" t="s">
        <v>948</v>
      </c>
    </row>
    <row r="209" spans="1:18" outlineLevel="1" x14ac:dyDescent="0.5">
      <c r="A209" s="131">
        <v>44.1</v>
      </c>
      <c r="B209" s="14">
        <v>2</v>
      </c>
      <c r="C209" s="15" t="s">
        <v>96</v>
      </c>
      <c r="D209" s="44" t="str">
        <f>VLOOKUP(Estimate!$C209,Resources!$B$3:$G$336,4,FALSE)</f>
        <v xml:space="preserve">hr   </v>
      </c>
      <c r="E209" s="44" t="str">
        <f>VLOOKUP(Estimate!$C209,Resources!$B$3:$G$336,3,FALSE)</f>
        <v>P</v>
      </c>
      <c r="F209" s="52">
        <v>1</v>
      </c>
      <c r="G209" s="129">
        <f>VLOOKUP($A209,'Model Inputs'!$A:$D,4)</f>
        <v>77.778000000000006</v>
      </c>
      <c r="H209" s="12">
        <f>H208</f>
        <v>72.850000000000009</v>
      </c>
      <c r="I209" s="12">
        <f>VLOOKUP(C209,Resources!$B$3:$G$336,6,FALSE)</f>
        <v>145</v>
      </c>
      <c r="J209" s="12">
        <f>(H209/(G209/F209))*I209</f>
        <v>135.81282624906785</v>
      </c>
      <c r="K209" s="90">
        <f>L209*F209</f>
        <v>0.93664018102805424</v>
      </c>
      <c r="L209" s="90">
        <f>IF(E209="M"," ",H209/G209)</f>
        <v>0.93664018102805424</v>
      </c>
      <c r="M209" s="16">
        <f>IF($E209="L",$J209,0)</f>
        <v>0</v>
      </c>
      <c r="N209" s="16">
        <f>IF($E209="M",$J209,0)</f>
        <v>0</v>
      </c>
      <c r="O209" s="16">
        <f>IF($E209="P",$J209,0)</f>
        <v>135.81282624906785</v>
      </c>
      <c r="P209" s="16">
        <f>IF($E209="S",$J209,0)</f>
        <v>0</v>
      </c>
      <c r="Q209" s="16">
        <f t="shared" si="17"/>
        <v>135.81282624906785</v>
      </c>
      <c r="R209" s="118">
        <v>62</v>
      </c>
    </row>
    <row r="210" spans="1:18" outlineLevel="1" x14ac:dyDescent="0.5">
      <c r="A210" s="131" t="s">
        <v>448</v>
      </c>
      <c r="B210" s="14">
        <v>3</v>
      </c>
      <c r="C210" s="15" t="s">
        <v>60</v>
      </c>
      <c r="D210" s="44" t="str">
        <f>VLOOKUP(Estimate!$C210,Resources!$B$3:$G$336,4,FALSE)</f>
        <v xml:space="preserve">hr   </v>
      </c>
      <c r="E210" s="44" t="str">
        <f>VLOOKUP(Estimate!$C210,Resources!$B$3:$G$336,3,FALSE)</f>
        <v>P</v>
      </c>
      <c r="F210" s="52">
        <v>1</v>
      </c>
      <c r="G210" s="12">
        <f>G209</f>
        <v>77.778000000000006</v>
      </c>
      <c r="H210" s="12">
        <f>H209</f>
        <v>72.850000000000009</v>
      </c>
      <c r="I210" s="12">
        <f>VLOOKUP(C210,Resources!$B$3:$G$336,6,FALSE)</f>
        <v>95</v>
      </c>
      <c r="J210" s="12">
        <f>(H210/(G210/F210))*I210</f>
        <v>88.980817197665147</v>
      </c>
      <c r="K210" s="90">
        <f>L210*F210</f>
        <v>0.93664018102805424</v>
      </c>
      <c r="L210" s="90">
        <f>IF(E210="M"," ",H210/G210)</f>
        <v>0.93664018102805424</v>
      </c>
      <c r="M210" s="16">
        <f>IF($E210="L",$J210,0)</f>
        <v>0</v>
      </c>
      <c r="N210" s="16">
        <f>IF($E210="M",$J210,0)</f>
        <v>0</v>
      </c>
      <c r="O210" s="16">
        <f>IF($E210="P",$J210,0)</f>
        <v>88.980817197665147</v>
      </c>
      <c r="P210" s="16">
        <f>IF($E210="S",$J210,0)</f>
        <v>0</v>
      </c>
      <c r="Q210" s="16">
        <f t="shared" si="17"/>
        <v>88.980817197665147</v>
      </c>
      <c r="R210" s="118">
        <v>62</v>
      </c>
    </row>
    <row r="211" spans="1:18" outlineLevel="1" x14ac:dyDescent="0.5">
      <c r="A211" s="131" t="s">
        <v>448</v>
      </c>
      <c r="B211" s="14">
        <v>4</v>
      </c>
      <c r="C211" s="15" t="s">
        <v>110</v>
      </c>
      <c r="D211" s="44" t="str">
        <f>VLOOKUP(Estimate!$C211,Resources!$B$3:$G$336,4,FALSE)</f>
        <v xml:space="preserve">day  </v>
      </c>
      <c r="E211" s="44" t="str">
        <f>VLOOKUP(Estimate!$C211,Resources!$B$3:$G$336,3,FALSE)</f>
        <v>P</v>
      </c>
      <c r="F211" s="52">
        <v>1</v>
      </c>
      <c r="G211" s="12">
        <f>G209*9</f>
        <v>700.00200000000007</v>
      </c>
      <c r="H211" s="12">
        <f>H210</f>
        <v>72.850000000000009</v>
      </c>
      <c r="I211" s="12">
        <f>VLOOKUP(C211,Resources!$B$3:$G$336,6,FALSE)</f>
        <v>365</v>
      </c>
      <c r="J211" s="12">
        <f>(H211/(G211/F211))*I211</f>
        <v>37.985962897248868</v>
      </c>
      <c r="K211" s="90">
        <f>L211*F211</f>
        <v>0.10407113122533936</v>
      </c>
      <c r="L211" s="90">
        <f>IF(E211="M"," ",H211/G211)</f>
        <v>0.10407113122533936</v>
      </c>
      <c r="M211" s="16">
        <f>IF($E211="L",$J211,0)</f>
        <v>0</v>
      </c>
      <c r="N211" s="16">
        <f>IF($E211="M",$J211,0)</f>
        <v>0</v>
      </c>
      <c r="O211" s="16">
        <f>IF($E211="P",$J211,0)</f>
        <v>37.985962897248868</v>
      </c>
      <c r="P211" s="16">
        <f>IF($E211="S",$J211,0)</f>
        <v>0</v>
      </c>
      <c r="Q211" s="16">
        <f t="shared" si="17"/>
        <v>37.985962897248868</v>
      </c>
      <c r="R211" s="118">
        <v>62</v>
      </c>
    </row>
    <row r="212" spans="1:18" outlineLevel="1" x14ac:dyDescent="0.5">
      <c r="A212" s="131" t="s">
        <v>448</v>
      </c>
      <c r="B212" s="14">
        <v>5</v>
      </c>
      <c r="C212" s="15" t="s">
        <v>7</v>
      </c>
      <c r="D212" s="44" t="str">
        <f>VLOOKUP(Estimate!$C212,Resources!$B$3:$G$336,4,FALSE)</f>
        <v xml:space="preserve">hr   </v>
      </c>
      <c r="E212" s="44" t="str">
        <f>VLOOKUP(Estimate!$C212,Resources!$B$3:$G$336,3,FALSE)</f>
        <v>L</v>
      </c>
      <c r="F212" s="52">
        <v>3</v>
      </c>
      <c r="G212" s="12">
        <f>G209</f>
        <v>77.778000000000006</v>
      </c>
      <c r="H212" s="12">
        <f>H211</f>
        <v>72.850000000000009</v>
      </c>
      <c r="I212" s="12">
        <f>VLOOKUP(C212,Resources!$B$3:$G$336,6,FALSE)</f>
        <v>38</v>
      </c>
      <c r="J212" s="12">
        <f>(H212/(G212/F212))*I212</f>
        <v>106.77698063719819</v>
      </c>
      <c r="K212" s="90">
        <f>L212*F212</f>
        <v>2.8099205430841625</v>
      </c>
      <c r="L212" s="90">
        <f>IF(E212="M"," ",H212/G212)</f>
        <v>0.93664018102805424</v>
      </c>
      <c r="M212" s="16">
        <f>IF($E212="L",$J212,0)</f>
        <v>106.77698063719819</v>
      </c>
      <c r="N212" s="16">
        <f>IF($E212="M",$J212,0)</f>
        <v>0</v>
      </c>
      <c r="O212" s="16">
        <f>IF($E212="P",$J212,0)</f>
        <v>0</v>
      </c>
      <c r="P212" s="16">
        <f>IF($E212="S",$J212,0)</f>
        <v>0</v>
      </c>
      <c r="Q212" s="16">
        <f t="shared" si="17"/>
        <v>106.77698063719819</v>
      </c>
      <c r="R212" s="118">
        <v>62</v>
      </c>
    </row>
    <row r="213" spans="1:18" outlineLevel="1" x14ac:dyDescent="0.5">
      <c r="A213" s="132" t="s">
        <v>448</v>
      </c>
      <c r="B213" s="1"/>
      <c r="C213" s="5"/>
      <c r="D213" s="1"/>
      <c r="E213" s="45"/>
      <c r="F213" s="53"/>
      <c r="G213" s="11"/>
      <c r="H213" s="11"/>
      <c r="I213" s="11"/>
      <c r="J213" s="11"/>
      <c r="K213" s="91"/>
      <c r="L213" s="91"/>
      <c r="M213" s="13"/>
      <c r="N213" s="13"/>
      <c r="O213" s="13"/>
      <c r="P213" s="13"/>
      <c r="Q213" s="13"/>
      <c r="R213" s="119"/>
    </row>
    <row r="214" spans="1:18" x14ac:dyDescent="0.5">
      <c r="A214" s="132">
        <v>45</v>
      </c>
      <c r="B214" s="1"/>
      <c r="C214" s="5" t="s">
        <v>623</v>
      </c>
      <c r="D214" s="1"/>
      <c r="E214" s="45"/>
      <c r="F214" s="53"/>
      <c r="G214" s="11"/>
      <c r="H214" s="11"/>
      <c r="I214" s="11"/>
      <c r="J214" s="11"/>
      <c r="K214" s="91"/>
      <c r="L214" s="91"/>
      <c r="M214" s="13"/>
      <c r="N214" s="13"/>
      <c r="O214" s="13"/>
      <c r="P214" s="13"/>
      <c r="Q214" s="13"/>
      <c r="R214" s="119"/>
    </row>
    <row r="215" spans="1:18" ht="21" x14ac:dyDescent="0.5">
      <c r="A215" s="130">
        <v>46</v>
      </c>
      <c r="B215" s="7" t="s">
        <v>118</v>
      </c>
      <c r="C215" s="7" t="s">
        <v>112</v>
      </c>
      <c r="D215" s="8" t="s">
        <v>88</v>
      </c>
      <c r="E215" s="43"/>
      <c r="F215" s="51"/>
      <c r="G215" s="9"/>
      <c r="H215" s="129">
        <f>VLOOKUP($A215,'Model Inputs'!$A:$D,4)</f>
        <v>344</v>
      </c>
      <c r="I215" s="9">
        <f>J215/H215</f>
        <v>62.916180225199348</v>
      </c>
      <c r="J215" s="9">
        <f>SUBTOTAL(9,J216:J220)</f>
        <v>21643.165997468575</v>
      </c>
      <c r="K215" s="89"/>
      <c r="L215" s="89">
        <f>ROUNDUP(MAX(L217:L220)/workhrs,0)</f>
        <v>2</v>
      </c>
      <c r="M215" s="9">
        <f>SUBTOTAL(9,M216:M220)</f>
        <v>1184.8800431998764</v>
      </c>
      <c r="N215" s="9">
        <f>SUBTOTAL(9,N216:N220)</f>
        <v>17542.28</v>
      </c>
      <c r="O215" s="9">
        <f>SUBTOTAL(9,O216:O220)</f>
        <v>2916.0059542687018</v>
      </c>
      <c r="P215" s="9">
        <f>SUBTOTAL(9,P216:P220)</f>
        <v>0</v>
      </c>
      <c r="Q215" s="10">
        <f t="shared" ref="Q215:Q220" si="18">SUM(M215:P215)</f>
        <v>21643.165997468575</v>
      </c>
      <c r="R215" s="117"/>
    </row>
    <row r="216" spans="1:18" outlineLevel="1" x14ac:dyDescent="0.5">
      <c r="A216" s="131" t="s">
        <v>448</v>
      </c>
      <c r="B216" s="14">
        <v>1</v>
      </c>
      <c r="C216" s="15" t="s">
        <v>721</v>
      </c>
      <c r="D216" s="44" t="str">
        <f>VLOOKUP(Estimate!$C216,Resources!$B$3:$G$336,4,FALSE)</f>
        <v>tonne</v>
      </c>
      <c r="E216" s="44" t="str">
        <f>VLOOKUP(Estimate!$C216,Resources!$B$3:$G$336,3,FALSE)</f>
        <v>M</v>
      </c>
      <c r="F216" s="52">
        <v>1</v>
      </c>
      <c r="G216" s="12">
        <v>1</v>
      </c>
      <c r="H216" s="12">
        <f>H215*2.35</f>
        <v>808.4</v>
      </c>
      <c r="I216" s="12">
        <f>VLOOKUP(C216,Resources!$B$3:$G$336,6,FALSE)</f>
        <v>21.7</v>
      </c>
      <c r="J216" s="12">
        <f>(H216/(G216/F216))*I216</f>
        <v>17542.28</v>
      </c>
      <c r="K216" s="90"/>
      <c r="L216" s="90" t="str">
        <f>IF(E216="M"," ",H216/G216)</f>
        <v xml:space="preserve"> </v>
      </c>
      <c r="M216" s="16">
        <f>IF($E216="L",$J216,0)</f>
        <v>0</v>
      </c>
      <c r="N216" s="16">
        <f>IF($E216="M",$J216,0)</f>
        <v>17542.28</v>
      </c>
      <c r="O216" s="16">
        <f>IF($E216="P",$J216,0)</f>
        <v>0</v>
      </c>
      <c r="P216" s="16">
        <f>IF($E216="S",$J216,0)</f>
        <v>0</v>
      </c>
      <c r="Q216" s="16">
        <f t="shared" si="18"/>
        <v>17542.28</v>
      </c>
      <c r="R216" s="118" t="s">
        <v>948</v>
      </c>
    </row>
    <row r="217" spans="1:18" outlineLevel="1" x14ac:dyDescent="0.5">
      <c r="A217" s="131">
        <v>46.1</v>
      </c>
      <c r="B217" s="14">
        <v>2</v>
      </c>
      <c r="C217" s="15" t="s">
        <v>96</v>
      </c>
      <c r="D217" s="44" t="str">
        <f>VLOOKUP(Estimate!$C217,Resources!$B$3:$G$336,4,FALSE)</f>
        <v xml:space="preserve">hr   </v>
      </c>
      <c r="E217" s="44" t="str">
        <f>VLOOKUP(Estimate!$C217,Resources!$B$3:$G$336,3,FALSE)</f>
        <v>P</v>
      </c>
      <c r="F217" s="52">
        <v>1</v>
      </c>
      <c r="G217" s="129">
        <f>VLOOKUP($A217,'Model Inputs'!$A:$D,4)</f>
        <v>77.778000000000006</v>
      </c>
      <c r="H217" s="12">
        <f>H216</f>
        <v>808.4</v>
      </c>
      <c r="I217" s="12">
        <f>VLOOKUP(C217,Resources!$B$3:$G$336,6,FALSE)</f>
        <v>145</v>
      </c>
      <c r="J217" s="12">
        <f>(H217/(G217/F217))*I217</f>
        <v>1507.0842654735272</v>
      </c>
      <c r="K217" s="90">
        <f>L217*F217</f>
        <v>10.393684589472601</v>
      </c>
      <c r="L217" s="90">
        <f>IF(E217="M"," ",H217/G217)</f>
        <v>10.393684589472601</v>
      </c>
      <c r="M217" s="16">
        <f>IF($E217="L",$J217,0)</f>
        <v>0</v>
      </c>
      <c r="N217" s="16">
        <f>IF($E217="M",$J217,0)</f>
        <v>0</v>
      </c>
      <c r="O217" s="16">
        <f>IF($E217="P",$J217,0)</f>
        <v>1507.0842654735272</v>
      </c>
      <c r="P217" s="16">
        <f>IF($E217="S",$J217,0)</f>
        <v>0</v>
      </c>
      <c r="Q217" s="16">
        <f t="shared" si="18"/>
        <v>1507.0842654735272</v>
      </c>
      <c r="R217" s="118">
        <v>62</v>
      </c>
    </row>
    <row r="218" spans="1:18" outlineLevel="1" x14ac:dyDescent="0.5">
      <c r="A218" s="131" t="s">
        <v>448</v>
      </c>
      <c r="B218" s="14">
        <v>3</v>
      </c>
      <c r="C218" s="15" t="s">
        <v>60</v>
      </c>
      <c r="D218" s="44" t="str">
        <f>VLOOKUP(Estimate!$C218,Resources!$B$3:$G$336,4,FALSE)</f>
        <v xml:space="preserve">hr   </v>
      </c>
      <c r="E218" s="44" t="str">
        <f>VLOOKUP(Estimate!$C218,Resources!$B$3:$G$336,3,FALSE)</f>
        <v>P</v>
      </c>
      <c r="F218" s="52">
        <v>1</v>
      </c>
      <c r="G218" s="12">
        <f>G217</f>
        <v>77.778000000000006</v>
      </c>
      <c r="H218" s="12">
        <f>H217</f>
        <v>808.4</v>
      </c>
      <c r="I218" s="12">
        <f>VLOOKUP(C218,Resources!$B$3:$G$336,6,FALSE)</f>
        <v>95</v>
      </c>
      <c r="J218" s="12">
        <f>(H218/(G218/F218))*I218</f>
        <v>987.40003599989711</v>
      </c>
      <c r="K218" s="90">
        <f>L218*F218</f>
        <v>10.393684589472601</v>
      </c>
      <c r="L218" s="90">
        <f>IF(E218="M"," ",H218/G218)</f>
        <v>10.393684589472601</v>
      </c>
      <c r="M218" s="16">
        <f>IF($E218="L",$J218,0)</f>
        <v>0</v>
      </c>
      <c r="N218" s="16">
        <f>IF($E218="M",$J218,0)</f>
        <v>0</v>
      </c>
      <c r="O218" s="16">
        <f>IF($E218="P",$J218,0)</f>
        <v>987.40003599989711</v>
      </c>
      <c r="P218" s="16">
        <f>IF($E218="S",$J218,0)</f>
        <v>0</v>
      </c>
      <c r="Q218" s="16">
        <f t="shared" si="18"/>
        <v>987.40003599989711</v>
      </c>
      <c r="R218" s="118">
        <v>62</v>
      </c>
    </row>
    <row r="219" spans="1:18" outlineLevel="1" x14ac:dyDescent="0.5">
      <c r="A219" s="131" t="s">
        <v>448</v>
      </c>
      <c r="B219" s="14">
        <v>4</v>
      </c>
      <c r="C219" s="15" t="s">
        <v>110</v>
      </c>
      <c r="D219" s="44" t="str">
        <f>VLOOKUP(Estimate!$C219,Resources!$B$3:$G$336,4,FALSE)</f>
        <v xml:space="preserve">day  </v>
      </c>
      <c r="E219" s="44" t="str">
        <f>VLOOKUP(Estimate!$C219,Resources!$B$3:$G$336,3,FALSE)</f>
        <v>P</v>
      </c>
      <c r="F219" s="52">
        <v>1</v>
      </c>
      <c r="G219" s="12">
        <f>G217*9</f>
        <v>700.00200000000007</v>
      </c>
      <c r="H219" s="12">
        <f>H218</f>
        <v>808.4</v>
      </c>
      <c r="I219" s="12">
        <f>VLOOKUP(C219,Resources!$B$3:$G$336,6,FALSE)</f>
        <v>365</v>
      </c>
      <c r="J219" s="12">
        <f>(H219/(G219/F219))*I219</f>
        <v>421.52165279527765</v>
      </c>
      <c r="K219" s="90">
        <f>L219*F219</f>
        <v>1.1548538432747333</v>
      </c>
      <c r="L219" s="90">
        <f>IF(E219="M"," ",H219/G219)</f>
        <v>1.1548538432747333</v>
      </c>
      <c r="M219" s="16">
        <f>IF($E219="L",$J219,0)</f>
        <v>0</v>
      </c>
      <c r="N219" s="16">
        <f>IF($E219="M",$J219,0)</f>
        <v>0</v>
      </c>
      <c r="O219" s="16">
        <f>IF($E219="P",$J219,0)</f>
        <v>421.52165279527765</v>
      </c>
      <c r="P219" s="16">
        <f>IF($E219="S",$J219,0)</f>
        <v>0</v>
      </c>
      <c r="Q219" s="16">
        <f t="shared" si="18"/>
        <v>421.52165279527765</v>
      </c>
      <c r="R219" s="118">
        <v>62</v>
      </c>
    </row>
    <row r="220" spans="1:18" outlineLevel="1" x14ac:dyDescent="0.5">
      <c r="A220" s="131" t="s">
        <v>448</v>
      </c>
      <c r="B220" s="14">
        <v>5</v>
      </c>
      <c r="C220" s="15" t="s">
        <v>7</v>
      </c>
      <c r="D220" s="44" t="str">
        <f>VLOOKUP(Estimate!$C220,Resources!$B$3:$G$336,4,FALSE)</f>
        <v xml:space="preserve">hr   </v>
      </c>
      <c r="E220" s="44" t="str">
        <f>VLOOKUP(Estimate!$C220,Resources!$B$3:$G$336,3,FALSE)</f>
        <v>L</v>
      </c>
      <c r="F220" s="52">
        <v>3</v>
      </c>
      <c r="G220" s="12">
        <f>G217</f>
        <v>77.778000000000006</v>
      </c>
      <c r="H220" s="12">
        <f>H219</f>
        <v>808.4</v>
      </c>
      <c r="I220" s="12">
        <f>VLOOKUP(C220,Resources!$B$3:$G$336,6,FALSE)</f>
        <v>38</v>
      </c>
      <c r="J220" s="12">
        <f>(H220/(G220/F220))*I220</f>
        <v>1184.8800431998764</v>
      </c>
      <c r="K220" s="90">
        <f>L220*F220</f>
        <v>31.181053768417804</v>
      </c>
      <c r="L220" s="90">
        <f>IF(E220="M"," ",H220/G220)</f>
        <v>10.393684589472601</v>
      </c>
      <c r="M220" s="16">
        <f>IF($E220="L",$J220,0)</f>
        <v>1184.8800431998764</v>
      </c>
      <c r="N220" s="16">
        <f>IF($E220="M",$J220,0)</f>
        <v>0</v>
      </c>
      <c r="O220" s="16">
        <f>IF($E220="P",$J220,0)</f>
        <v>0</v>
      </c>
      <c r="P220" s="16">
        <f>IF($E220="S",$J220,0)</f>
        <v>0</v>
      </c>
      <c r="Q220" s="16">
        <f t="shared" si="18"/>
        <v>1184.8800431998764</v>
      </c>
      <c r="R220" s="118">
        <v>62</v>
      </c>
    </row>
    <row r="221" spans="1:18" outlineLevel="1" x14ac:dyDescent="0.5">
      <c r="A221" s="132" t="s">
        <v>448</v>
      </c>
      <c r="B221" s="1"/>
      <c r="C221" s="2"/>
      <c r="D221" s="1"/>
      <c r="E221" s="45"/>
      <c r="F221" s="53"/>
      <c r="G221" s="11"/>
      <c r="H221" s="11"/>
      <c r="I221" s="11"/>
      <c r="J221" s="11"/>
      <c r="K221" s="91"/>
      <c r="L221" s="91"/>
      <c r="M221" s="13"/>
      <c r="N221" s="13"/>
      <c r="O221" s="13"/>
      <c r="P221" s="13"/>
      <c r="Q221" s="13"/>
      <c r="R221" s="119"/>
    </row>
    <row r="222" spans="1:18" ht="21" x14ac:dyDescent="0.5">
      <c r="A222" s="130">
        <v>47</v>
      </c>
      <c r="B222" s="7" t="s">
        <v>119</v>
      </c>
      <c r="C222" s="7" t="s">
        <v>120</v>
      </c>
      <c r="D222" s="8" t="s">
        <v>88</v>
      </c>
      <c r="E222" s="43"/>
      <c r="F222" s="51"/>
      <c r="G222" s="9"/>
      <c r="H222" s="129">
        <f>VLOOKUP($A222,'Model Inputs'!$A:$D,4)</f>
        <v>275</v>
      </c>
      <c r="I222" s="9">
        <f>J222/H222</f>
        <v>61.153680225199352</v>
      </c>
      <c r="J222" s="9">
        <f>SUBTOTAL(9,J223:J227)</f>
        <v>16817.262061929821</v>
      </c>
      <c r="K222" s="89"/>
      <c r="L222" s="89">
        <f>ROUNDUP(MAX(L224:L227)/workhrs,0)</f>
        <v>1</v>
      </c>
      <c r="M222" s="9">
        <f>SUBTOTAL(9,M223:M227)</f>
        <v>947.21515081385473</v>
      </c>
      <c r="N222" s="9">
        <f>SUBTOTAL(9,N223:N227)</f>
        <v>13538.9375</v>
      </c>
      <c r="O222" s="9">
        <f>SUBTOTAL(9,O223:O227)</f>
        <v>2331.1094111159682</v>
      </c>
      <c r="P222" s="9">
        <f>SUBTOTAL(9,P223:P227)</f>
        <v>0</v>
      </c>
      <c r="Q222" s="10">
        <f t="shared" ref="Q222:Q227" si="19">SUM(M222:P222)</f>
        <v>16817.262061929821</v>
      </c>
      <c r="R222" s="117"/>
    </row>
    <row r="223" spans="1:18" outlineLevel="1" x14ac:dyDescent="0.5">
      <c r="A223" s="131" t="s">
        <v>448</v>
      </c>
      <c r="B223" s="14">
        <v>1</v>
      </c>
      <c r="C223" s="15" t="s">
        <v>115</v>
      </c>
      <c r="D223" s="44" t="str">
        <f>VLOOKUP(Estimate!$C223,Resources!$B$3:$G$336,4,FALSE)</f>
        <v>tonne</v>
      </c>
      <c r="E223" s="44" t="str">
        <f>VLOOKUP(Estimate!$C223,Resources!$B$3:$G$336,3,FALSE)</f>
        <v>M</v>
      </c>
      <c r="F223" s="52">
        <v>1</v>
      </c>
      <c r="G223" s="12">
        <v>1</v>
      </c>
      <c r="H223" s="12">
        <f>H222*2.35</f>
        <v>646.25</v>
      </c>
      <c r="I223" s="12">
        <f>VLOOKUP(C223,Resources!$B$3:$G$336,6,FALSE)</f>
        <v>20.95</v>
      </c>
      <c r="J223" s="12">
        <f>(H223/(G223/F223))*I223</f>
        <v>13538.9375</v>
      </c>
      <c r="K223" s="90"/>
      <c r="L223" s="90" t="str">
        <f>IF(E223="M"," ",H223/G223)</f>
        <v xml:space="preserve"> </v>
      </c>
      <c r="M223" s="16">
        <f>IF($E223="L",$J223,0)</f>
        <v>0</v>
      </c>
      <c r="N223" s="16">
        <f>IF($E223="M",$J223,0)</f>
        <v>13538.9375</v>
      </c>
      <c r="O223" s="16">
        <f>IF($E223="P",$J223,0)</f>
        <v>0</v>
      </c>
      <c r="P223" s="16">
        <f>IF($E223="S",$J223,0)</f>
        <v>0</v>
      </c>
      <c r="Q223" s="16">
        <f t="shared" si="19"/>
        <v>13538.9375</v>
      </c>
      <c r="R223" s="118" t="s">
        <v>948</v>
      </c>
    </row>
    <row r="224" spans="1:18" outlineLevel="1" x14ac:dyDescent="0.5">
      <c r="A224" s="131">
        <v>47.1</v>
      </c>
      <c r="B224" s="14">
        <v>2</v>
      </c>
      <c r="C224" s="15" t="s">
        <v>96</v>
      </c>
      <c r="D224" s="44" t="str">
        <f>VLOOKUP(Estimate!$C224,Resources!$B$3:$G$336,4,FALSE)</f>
        <v xml:space="preserve">hr   </v>
      </c>
      <c r="E224" s="44" t="str">
        <f>VLOOKUP(Estimate!$C224,Resources!$B$3:$G$336,3,FALSE)</f>
        <v>P</v>
      </c>
      <c r="F224" s="52">
        <v>1</v>
      </c>
      <c r="G224" s="129">
        <f>VLOOKUP($A224,'Model Inputs'!$A:$D,4)</f>
        <v>77.778000000000006</v>
      </c>
      <c r="H224" s="12">
        <f>H223</f>
        <v>646.25</v>
      </c>
      <c r="I224" s="12">
        <f>VLOOKUP(C224,Resources!$B$3:$G$336,6,FALSE)</f>
        <v>145</v>
      </c>
      <c r="J224" s="12">
        <f>(H224/(G224/F224))*I224</f>
        <v>1204.7912005965698</v>
      </c>
      <c r="K224" s="90">
        <f>L224*F224</f>
        <v>8.308904831700481</v>
      </c>
      <c r="L224" s="90">
        <f>IF(E224="M"," ",H224/G224)</f>
        <v>8.308904831700481</v>
      </c>
      <c r="M224" s="16">
        <f>IF($E224="L",$J224,0)</f>
        <v>0</v>
      </c>
      <c r="N224" s="16">
        <f>IF($E224="M",$J224,0)</f>
        <v>0</v>
      </c>
      <c r="O224" s="16">
        <f>IF($E224="P",$J224,0)</f>
        <v>1204.7912005965698</v>
      </c>
      <c r="P224" s="16">
        <f>IF($E224="S",$J224,0)</f>
        <v>0</v>
      </c>
      <c r="Q224" s="16">
        <f t="shared" si="19"/>
        <v>1204.7912005965698</v>
      </c>
      <c r="R224" s="118">
        <v>62</v>
      </c>
    </row>
    <row r="225" spans="1:18" outlineLevel="1" x14ac:dyDescent="0.5">
      <c r="A225" s="131" t="s">
        <v>448</v>
      </c>
      <c r="B225" s="14">
        <v>3</v>
      </c>
      <c r="C225" s="15" t="s">
        <v>60</v>
      </c>
      <c r="D225" s="44" t="str">
        <f>VLOOKUP(Estimate!$C225,Resources!$B$3:$G$336,4,FALSE)</f>
        <v xml:space="preserve">hr   </v>
      </c>
      <c r="E225" s="44" t="str">
        <f>VLOOKUP(Estimate!$C225,Resources!$B$3:$G$336,3,FALSE)</f>
        <v>P</v>
      </c>
      <c r="F225" s="52">
        <v>1</v>
      </c>
      <c r="G225" s="12">
        <f>G224</f>
        <v>77.778000000000006</v>
      </c>
      <c r="H225" s="12">
        <f>H224</f>
        <v>646.25</v>
      </c>
      <c r="I225" s="12">
        <f>VLOOKUP(C225,Resources!$B$3:$G$336,6,FALSE)</f>
        <v>95</v>
      </c>
      <c r="J225" s="12">
        <f>(H225/(G225/F225))*I225</f>
        <v>789.34595901154569</v>
      </c>
      <c r="K225" s="90">
        <f>L225*F225</f>
        <v>8.308904831700481</v>
      </c>
      <c r="L225" s="90">
        <f>IF(E225="M"," ",H225/G225)</f>
        <v>8.308904831700481</v>
      </c>
      <c r="M225" s="16">
        <f>IF($E225="L",$J225,0)</f>
        <v>0</v>
      </c>
      <c r="N225" s="16">
        <f>IF($E225="M",$J225,0)</f>
        <v>0</v>
      </c>
      <c r="O225" s="16">
        <f>IF($E225="P",$J225,0)</f>
        <v>789.34595901154569</v>
      </c>
      <c r="P225" s="16">
        <f>IF($E225="S",$J225,0)</f>
        <v>0</v>
      </c>
      <c r="Q225" s="16">
        <f t="shared" si="19"/>
        <v>789.34595901154569</v>
      </c>
      <c r="R225" s="118">
        <v>62</v>
      </c>
    </row>
    <row r="226" spans="1:18" outlineLevel="1" x14ac:dyDescent="0.5">
      <c r="A226" s="131" t="s">
        <v>448</v>
      </c>
      <c r="B226" s="14">
        <v>4</v>
      </c>
      <c r="C226" s="15" t="s">
        <v>110</v>
      </c>
      <c r="D226" s="44" t="str">
        <f>VLOOKUP(Estimate!$C226,Resources!$B$3:$G$336,4,FALSE)</f>
        <v xml:space="preserve">day  </v>
      </c>
      <c r="E226" s="44" t="str">
        <f>VLOOKUP(Estimate!$C226,Resources!$B$3:$G$336,3,FALSE)</f>
        <v>P</v>
      </c>
      <c r="F226" s="52">
        <v>1</v>
      </c>
      <c r="G226" s="12">
        <f>G224*9</f>
        <v>700.00200000000007</v>
      </c>
      <c r="H226" s="12">
        <f>H225</f>
        <v>646.25</v>
      </c>
      <c r="I226" s="12">
        <f>VLOOKUP(C226,Resources!$B$3:$G$336,6,FALSE)</f>
        <v>365</v>
      </c>
      <c r="J226" s="12">
        <f>(H226/(G226/F226))*I226</f>
        <v>336.97225150785283</v>
      </c>
      <c r="K226" s="90">
        <f>L226*F226</f>
        <v>0.92321164796672006</v>
      </c>
      <c r="L226" s="90">
        <f>IF(E226="M"," ",H226/G226)</f>
        <v>0.92321164796672006</v>
      </c>
      <c r="M226" s="16">
        <f>IF($E226="L",$J226,0)</f>
        <v>0</v>
      </c>
      <c r="N226" s="16">
        <f>IF($E226="M",$J226,0)</f>
        <v>0</v>
      </c>
      <c r="O226" s="16">
        <f>IF($E226="P",$J226,0)</f>
        <v>336.97225150785283</v>
      </c>
      <c r="P226" s="16">
        <f>IF($E226="S",$J226,0)</f>
        <v>0</v>
      </c>
      <c r="Q226" s="16">
        <f t="shared" si="19"/>
        <v>336.97225150785283</v>
      </c>
      <c r="R226" s="118">
        <v>62</v>
      </c>
    </row>
    <row r="227" spans="1:18" outlineLevel="1" x14ac:dyDescent="0.5">
      <c r="A227" s="131" t="s">
        <v>448</v>
      </c>
      <c r="B227" s="14">
        <v>5</v>
      </c>
      <c r="C227" s="15" t="s">
        <v>7</v>
      </c>
      <c r="D227" s="44" t="str">
        <f>VLOOKUP(Estimate!$C227,Resources!$B$3:$G$336,4,FALSE)</f>
        <v xml:space="preserve">hr   </v>
      </c>
      <c r="E227" s="44" t="str">
        <f>VLOOKUP(Estimate!$C227,Resources!$B$3:$G$336,3,FALSE)</f>
        <v>L</v>
      </c>
      <c r="F227" s="52">
        <v>3</v>
      </c>
      <c r="G227" s="12">
        <f>G224</f>
        <v>77.778000000000006</v>
      </c>
      <c r="H227" s="12">
        <f>H226</f>
        <v>646.25</v>
      </c>
      <c r="I227" s="12">
        <f>VLOOKUP(C227,Resources!$B$3:$G$336,6,FALSE)</f>
        <v>38</v>
      </c>
      <c r="J227" s="12">
        <f>(H227/(G227/F227))*I227</f>
        <v>947.21515081385473</v>
      </c>
      <c r="K227" s="90">
        <f>L227*F227</f>
        <v>24.926714495101443</v>
      </c>
      <c r="L227" s="90">
        <f>IF(E227="M"," ",H227/G227)</f>
        <v>8.308904831700481</v>
      </c>
      <c r="M227" s="16">
        <f>IF($E227="L",$J227,0)</f>
        <v>947.21515081385473</v>
      </c>
      <c r="N227" s="16">
        <f>IF($E227="M",$J227,0)</f>
        <v>0</v>
      </c>
      <c r="O227" s="16">
        <f>IF($E227="P",$J227,0)</f>
        <v>0</v>
      </c>
      <c r="P227" s="16">
        <f>IF($E227="S",$J227,0)</f>
        <v>0</v>
      </c>
      <c r="Q227" s="16">
        <f t="shared" si="19"/>
        <v>947.21515081385473</v>
      </c>
      <c r="R227" s="118">
        <v>62</v>
      </c>
    </row>
    <row r="228" spans="1:18" outlineLevel="1" x14ac:dyDescent="0.5">
      <c r="A228" s="132" t="s">
        <v>448</v>
      </c>
      <c r="B228" s="1"/>
      <c r="C228" s="2"/>
      <c r="D228" s="1"/>
      <c r="E228" s="45"/>
      <c r="F228" s="53"/>
      <c r="G228" s="11"/>
      <c r="H228" s="11"/>
      <c r="I228" s="11"/>
      <c r="J228" s="11"/>
      <c r="K228" s="91"/>
      <c r="L228" s="91"/>
      <c r="M228" s="13"/>
      <c r="N228" s="13"/>
      <c r="O228" s="13"/>
      <c r="P228" s="13"/>
      <c r="Q228" s="13"/>
      <c r="R228" s="119"/>
    </row>
    <row r="229" spans="1:18" x14ac:dyDescent="0.5">
      <c r="A229" s="132">
        <v>48</v>
      </c>
      <c r="B229" s="1"/>
      <c r="C229" s="5" t="s">
        <v>624</v>
      </c>
      <c r="D229" s="1"/>
      <c r="E229" s="45"/>
      <c r="F229" s="53"/>
      <c r="G229" s="11"/>
      <c r="H229" s="11"/>
      <c r="I229" s="11"/>
      <c r="J229" s="11"/>
      <c r="K229" s="91"/>
      <c r="L229" s="91"/>
      <c r="M229" s="13"/>
      <c r="N229" s="13"/>
      <c r="O229" s="13"/>
      <c r="P229" s="13"/>
      <c r="Q229" s="13"/>
      <c r="R229" s="119"/>
    </row>
    <row r="230" spans="1:18" ht="21" x14ac:dyDescent="0.5">
      <c r="A230" s="130">
        <v>49</v>
      </c>
      <c r="B230" s="7" t="s">
        <v>121</v>
      </c>
      <c r="C230" s="7" t="s">
        <v>122</v>
      </c>
      <c r="D230" s="8" t="s">
        <v>88</v>
      </c>
      <c r="E230" s="43"/>
      <c r="F230" s="51"/>
      <c r="G230" s="9"/>
      <c r="H230" s="129">
        <f>VLOOKUP($A230,'Model Inputs'!$A:$D,4)</f>
        <v>77</v>
      </c>
      <c r="I230" s="9">
        <f>J230/H230</f>
        <v>62.916180225199362</v>
      </c>
      <c r="J230" s="9">
        <f>SUBTOTAL(9,J231:J235)</f>
        <v>4844.5458773403507</v>
      </c>
      <c r="K230" s="89"/>
      <c r="L230" s="89">
        <f>ROUNDUP(MAX(L232:L235)/workhrs,0)</f>
        <v>1</v>
      </c>
      <c r="M230" s="9">
        <f>SUBTOTAL(9,M231:M235)</f>
        <v>265.22024222787934</v>
      </c>
      <c r="N230" s="9">
        <f>SUBTOTAL(9,N231:N235)</f>
        <v>3926.6150000000002</v>
      </c>
      <c r="O230" s="9">
        <f>SUBTOTAL(9,O231:O235)</f>
        <v>652.7106351124711</v>
      </c>
      <c r="P230" s="9">
        <f>SUBTOTAL(9,P231:P235)</f>
        <v>0</v>
      </c>
      <c r="Q230" s="10">
        <f t="shared" ref="Q230:Q235" si="20">SUM(M230:P230)</f>
        <v>4844.5458773403507</v>
      </c>
      <c r="R230" s="117"/>
    </row>
    <row r="231" spans="1:18" outlineLevel="1" x14ac:dyDescent="0.5">
      <c r="A231" s="131" t="s">
        <v>448</v>
      </c>
      <c r="B231" s="14">
        <v>1</v>
      </c>
      <c r="C231" s="15" t="s">
        <v>721</v>
      </c>
      <c r="D231" s="44" t="str">
        <f>VLOOKUP(Estimate!$C231,Resources!$B$3:$G$336,4,FALSE)</f>
        <v>tonne</v>
      </c>
      <c r="E231" s="44" t="str">
        <f>VLOOKUP(Estimate!$C231,Resources!$B$3:$G$336,3,FALSE)</f>
        <v>M</v>
      </c>
      <c r="F231" s="52">
        <v>1</v>
      </c>
      <c r="G231" s="12">
        <v>1</v>
      </c>
      <c r="H231" s="12">
        <f>H230*2.35</f>
        <v>180.95000000000002</v>
      </c>
      <c r="I231" s="12">
        <f>VLOOKUP(C231,Resources!$B$3:$G$336,6,FALSE)</f>
        <v>21.7</v>
      </c>
      <c r="J231" s="12">
        <f>(H231/(G231/F231))*I231</f>
        <v>3926.6150000000002</v>
      </c>
      <c r="K231" s="90"/>
      <c r="L231" s="90" t="str">
        <f>IF(E231="M"," ",H231/G231)</f>
        <v xml:space="preserve"> </v>
      </c>
      <c r="M231" s="16">
        <f>IF($E231="L",$J231,0)</f>
        <v>0</v>
      </c>
      <c r="N231" s="16">
        <f>IF($E231="M",$J231,0)</f>
        <v>3926.6150000000002</v>
      </c>
      <c r="O231" s="16">
        <f>IF($E231="P",$J231,0)</f>
        <v>0</v>
      </c>
      <c r="P231" s="16">
        <f>IF($E231="S",$J231,0)</f>
        <v>0</v>
      </c>
      <c r="Q231" s="16">
        <f t="shared" si="20"/>
        <v>3926.6150000000002</v>
      </c>
      <c r="R231" s="118" t="s">
        <v>948</v>
      </c>
    </row>
    <row r="232" spans="1:18" outlineLevel="1" x14ac:dyDescent="0.5">
      <c r="A232" s="131">
        <v>49.1</v>
      </c>
      <c r="B232" s="14">
        <v>2</v>
      </c>
      <c r="C232" s="15" t="s">
        <v>96</v>
      </c>
      <c r="D232" s="44" t="str">
        <f>VLOOKUP(Estimate!$C232,Resources!$B$3:$G$336,4,FALSE)</f>
        <v xml:space="preserve">hr   </v>
      </c>
      <c r="E232" s="44" t="str">
        <f>VLOOKUP(Estimate!$C232,Resources!$B$3:$G$336,3,FALSE)</f>
        <v>P</v>
      </c>
      <c r="F232" s="52">
        <v>1</v>
      </c>
      <c r="G232" s="129">
        <f>VLOOKUP($A232,'Model Inputs'!$A:$D,4)</f>
        <v>77.778000000000006</v>
      </c>
      <c r="H232" s="12">
        <f>H231</f>
        <v>180.95000000000002</v>
      </c>
      <c r="I232" s="12">
        <f>VLOOKUP(C232,Resources!$B$3:$G$336,6,FALSE)</f>
        <v>145</v>
      </c>
      <c r="J232" s="12">
        <f>(H232/(G232/F232))*I232</f>
        <v>337.34153616703952</v>
      </c>
      <c r="K232" s="90">
        <f>L232*F232</f>
        <v>2.3264933528761347</v>
      </c>
      <c r="L232" s="90">
        <f>IF(E232="M"," ",H232/G232)</f>
        <v>2.3264933528761347</v>
      </c>
      <c r="M232" s="16">
        <f>IF($E232="L",$J232,0)</f>
        <v>0</v>
      </c>
      <c r="N232" s="16">
        <f>IF($E232="M",$J232,0)</f>
        <v>0</v>
      </c>
      <c r="O232" s="16">
        <f>IF($E232="P",$J232,0)</f>
        <v>337.34153616703952</v>
      </c>
      <c r="P232" s="16">
        <f>IF($E232="S",$J232,0)</f>
        <v>0</v>
      </c>
      <c r="Q232" s="16">
        <f t="shared" si="20"/>
        <v>337.34153616703952</v>
      </c>
      <c r="R232" s="118">
        <v>62</v>
      </c>
    </row>
    <row r="233" spans="1:18" outlineLevel="1" x14ac:dyDescent="0.5">
      <c r="A233" s="131" t="s">
        <v>448</v>
      </c>
      <c r="B233" s="14">
        <v>3</v>
      </c>
      <c r="C233" s="15" t="s">
        <v>60</v>
      </c>
      <c r="D233" s="44" t="str">
        <f>VLOOKUP(Estimate!$C233,Resources!$B$3:$G$336,4,FALSE)</f>
        <v xml:space="preserve">hr   </v>
      </c>
      <c r="E233" s="44" t="str">
        <f>VLOOKUP(Estimate!$C233,Resources!$B$3:$G$336,3,FALSE)</f>
        <v>P</v>
      </c>
      <c r="F233" s="52">
        <v>1</v>
      </c>
      <c r="G233" s="12">
        <f>G232</f>
        <v>77.778000000000006</v>
      </c>
      <c r="H233" s="12">
        <f>H232</f>
        <v>180.95000000000002</v>
      </c>
      <c r="I233" s="12">
        <f>VLOOKUP(C233,Resources!$B$3:$G$336,6,FALSE)</f>
        <v>95</v>
      </c>
      <c r="J233" s="12">
        <f>(H233/(G233/F233))*I233</f>
        <v>221.0168685232328</v>
      </c>
      <c r="K233" s="90">
        <f>L233*F233</f>
        <v>2.3264933528761347</v>
      </c>
      <c r="L233" s="90">
        <f>IF(E233="M"," ",H233/G233)</f>
        <v>2.3264933528761347</v>
      </c>
      <c r="M233" s="16">
        <f>IF($E233="L",$J233,0)</f>
        <v>0</v>
      </c>
      <c r="N233" s="16">
        <f>IF($E233="M",$J233,0)</f>
        <v>0</v>
      </c>
      <c r="O233" s="16">
        <f>IF($E233="P",$J233,0)</f>
        <v>221.0168685232328</v>
      </c>
      <c r="P233" s="16">
        <f>IF($E233="S",$J233,0)</f>
        <v>0</v>
      </c>
      <c r="Q233" s="16">
        <f t="shared" si="20"/>
        <v>221.0168685232328</v>
      </c>
      <c r="R233" s="118">
        <v>62</v>
      </c>
    </row>
    <row r="234" spans="1:18" outlineLevel="1" x14ac:dyDescent="0.5">
      <c r="A234" s="131" t="s">
        <v>448</v>
      </c>
      <c r="B234" s="14">
        <v>4</v>
      </c>
      <c r="C234" s="15" t="s">
        <v>110</v>
      </c>
      <c r="D234" s="44" t="str">
        <f>VLOOKUP(Estimate!$C234,Resources!$B$3:$G$336,4,FALSE)</f>
        <v xml:space="preserve">day  </v>
      </c>
      <c r="E234" s="44" t="str">
        <f>VLOOKUP(Estimate!$C234,Resources!$B$3:$G$336,3,FALSE)</f>
        <v>P</v>
      </c>
      <c r="F234" s="52">
        <v>1</v>
      </c>
      <c r="G234" s="12">
        <f>G232*9</f>
        <v>700.00200000000007</v>
      </c>
      <c r="H234" s="12">
        <f>H233</f>
        <v>180.95000000000002</v>
      </c>
      <c r="I234" s="12">
        <f>VLOOKUP(C234,Resources!$B$3:$G$336,6,FALSE)</f>
        <v>365</v>
      </c>
      <c r="J234" s="12">
        <f>(H234/(G234/F234))*I234</f>
        <v>94.352230422198801</v>
      </c>
      <c r="K234" s="90">
        <f>L234*F234</f>
        <v>0.25849926143068164</v>
      </c>
      <c r="L234" s="90">
        <f>IF(E234="M"," ",H234/G234)</f>
        <v>0.25849926143068164</v>
      </c>
      <c r="M234" s="16">
        <f>IF($E234="L",$J234,0)</f>
        <v>0</v>
      </c>
      <c r="N234" s="16">
        <f>IF($E234="M",$J234,0)</f>
        <v>0</v>
      </c>
      <c r="O234" s="16">
        <f>IF($E234="P",$J234,0)</f>
        <v>94.352230422198801</v>
      </c>
      <c r="P234" s="16">
        <f>IF($E234="S",$J234,0)</f>
        <v>0</v>
      </c>
      <c r="Q234" s="16">
        <f t="shared" si="20"/>
        <v>94.352230422198801</v>
      </c>
      <c r="R234" s="118">
        <v>62</v>
      </c>
    </row>
    <row r="235" spans="1:18" outlineLevel="1" x14ac:dyDescent="0.5">
      <c r="A235" s="131" t="s">
        <v>448</v>
      </c>
      <c r="B235" s="14">
        <v>5</v>
      </c>
      <c r="C235" s="15" t="s">
        <v>7</v>
      </c>
      <c r="D235" s="44" t="str">
        <f>VLOOKUP(Estimate!$C235,Resources!$B$3:$G$336,4,FALSE)</f>
        <v xml:space="preserve">hr   </v>
      </c>
      <c r="E235" s="44" t="str">
        <f>VLOOKUP(Estimate!$C235,Resources!$B$3:$G$336,3,FALSE)</f>
        <v>L</v>
      </c>
      <c r="F235" s="52">
        <v>3</v>
      </c>
      <c r="G235" s="12">
        <f>G232</f>
        <v>77.778000000000006</v>
      </c>
      <c r="H235" s="12">
        <f>H234</f>
        <v>180.95000000000002</v>
      </c>
      <c r="I235" s="12">
        <f>VLOOKUP(C235,Resources!$B$3:$G$336,6,FALSE)</f>
        <v>38</v>
      </c>
      <c r="J235" s="12">
        <f>(H235/(G235/F235))*I235</f>
        <v>265.22024222787934</v>
      </c>
      <c r="K235" s="90">
        <f>L235*F235</f>
        <v>6.979480058628404</v>
      </c>
      <c r="L235" s="90">
        <f>IF(E235="M"," ",H235/G235)</f>
        <v>2.3264933528761347</v>
      </c>
      <c r="M235" s="16">
        <f>IF($E235="L",$J235,0)</f>
        <v>265.22024222787934</v>
      </c>
      <c r="N235" s="16">
        <f>IF($E235="M",$J235,0)</f>
        <v>0</v>
      </c>
      <c r="O235" s="16">
        <f>IF($E235="P",$J235,0)</f>
        <v>0</v>
      </c>
      <c r="P235" s="16">
        <f>IF($E235="S",$J235,0)</f>
        <v>0</v>
      </c>
      <c r="Q235" s="16">
        <f t="shared" si="20"/>
        <v>265.22024222787934</v>
      </c>
      <c r="R235" s="118">
        <v>62</v>
      </c>
    </row>
    <row r="236" spans="1:18" outlineLevel="1" x14ac:dyDescent="0.5">
      <c r="A236" s="132" t="s">
        <v>448</v>
      </c>
      <c r="B236" s="1"/>
      <c r="C236" s="2"/>
      <c r="D236" s="1"/>
      <c r="E236" s="45"/>
      <c r="F236" s="53"/>
      <c r="G236" s="11"/>
      <c r="H236" s="11"/>
      <c r="I236" s="11"/>
      <c r="J236" s="11"/>
      <c r="K236" s="91"/>
      <c r="L236" s="91"/>
      <c r="M236" s="13"/>
      <c r="N236" s="13"/>
      <c r="O236" s="13"/>
      <c r="P236" s="13"/>
      <c r="Q236" s="13"/>
      <c r="R236" s="119"/>
    </row>
    <row r="237" spans="1:18" ht="21" x14ac:dyDescent="0.5">
      <c r="A237" s="130">
        <v>50</v>
      </c>
      <c r="B237" s="7" t="s">
        <v>123</v>
      </c>
      <c r="C237" s="7" t="s">
        <v>124</v>
      </c>
      <c r="D237" s="8" t="s">
        <v>88</v>
      </c>
      <c r="E237" s="43"/>
      <c r="F237" s="51"/>
      <c r="G237" s="9"/>
      <c r="H237" s="129">
        <f>VLOOKUP($A237,'Model Inputs'!$A:$D,4)</f>
        <v>77</v>
      </c>
      <c r="I237" s="9">
        <f>J237/H237</f>
        <v>61.153680225199366</v>
      </c>
      <c r="J237" s="9">
        <f>SUBTOTAL(9,J238:J242)</f>
        <v>4708.833377340351</v>
      </c>
      <c r="K237" s="89"/>
      <c r="L237" s="89">
        <f>ROUNDUP(MAX(L239:L242)/workhrs,0)</f>
        <v>1</v>
      </c>
      <c r="M237" s="9">
        <f>SUBTOTAL(9,M238:M242)</f>
        <v>265.22024222787934</v>
      </c>
      <c r="N237" s="9">
        <f>SUBTOTAL(9,N238:N242)</f>
        <v>3790.9025000000001</v>
      </c>
      <c r="O237" s="9">
        <f>SUBTOTAL(9,O238:O242)</f>
        <v>652.7106351124711</v>
      </c>
      <c r="P237" s="9">
        <f>SUBTOTAL(9,P238:P242)</f>
        <v>0</v>
      </c>
      <c r="Q237" s="10">
        <f t="shared" ref="Q237:Q242" si="21">SUM(M237:P237)</f>
        <v>4708.8333773403501</v>
      </c>
      <c r="R237" s="117"/>
    </row>
    <row r="238" spans="1:18" outlineLevel="1" x14ac:dyDescent="0.5">
      <c r="A238" s="131" t="s">
        <v>448</v>
      </c>
      <c r="B238" s="14">
        <v>1</v>
      </c>
      <c r="C238" s="15" t="s">
        <v>115</v>
      </c>
      <c r="D238" s="44" t="str">
        <f>VLOOKUP(Estimate!$C238,Resources!$B$3:$G$336,4,FALSE)</f>
        <v>tonne</v>
      </c>
      <c r="E238" s="44" t="str">
        <f>VLOOKUP(Estimate!$C238,Resources!$B$3:$G$336,3,FALSE)</f>
        <v>M</v>
      </c>
      <c r="F238" s="52">
        <v>1</v>
      </c>
      <c r="G238" s="12">
        <v>1</v>
      </c>
      <c r="H238" s="12">
        <f>H237*2.35</f>
        <v>180.95000000000002</v>
      </c>
      <c r="I238" s="12">
        <f>VLOOKUP(C238,Resources!$B$3:$G$336,6,FALSE)</f>
        <v>20.95</v>
      </c>
      <c r="J238" s="12">
        <f>(H238/(G238/F238))*I238</f>
        <v>3790.9025000000001</v>
      </c>
      <c r="K238" s="90"/>
      <c r="L238" s="90" t="str">
        <f>IF(E238="M"," ",H238/G238)</f>
        <v xml:space="preserve"> </v>
      </c>
      <c r="M238" s="16">
        <f>IF($E238="L",$J238,0)</f>
        <v>0</v>
      </c>
      <c r="N238" s="16">
        <f>IF($E238="M",$J238,0)</f>
        <v>3790.9025000000001</v>
      </c>
      <c r="O238" s="16">
        <f>IF($E238="P",$J238,0)</f>
        <v>0</v>
      </c>
      <c r="P238" s="16">
        <f>IF($E238="S",$J238,0)</f>
        <v>0</v>
      </c>
      <c r="Q238" s="16">
        <f t="shared" si="21"/>
        <v>3790.9025000000001</v>
      </c>
      <c r="R238" s="118" t="s">
        <v>948</v>
      </c>
    </row>
    <row r="239" spans="1:18" outlineLevel="1" x14ac:dyDescent="0.5">
      <c r="A239" s="131">
        <v>50.1</v>
      </c>
      <c r="B239" s="14">
        <v>2</v>
      </c>
      <c r="C239" s="15" t="s">
        <v>96</v>
      </c>
      <c r="D239" s="44" t="str">
        <f>VLOOKUP(Estimate!$C239,Resources!$B$3:$G$336,4,FALSE)</f>
        <v xml:space="preserve">hr   </v>
      </c>
      <c r="E239" s="44" t="str">
        <f>VLOOKUP(Estimate!$C239,Resources!$B$3:$G$336,3,FALSE)</f>
        <v>P</v>
      </c>
      <c r="F239" s="52">
        <v>1</v>
      </c>
      <c r="G239" s="129">
        <f>VLOOKUP($A239,'Model Inputs'!$A:$D,4)</f>
        <v>77.778000000000006</v>
      </c>
      <c r="H239" s="12">
        <f>H238</f>
        <v>180.95000000000002</v>
      </c>
      <c r="I239" s="12">
        <f>VLOOKUP(C239,Resources!$B$3:$G$336,6,FALSE)</f>
        <v>145</v>
      </c>
      <c r="J239" s="12">
        <f>(H239/(G239/F239))*I239</f>
        <v>337.34153616703952</v>
      </c>
      <c r="K239" s="90">
        <f>L239*F239</f>
        <v>2.3264933528761347</v>
      </c>
      <c r="L239" s="90">
        <f>IF(E239="M"," ",H239/G239)</f>
        <v>2.3264933528761347</v>
      </c>
      <c r="M239" s="16">
        <f>IF($E239="L",$J239,0)</f>
        <v>0</v>
      </c>
      <c r="N239" s="16">
        <f>IF($E239="M",$J239,0)</f>
        <v>0</v>
      </c>
      <c r="O239" s="16">
        <f>IF($E239="P",$J239,0)</f>
        <v>337.34153616703952</v>
      </c>
      <c r="P239" s="16">
        <f>IF($E239="S",$J239,0)</f>
        <v>0</v>
      </c>
      <c r="Q239" s="16">
        <f t="shared" si="21"/>
        <v>337.34153616703952</v>
      </c>
      <c r="R239" s="118">
        <v>62</v>
      </c>
    </row>
    <row r="240" spans="1:18" outlineLevel="1" x14ac:dyDescent="0.5">
      <c r="A240" s="131" t="s">
        <v>448</v>
      </c>
      <c r="B240" s="14">
        <v>3</v>
      </c>
      <c r="C240" s="15" t="s">
        <v>60</v>
      </c>
      <c r="D240" s="44" t="str">
        <f>VLOOKUP(Estimate!$C240,Resources!$B$3:$G$336,4,FALSE)</f>
        <v xml:space="preserve">hr   </v>
      </c>
      <c r="E240" s="44" t="str">
        <f>VLOOKUP(Estimate!$C240,Resources!$B$3:$G$336,3,FALSE)</f>
        <v>P</v>
      </c>
      <c r="F240" s="52">
        <v>1</v>
      </c>
      <c r="G240" s="12">
        <f>G239</f>
        <v>77.778000000000006</v>
      </c>
      <c r="H240" s="12">
        <f>H239</f>
        <v>180.95000000000002</v>
      </c>
      <c r="I240" s="12">
        <f>VLOOKUP(C240,Resources!$B$3:$G$336,6,FALSE)</f>
        <v>95</v>
      </c>
      <c r="J240" s="12">
        <f>(H240/(G240/F240))*I240</f>
        <v>221.0168685232328</v>
      </c>
      <c r="K240" s="90">
        <f>L240*F240</f>
        <v>2.3264933528761347</v>
      </c>
      <c r="L240" s="90">
        <f>IF(E240="M"," ",H240/G240)</f>
        <v>2.3264933528761347</v>
      </c>
      <c r="M240" s="16">
        <f>IF($E240="L",$J240,0)</f>
        <v>0</v>
      </c>
      <c r="N240" s="16">
        <f>IF($E240="M",$J240,0)</f>
        <v>0</v>
      </c>
      <c r="O240" s="16">
        <f>IF($E240="P",$J240,0)</f>
        <v>221.0168685232328</v>
      </c>
      <c r="P240" s="16">
        <f>IF($E240="S",$J240,0)</f>
        <v>0</v>
      </c>
      <c r="Q240" s="16">
        <f t="shared" si="21"/>
        <v>221.0168685232328</v>
      </c>
      <c r="R240" s="118">
        <v>62</v>
      </c>
    </row>
    <row r="241" spans="1:18" outlineLevel="1" x14ac:dyDescent="0.5">
      <c r="A241" s="131" t="s">
        <v>448</v>
      </c>
      <c r="B241" s="14">
        <v>4</v>
      </c>
      <c r="C241" s="15" t="s">
        <v>110</v>
      </c>
      <c r="D241" s="44" t="str">
        <f>VLOOKUP(Estimate!$C241,Resources!$B$3:$G$336,4,FALSE)</f>
        <v xml:space="preserve">day  </v>
      </c>
      <c r="E241" s="44" t="str">
        <f>VLOOKUP(Estimate!$C241,Resources!$B$3:$G$336,3,FALSE)</f>
        <v>P</v>
      </c>
      <c r="F241" s="52">
        <v>1</v>
      </c>
      <c r="G241" s="12">
        <f>G239*9</f>
        <v>700.00200000000007</v>
      </c>
      <c r="H241" s="12">
        <f>H240</f>
        <v>180.95000000000002</v>
      </c>
      <c r="I241" s="12">
        <f>VLOOKUP(C241,Resources!$B$3:$G$336,6,FALSE)</f>
        <v>365</v>
      </c>
      <c r="J241" s="12">
        <f>(H241/(G241/F241))*I241</f>
        <v>94.352230422198801</v>
      </c>
      <c r="K241" s="90">
        <f>L241*F241</f>
        <v>0.25849926143068164</v>
      </c>
      <c r="L241" s="90">
        <f>IF(E241="M"," ",H241/G241)</f>
        <v>0.25849926143068164</v>
      </c>
      <c r="M241" s="16">
        <f>IF($E241="L",$J241,0)</f>
        <v>0</v>
      </c>
      <c r="N241" s="16">
        <f>IF($E241="M",$J241,0)</f>
        <v>0</v>
      </c>
      <c r="O241" s="16">
        <f>IF($E241="P",$J241,0)</f>
        <v>94.352230422198801</v>
      </c>
      <c r="P241" s="16">
        <f>IF($E241="S",$J241,0)</f>
        <v>0</v>
      </c>
      <c r="Q241" s="16">
        <f t="shared" si="21"/>
        <v>94.352230422198801</v>
      </c>
      <c r="R241" s="118">
        <v>62</v>
      </c>
    </row>
    <row r="242" spans="1:18" outlineLevel="1" x14ac:dyDescent="0.5">
      <c r="A242" s="131" t="s">
        <v>448</v>
      </c>
      <c r="B242" s="14">
        <v>5</v>
      </c>
      <c r="C242" s="15" t="s">
        <v>7</v>
      </c>
      <c r="D242" s="44" t="str">
        <f>VLOOKUP(Estimate!$C242,Resources!$B$3:$G$336,4,FALSE)</f>
        <v xml:space="preserve">hr   </v>
      </c>
      <c r="E242" s="44" t="str">
        <f>VLOOKUP(Estimate!$C242,Resources!$B$3:$G$336,3,FALSE)</f>
        <v>L</v>
      </c>
      <c r="F242" s="52">
        <v>3</v>
      </c>
      <c r="G242" s="12">
        <f>G239</f>
        <v>77.778000000000006</v>
      </c>
      <c r="H242" s="12">
        <f>H241</f>
        <v>180.95000000000002</v>
      </c>
      <c r="I242" s="12">
        <f>VLOOKUP(C242,Resources!$B$3:$G$336,6,FALSE)</f>
        <v>38</v>
      </c>
      <c r="J242" s="12">
        <f>(H242/(G242/F242))*I242</f>
        <v>265.22024222787934</v>
      </c>
      <c r="K242" s="90">
        <f>L242*F242</f>
        <v>6.979480058628404</v>
      </c>
      <c r="L242" s="90">
        <f>IF(E242="M"," ",H242/G242)</f>
        <v>2.3264933528761347</v>
      </c>
      <c r="M242" s="16">
        <f>IF($E242="L",$J242,0)</f>
        <v>265.22024222787934</v>
      </c>
      <c r="N242" s="16">
        <f>IF($E242="M",$J242,0)</f>
        <v>0</v>
      </c>
      <c r="O242" s="16">
        <f>IF($E242="P",$J242,0)</f>
        <v>0</v>
      </c>
      <c r="P242" s="16">
        <f>IF($E242="S",$J242,0)</f>
        <v>0</v>
      </c>
      <c r="Q242" s="16">
        <f t="shared" si="21"/>
        <v>265.22024222787934</v>
      </c>
      <c r="R242" s="118">
        <v>62</v>
      </c>
    </row>
    <row r="243" spans="1:18" outlineLevel="1" x14ac:dyDescent="0.5">
      <c r="A243" s="132" t="s">
        <v>448</v>
      </c>
      <c r="B243" s="1"/>
      <c r="C243" s="2"/>
      <c r="D243" s="1"/>
      <c r="E243" s="45"/>
      <c r="F243" s="53"/>
      <c r="G243" s="11"/>
      <c r="H243" s="11"/>
      <c r="I243" s="11"/>
      <c r="J243" s="11"/>
      <c r="K243" s="91"/>
      <c r="L243" s="91"/>
      <c r="M243" s="13"/>
      <c r="N243" s="13"/>
      <c r="O243" s="13"/>
      <c r="P243" s="13"/>
      <c r="Q243" s="13"/>
      <c r="R243" s="119"/>
    </row>
    <row r="244" spans="1:18" ht="21" x14ac:dyDescent="0.5">
      <c r="A244" s="130">
        <v>51</v>
      </c>
      <c r="B244" s="7" t="s">
        <v>125</v>
      </c>
      <c r="C244" s="7" t="s">
        <v>126</v>
      </c>
      <c r="D244" s="8" t="s">
        <v>88</v>
      </c>
      <c r="E244" s="43"/>
      <c r="F244" s="51"/>
      <c r="G244" s="9"/>
      <c r="H244" s="129">
        <f>VLOOKUP($A244,'Model Inputs'!$A:$D,4)</f>
        <v>77</v>
      </c>
      <c r="I244" s="9">
        <f>J244/H244</f>
        <v>61.153680225199366</v>
      </c>
      <c r="J244" s="9">
        <f>SUBTOTAL(9,J245:J249)</f>
        <v>4708.833377340351</v>
      </c>
      <c r="K244" s="89"/>
      <c r="L244" s="89">
        <f>ROUNDUP(MAX(L246:L249)/workhrs,0)</f>
        <v>1</v>
      </c>
      <c r="M244" s="9">
        <f>SUBTOTAL(9,M245:M249)</f>
        <v>265.22024222787934</v>
      </c>
      <c r="N244" s="9">
        <f>SUBTOTAL(9,N245:N249)</f>
        <v>3790.9025000000001</v>
      </c>
      <c r="O244" s="9">
        <f>SUBTOTAL(9,O245:O249)</f>
        <v>652.7106351124711</v>
      </c>
      <c r="P244" s="9">
        <f>SUBTOTAL(9,P245:P249)</f>
        <v>0</v>
      </c>
      <c r="Q244" s="10">
        <f t="shared" ref="Q244:Q249" si="22">SUM(M244:P244)</f>
        <v>4708.8333773403501</v>
      </c>
      <c r="R244" s="117"/>
    </row>
    <row r="245" spans="1:18" outlineLevel="1" x14ac:dyDescent="0.5">
      <c r="A245" s="131" t="s">
        <v>448</v>
      </c>
      <c r="B245" s="14">
        <v>1</v>
      </c>
      <c r="C245" s="15" t="s">
        <v>115</v>
      </c>
      <c r="D245" s="44" t="str">
        <f>VLOOKUP(Estimate!$C245,Resources!$B$3:$G$336,4,FALSE)</f>
        <v>tonne</v>
      </c>
      <c r="E245" s="44" t="str">
        <f>VLOOKUP(Estimate!$C245,Resources!$B$3:$G$336,3,FALSE)</f>
        <v>M</v>
      </c>
      <c r="F245" s="52">
        <v>1</v>
      </c>
      <c r="G245" s="12">
        <v>1</v>
      </c>
      <c r="H245" s="12">
        <f>H244*2.35</f>
        <v>180.95000000000002</v>
      </c>
      <c r="I245" s="12">
        <f>VLOOKUP(C245,Resources!$B$3:$G$336,6,FALSE)</f>
        <v>20.95</v>
      </c>
      <c r="J245" s="12">
        <f>(H245/(G245/F245))*I245</f>
        <v>3790.9025000000001</v>
      </c>
      <c r="K245" s="90"/>
      <c r="L245" s="90" t="str">
        <f>IF(E245="M"," ",H245/G245)</f>
        <v xml:space="preserve"> </v>
      </c>
      <c r="M245" s="16">
        <f>IF($E245="L",$J245,0)</f>
        <v>0</v>
      </c>
      <c r="N245" s="16">
        <f>IF($E245="M",$J245,0)</f>
        <v>3790.9025000000001</v>
      </c>
      <c r="O245" s="16">
        <f>IF($E245="P",$J245,0)</f>
        <v>0</v>
      </c>
      <c r="P245" s="16">
        <f>IF($E245="S",$J245,0)</f>
        <v>0</v>
      </c>
      <c r="Q245" s="16">
        <f t="shared" si="22"/>
        <v>3790.9025000000001</v>
      </c>
      <c r="R245" s="118" t="s">
        <v>948</v>
      </c>
    </row>
    <row r="246" spans="1:18" outlineLevel="1" x14ac:dyDescent="0.5">
      <c r="A246" s="131">
        <v>51.1</v>
      </c>
      <c r="B246" s="14">
        <v>2</v>
      </c>
      <c r="C246" s="15" t="s">
        <v>96</v>
      </c>
      <c r="D246" s="44" t="str">
        <f>VLOOKUP(Estimate!$C246,Resources!$B$3:$G$336,4,FALSE)</f>
        <v xml:space="preserve">hr   </v>
      </c>
      <c r="E246" s="44" t="str">
        <f>VLOOKUP(Estimate!$C246,Resources!$B$3:$G$336,3,FALSE)</f>
        <v>P</v>
      </c>
      <c r="F246" s="52">
        <v>1</v>
      </c>
      <c r="G246" s="129">
        <f>VLOOKUP($A246,'Model Inputs'!$A:$D,4)</f>
        <v>77.778000000000006</v>
      </c>
      <c r="H246" s="12">
        <f>H245</f>
        <v>180.95000000000002</v>
      </c>
      <c r="I246" s="12">
        <f>VLOOKUP(C246,Resources!$B$3:$G$336,6,FALSE)</f>
        <v>145</v>
      </c>
      <c r="J246" s="12">
        <f>(H246/(G246/F246))*I246</f>
        <v>337.34153616703952</v>
      </c>
      <c r="K246" s="90">
        <f>L246*F246</f>
        <v>2.3264933528761347</v>
      </c>
      <c r="L246" s="90">
        <f>IF(E246="M"," ",H246/G246)</f>
        <v>2.3264933528761347</v>
      </c>
      <c r="M246" s="16">
        <f>IF($E246="L",$J246,0)</f>
        <v>0</v>
      </c>
      <c r="N246" s="16">
        <f>IF($E246="M",$J246,0)</f>
        <v>0</v>
      </c>
      <c r="O246" s="16">
        <f>IF($E246="P",$J246,0)</f>
        <v>337.34153616703952</v>
      </c>
      <c r="P246" s="16">
        <f>IF($E246="S",$J246,0)</f>
        <v>0</v>
      </c>
      <c r="Q246" s="16">
        <f t="shared" si="22"/>
        <v>337.34153616703952</v>
      </c>
      <c r="R246" s="118">
        <v>62</v>
      </c>
    </row>
    <row r="247" spans="1:18" outlineLevel="1" x14ac:dyDescent="0.5">
      <c r="A247" s="131" t="s">
        <v>448</v>
      </c>
      <c r="B247" s="14">
        <v>3</v>
      </c>
      <c r="C247" s="15" t="s">
        <v>60</v>
      </c>
      <c r="D247" s="44" t="str">
        <f>VLOOKUP(Estimate!$C247,Resources!$B$3:$G$336,4,FALSE)</f>
        <v xml:space="preserve">hr   </v>
      </c>
      <c r="E247" s="44" t="str">
        <f>VLOOKUP(Estimate!$C247,Resources!$B$3:$G$336,3,FALSE)</f>
        <v>P</v>
      </c>
      <c r="F247" s="52">
        <v>1</v>
      </c>
      <c r="G247" s="12">
        <f>G246</f>
        <v>77.778000000000006</v>
      </c>
      <c r="H247" s="12">
        <f>H246</f>
        <v>180.95000000000002</v>
      </c>
      <c r="I247" s="12">
        <f>VLOOKUP(C247,Resources!$B$3:$G$336,6,FALSE)</f>
        <v>95</v>
      </c>
      <c r="J247" s="12">
        <f>(H247/(G247/F247))*I247</f>
        <v>221.0168685232328</v>
      </c>
      <c r="K247" s="90">
        <f>L247*F247</f>
        <v>2.3264933528761347</v>
      </c>
      <c r="L247" s="90">
        <f>IF(E247="M"," ",H247/G247)</f>
        <v>2.3264933528761347</v>
      </c>
      <c r="M247" s="16">
        <f>IF($E247="L",$J247,0)</f>
        <v>0</v>
      </c>
      <c r="N247" s="16">
        <f>IF($E247="M",$J247,0)</f>
        <v>0</v>
      </c>
      <c r="O247" s="16">
        <f>IF($E247="P",$J247,0)</f>
        <v>221.0168685232328</v>
      </c>
      <c r="P247" s="16">
        <f>IF($E247="S",$J247,0)</f>
        <v>0</v>
      </c>
      <c r="Q247" s="16">
        <f t="shared" si="22"/>
        <v>221.0168685232328</v>
      </c>
      <c r="R247" s="118">
        <v>62</v>
      </c>
    </row>
    <row r="248" spans="1:18" outlineLevel="1" x14ac:dyDescent="0.5">
      <c r="A248" s="131" t="s">
        <v>448</v>
      </c>
      <c r="B248" s="14">
        <v>4</v>
      </c>
      <c r="C248" s="15" t="s">
        <v>110</v>
      </c>
      <c r="D248" s="44" t="str">
        <f>VLOOKUP(Estimate!$C248,Resources!$B$3:$G$336,4,FALSE)</f>
        <v xml:space="preserve">day  </v>
      </c>
      <c r="E248" s="44" t="str">
        <f>VLOOKUP(Estimate!$C248,Resources!$B$3:$G$336,3,FALSE)</f>
        <v>P</v>
      </c>
      <c r="F248" s="52">
        <v>1</v>
      </c>
      <c r="G248" s="12">
        <f>G246*9</f>
        <v>700.00200000000007</v>
      </c>
      <c r="H248" s="12">
        <f>H247</f>
        <v>180.95000000000002</v>
      </c>
      <c r="I248" s="12">
        <f>VLOOKUP(C248,Resources!$B$3:$G$336,6,FALSE)</f>
        <v>365</v>
      </c>
      <c r="J248" s="12">
        <f>(H248/(G248/F248))*I248</f>
        <v>94.352230422198801</v>
      </c>
      <c r="K248" s="90">
        <f>L248*F248</f>
        <v>0.25849926143068164</v>
      </c>
      <c r="L248" s="90">
        <f>IF(E248="M"," ",H248/G248)</f>
        <v>0.25849926143068164</v>
      </c>
      <c r="M248" s="16">
        <f>IF($E248="L",$J248,0)</f>
        <v>0</v>
      </c>
      <c r="N248" s="16">
        <f>IF($E248="M",$J248,0)</f>
        <v>0</v>
      </c>
      <c r="O248" s="16">
        <f>IF($E248="P",$J248,0)</f>
        <v>94.352230422198801</v>
      </c>
      <c r="P248" s="16">
        <f>IF($E248="S",$J248,0)</f>
        <v>0</v>
      </c>
      <c r="Q248" s="16">
        <f t="shared" si="22"/>
        <v>94.352230422198801</v>
      </c>
      <c r="R248" s="118">
        <v>62</v>
      </c>
    </row>
    <row r="249" spans="1:18" outlineLevel="1" x14ac:dyDescent="0.5">
      <c r="A249" s="131" t="s">
        <v>448</v>
      </c>
      <c r="B249" s="14">
        <v>5</v>
      </c>
      <c r="C249" s="15" t="s">
        <v>7</v>
      </c>
      <c r="D249" s="44" t="str">
        <f>VLOOKUP(Estimate!$C249,Resources!$B$3:$G$336,4,FALSE)</f>
        <v xml:space="preserve">hr   </v>
      </c>
      <c r="E249" s="44" t="str">
        <f>VLOOKUP(Estimate!$C249,Resources!$B$3:$G$336,3,FALSE)</f>
        <v>L</v>
      </c>
      <c r="F249" s="52">
        <v>3</v>
      </c>
      <c r="G249" s="12">
        <f>G246</f>
        <v>77.778000000000006</v>
      </c>
      <c r="H249" s="12">
        <f>H248</f>
        <v>180.95000000000002</v>
      </c>
      <c r="I249" s="12">
        <f>VLOOKUP(C249,Resources!$B$3:$G$336,6,FALSE)</f>
        <v>38</v>
      </c>
      <c r="J249" s="12">
        <f>(H249/(G249/F249))*I249</f>
        <v>265.22024222787934</v>
      </c>
      <c r="K249" s="90">
        <f>L249*F249</f>
        <v>6.979480058628404</v>
      </c>
      <c r="L249" s="90">
        <f>IF(E249="M"," ",H249/G249)</f>
        <v>2.3264933528761347</v>
      </c>
      <c r="M249" s="16">
        <f>IF($E249="L",$J249,0)</f>
        <v>265.22024222787934</v>
      </c>
      <c r="N249" s="16">
        <f>IF($E249="M",$J249,0)</f>
        <v>0</v>
      </c>
      <c r="O249" s="16">
        <f>IF($E249="P",$J249,0)</f>
        <v>0</v>
      </c>
      <c r="P249" s="16">
        <f>IF($E249="S",$J249,0)</f>
        <v>0</v>
      </c>
      <c r="Q249" s="16">
        <f t="shared" si="22"/>
        <v>265.22024222787934</v>
      </c>
      <c r="R249" s="118">
        <v>62</v>
      </c>
    </row>
    <row r="250" spans="1:18" outlineLevel="1" x14ac:dyDescent="0.5">
      <c r="A250" s="132" t="s">
        <v>448</v>
      </c>
      <c r="B250" s="1"/>
      <c r="C250" s="2"/>
      <c r="D250" s="1"/>
      <c r="E250" s="45"/>
      <c r="F250" s="53"/>
      <c r="G250" s="11"/>
      <c r="H250" s="11"/>
      <c r="I250" s="11"/>
      <c r="J250" s="11"/>
      <c r="K250" s="91"/>
      <c r="L250" s="91"/>
      <c r="M250" s="13"/>
      <c r="N250" s="13"/>
      <c r="O250" s="13"/>
      <c r="P250" s="13"/>
      <c r="Q250" s="13"/>
      <c r="R250" s="119"/>
    </row>
    <row r="251" spans="1:18" x14ac:dyDescent="0.5">
      <c r="A251" s="132">
        <v>52</v>
      </c>
      <c r="B251" s="1"/>
      <c r="C251" s="5" t="s">
        <v>625</v>
      </c>
      <c r="D251" s="1"/>
      <c r="E251" s="45"/>
      <c r="F251" s="53"/>
      <c r="G251" s="11"/>
      <c r="H251" s="11"/>
      <c r="I251" s="11"/>
      <c r="J251" s="11"/>
      <c r="K251" s="91"/>
      <c r="L251" s="91"/>
      <c r="M251" s="13"/>
      <c r="N251" s="13"/>
      <c r="O251" s="13"/>
      <c r="P251" s="13"/>
      <c r="Q251" s="13"/>
      <c r="R251" s="119"/>
    </row>
    <row r="252" spans="1:18" ht="21" x14ac:dyDescent="0.5">
      <c r="A252" s="130">
        <v>53</v>
      </c>
      <c r="B252" s="7" t="s">
        <v>127</v>
      </c>
      <c r="C252" s="7" t="s">
        <v>122</v>
      </c>
      <c r="D252" s="8" t="s">
        <v>88</v>
      </c>
      <c r="E252" s="43"/>
      <c r="F252" s="51"/>
      <c r="G252" s="9"/>
      <c r="H252" s="129">
        <f>VLOOKUP($A252,'Model Inputs'!$A:$D,4)</f>
        <v>336</v>
      </c>
      <c r="I252" s="9">
        <f>J252/H252</f>
        <v>62.916180225199348</v>
      </c>
      <c r="J252" s="9">
        <f>SUBTOTAL(9,J253:J257)</f>
        <v>21139.836555666981</v>
      </c>
      <c r="K252" s="89"/>
      <c r="L252" s="89">
        <f>ROUNDUP(MAX(L254:L257)/workhrs,0)</f>
        <v>2</v>
      </c>
      <c r="M252" s="9">
        <f>SUBTOTAL(9,M253:M257)</f>
        <v>1157.324693358019</v>
      </c>
      <c r="N252" s="9">
        <f>SUBTOTAL(9,N253:N257)</f>
        <v>17134.32</v>
      </c>
      <c r="O252" s="9">
        <f>SUBTOTAL(9,O253:O257)</f>
        <v>2848.191862308965</v>
      </c>
      <c r="P252" s="9">
        <f>SUBTOTAL(9,P253:P257)</f>
        <v>0</v>
      </c>
      <c r="Q252" s="10">
        <f t="shared" ref="Q252:Q257" si="23">SUM(M252:P252)</f>
        <v>21139.836555666985</v>
      </c>
      <c r="R252" s="117"/>
    </row>
    <row r="253" spans="1:18" outlineLevel="1" x14ac:dyDescent="0.5">
      <c r="A253" s="131" t="s">
        <v>448</v>
      </c>
      <c r="B253" s="14">
        <v>1</v>
      </c>
      <c r="C253" s="15" t="s">
        <v>721</v>
      </c>
      <c r="D253" s="44" t="str">
        <f>VLOOKUP(Estimate!$C253,Resources!$B$3:$G$336,4,FALSE)</f>
        <v>tonne</v>
      </c>
      <c r="E253" s="44" t="str">
        <f>VLOOKUP(Estimate!$C253,Resources!$B$3:$G$336,3,FALSE)</f>
        <v>M</v>
      </c>
      <c r="F253" s="52">
        <v>1</v>
      </c>
      <c r="G253" s="12">
        <v>1</v>
      </c>
      <c r="H253" s="12">
        <f>H252*2.35</f>
        <v>789.6</v>
      </c>
      <c r="I253" s="12">
        <f>VLOOKUP(C253,Resources!$B$3:$G$336,6,FALSE)</f>
        <v>21.7</v>
      </c>
      <c r="J253" s="12">
        <f>(H253/(G253/F253))*I253</f>
        <v>17134.32</v>
      </c>
      <c r="K253" s="90"/>
      <c r="L253" s="90" t="str">
        <f>IF(E253="M"," ",H253/G253)</f>
        <v xml:space="preserve"> </v>
      </c>
      <c r="M253" s="16">
        <f>IF($E253="L",$J253,0)</f>
        <v>0</v>
      </c>
      <c r="N253" s="16">
        <f>IF($E253="M",$J253,0)</f>
        <v>17134.32</v>
      </c>
      <c r="O253" s="16">
        <f>IF($E253="P",$J253,0)</f>
        <v>0</v>
      </c>
      <c r="P253" s="16">
        <f>IF($E253="S",$J253,0)</f>
        <v>0</v>
      </c>
      <c r="Q253" s="16">
        <f t="shared" si="23"/>
        <v>17134.32</v>
      </c>
      <c r="R253" s="118" t="s">
        <v>948</v>
      </c>
    </row>
    <row r="254" spans="1:18" outlineLevel="1" x14ac:dyDescent="0.5">
      <c r="A254" s="131">
        <v>53.1</v>
      </c>
      <c r="B254" s="14">
        <v>2</v>
      </c>
      <c r="C254" s="15" t="s">
        <v>96</v>
      </c>
      <c r="D254" s="44" t="str">
        <f>VLOOKUP(Estimate!$C254,Resources!$B$3:$G$336,4,FALSE)</f>
        <v xml:space="preserve">hr   </v>
      </c>
      <c r="E254" s="44" t="str">
        <f>VLOOKUP(Estimate!$C254,Resources!$B$3:$G$336,3,FALSE)</f>
        <v>P</v>
      </c>
      <c r="F254" s="52">
        <v>1</v>
      </c>
      <c r="G254" s="129">
        <f>VLOOKUP($A254,'Model Inputs'!$A:$D,4)</f>
        <v>77.778000000000006</v>
      </c>
      <c r="H254" s="12">
        <f>H253</f>
        <v>789.6</v>
      </c>
      <c r="I254" s="12">
        <f>VLOOKUP(C254,Resources!$B$3:$G$336,6,FALSE)</f>
        <v>145</v>
      </c>
      <c r="J254" s="12">
        <f>(H254/(G254/F254))*I254</f>
        <v>1472.0357941834452</v>
      </c>
      <c r="K254" s="90">
        <f>L254*F254</f>
        <v>10.151970994368588</v>
      </c>
      <c r="L254" s="90">
        <f>IF(E254="M"," ",H254/G254)</f>
        <v>10.151970994368588</v>
      </c>
      <c r="M254" s="16">
        <f>IF($E254="L",$J254,0)</f>
        <v>0</v>
      </c>
      <c r="N254" s="16">
        <f>IF($E254="M",$J254,0)</f>
        <v>0</v>
      </c>
      <c r="O254" s="16">
        <f>IF($E254="P",$J254,0)</f>
        <v>1472.0357941834452</v>
      </c>
      <c r="P254" s="16">
        <f>IF($E254="S",$J254,0)</f>
        <v>0</v>
      </c>
      <c r="Q254" s="16">
        <f t="shared" si="23"/>
        <v>1472.0357941834452</v>
      </c>
      <c r="R254" s="118">
        <v>62</v>
      </c>
    </row>
    <row r="255" spans="1:18" outlineLevel="1" x14ac:dyDescent="0.5">
      <c r="A255" s="131" t="s">
        <v>448</v>
      </c>
      <c r="B255" s="14">
        <v>3</v>
      </c>
      <c r="C255" s="15" t="s">
        <v>60</v>
      </c>
      <c r="D255" s="44" t="str">
        <f>VLOOKUP(Estimate!$C255,Resources!$B$3:$G$336,4,FALSE)</f>
        <v xml:space="preserve">hr   </v>
      </c>
      <c r="E255" s="44" t="str">
        <f>VLOOKUP(Estimate!$C255,Resources!$B$3:$G$336,3,FALSE)</f>
        <v>P</v>
      </c>
      <c r="F255" s="52">
        <v>1</v>
      </c>
      <c r="G255" s="12">
        <f>G254</f>
        <v>77.778000000000006</v>
      </c>
      <c r="H255" s="12">
        <f>H254</f>
        <v>789.6</v>
      </c>
      <c r="I255" s="12">
        <f>VLOOKUP(C255,Resources!$B$3:$G$336,6,FALSE)</f>
        <v>95</v>
      </c>
      <c r="J255" s="12">
        <f>(H255/(G255/F255))*I255</f>
        <v>964.43724446501585</v>
      </c>
      <c r="K255" s="90">
        <f>L255*F255</f>
        <v>10.151970994368588</v>
      </c>
      <c r="L255" s="90">
        <f>IF(E255="M"," ",H255/G255)</f>
        <v>10.151970994368588</v>
      </c>
      <c r="M255" s="16">
        <f>IF($E255="L",$J255,0)</f>
        <v>0</v>
      </c>
      <c r="N255" s="16">
        <f>IF($E255="M",$J255,0)</f>
        <v>0</v>
      </c>
      <c r="O255" s="16">
        <f>IF($E255="P",$J255,0)</f>
        <v>964.43724446501585</v>
      </c>
      <c r="P255" s="16">
        <f>IF($E255="S",$J255,0)</f>
        <v>0</v>
      </c>
      <c r="Q255" s="16">
        <f t="shared" si="23"/>
        <v>964.43724446501585</v>
      </c>
      <c r="R255" s="118">
        <v>62</v>
      </c>
    </row>
    <row r="256" spans="1:18" outlineLevel="1" x14ac:dyDescent="0.5">
      <c r="A256" s="131" t="s">
        <v>448</v>
      </c>
      <c r="B256" s="14">
        <v>4</v>
      </c>
      <c r="C256" s="15" t="s">
        <v>110</v>
      </c>
      <c r="D256" s="44" t="str">
        <f>VLOOKUP(Estimate!$C256,Resources!$B$3:$G$336,4,FALSE)</f>
        <v xml:space="preserve">day  </v>
      </c>
      <c r="E256" s="44" t="str">
        <f>VLOOKUP(Estimate!$C256,Resources!$B$3:$G$336,3,FALSE)</f>
        <v>P</v>
      </c>
      <c r="F256" s="52">
        <v>1</v>
      </c>
      <c r="G256" s="12">
        <f>G254*9</f>
        <v>700.00200000000007</v>
      </c>
      <c r="H256" s="12">
        <f>H255</f>
        <v>789.6</v>
      </c>
      <c r="I256" s="12">
        <f>VLOOKUP(C256,Resources!$B$3:$G$336,6,FALSE)</f>
        <v>365</v>
      </c>
      <c r="J256" s="12">
        <f>(H256/(G256/F256))*I256</f>
        <v>411.7188236605038</v>
      </c>
      <c r="K256" s="90">
        <f>L256*F256</f>
        <v>1.1279967771520651</v>
      </c>
      <c r="L256" s="90">
        <f>IF(E256="M"," ",H256/G256)</f>
        <v>1.1279967771520651</v>
      </c>
      <c r="M256" s="16">
        <f>IF($E256="L",$J256,0)</f>
        <v>0</v>
      </c>
      <c r="N256" s="16">
        <f>IF($E256="M",$J256,0)</f>
        <v>0</v>
      </c>
      <c r="O256" s="16">
        <f>IF($E256="P",$J256,0)</f>
        <v>411.7188236605038</v>
      </c>
      <c r="P256" s="16">
        <f>IF($E256="S",$J256,0)</f>
        <v>0</v>
      </c>
      <c r="Q256" s="16">
        <f t="shared" si="23"/>
        <v>411.7188236605038</v>
      </c>
      <c r="R256" s="118">
        <v>62</v>
      </c>
    </row>
    <row r="257" spans="1:18" outlineLevel="1" x14ac:dyDescent="0.5">
      <c r="A257" s="131" t="s">
        <v>448</v>
      </c>
      <c r="B257" s="14">
        <v>5</v>
      </c>
      <c r="C257" s="15" t="s">
        <v>7</v>
      </c>
      <c r="D257" s="44" t="str">
        <f>VLOOKUP(Estimate!$C257,Resources!$B$3:$G$336,4,FALSE)</f>
        <v xml:space="preserve">hr   </v>
      </c>
      <c r="E257" s="44" t="str">
        <f>VLOOKUP(Estimate!$C257,Resources!$B$3:$G$336,3,FALSE)</f>
        <v>L</v>
      </c>
      <c r="F257" s="52">
        <v>3</v>
      </c>
      <c r="G257" s="12">
        <f>G254</f>
        <v>77.778000000000006</v>
      </c>
      <c r="H257" s="12">
        <f>H256</f>
        <v>789.6</v>
      </c>
      <c r="I257" s="12">
        <f>VLOOKUP(C257,Resources!$B$3:$G$336,6,FALSE)</f>
        <v>38</v>
      </c>
      <c r="J257" s="12">
        <f>(H257/(G257/F257))*I257</f>
        <v>1157.324693358019</v>
      </c>
      <c r="K257" s="90">
        <f>L257*F257</f>
        <v>30.455912983105762</v>
      </c>
      <c r="L257" s="90">
        <f>IF(E257="M"," ",H257/G257)</f>
        <v>10.151970994368588</v>
      </c>
      <c r="M257" s="16">
        <f>IF($E257="L",$J257,0)</f>
        <v>1157.324693358019</v>
      </c>
      <c r="N257" s="16">
        <f>IF($E257="M",$J257,0)</f>
        <v>0</v>
      </c>
      <c r="O257" s="16">
        <f>IF($E257="P",$J257,0)</f>
        <v>0</v>
      </c>
      <c r="P257" s="16">
        <f>IF($E257="S",$J257,0)</f>
        <v>0</v>
      </c>
      <c r="Q257" s="16">
        <f t="shared" si="23"/>
        <v>1157.324693358019</v>
      </c>
      <c r="R257" s="118">
        <v>62</v>
      </c>
    </row>
    <row r="258" spans="1:18" outlineLevel="1" x14ac:dyDescent="0.5">
      <c r="A258" s="132" t="s">
        <v>448</v>
      </c>
      <c r="B258" s="1"/>
      <c r="C258" s="2"/>
      <c r="D258" s="1"/>
      <c r="E258" s="45"/>
      <c r="F258" s="53"/>
      <c r="G258" s="11"/>
      <c r="H258" s="11"/>
      <c r="I258" s="11"/>
      <c r="J258" s="11"/>
      <c r="K258" s="91"/>
      <c r="L258" s="91"/>
      <c r="M258" s="13"/>
      <c r="N258" s="13"/>
      <c r="O258" s="13"/>
      <c r="P258" s="13"/>
      <c r="Q258" s="13"/>
      <c r="R258" s="119"/>
    </row>
    <row r="259" spans="1:18" ht="21" x14ac:dyDescent="0.5">
      <c r="A259" s="130">
        <v>54</v>
      </c>
      <c r="B259" s="7" t="s">
        <v>128</v>
      </c>
      <c r="C259" s="7" t="s">
        <v>129</v>
      </c>
      <c r="D259" s="8" t="s">
        <v>88</v>
      </c>
      <c r="E259" s="43"/>
      <c r="F259" s="51"/>
      <c r="G259" s="9"/>
      <c r="H259" s="129">
        <f>VLOOKUP($A259,'Model Inputs'!$A:$D,4)</f>
        <v>336</v>
      </c>
      <c r="I259" s="9">
        <f>J259/H259</f>
        <v>61.153680225199345</v>
      </c>
      <c r="J259" s="9">
        <f>SUBTOTAL(9,J260:J264)</f>
        <v>20547.636555666981</v>
      </c>
      <c r="K259" s="89"/>
      <c r="L259" s="89">
        <f>ROUNDUP(MAX(L261:L264)/workhrs,0)</f>
        <v>2</v>
      </c>
      <c r="M259" s="9">
        <f>SUBTOTAL(9,M260:M264)</f>
        <v>1157.324693358019</v>
      </c>
      <c r="N259" s="9">
        <f>SUBTOTAL(9,N260:N264)</f>
        <v>16542.12</v>
      </c>
      <c r="O259" s="9">
        <f>SUBTOTAL(9,O260:O264)</f>
        <v>2848.191862308965</v>
      </c>
      <c r="P259" s="9">
        <f>SUBTOTAL(9,P260:P264)</f>
        <v>0</v>
      </c>
      <c r="Q259" s="10">
        <f t="shared" ref="Q259:Q264" si="24">SUM(M259:P259)</f>
        <v>20547.636555666984</v>
      </c>
      <c r="R259" s="117"/>
    </row>
    <row r="260" spans="1:18" outlineLevel="1" x14ac:dyDescent="0.5">
      <c r="A260" s="131" t="s">
        <v>448</v>
      </c>
      <c r="B260" s="14">
        <v>1</v>
      </c>
      <c r="C260" s="15" t="s">
        <v>115</v>
      </c>
      <c r="D260" s="44" t="str">
        <f>VLOOKUP(Estimate!$C260,Resources!$B$3:$G$336,4,FALSE)</f>
        <v>tonne</v>
      </c>
      <c r="E260" s="44" t="str">
        <f>VLOOKUP(Estimate!$C260,Resources!$B$3:$G$336,3,FALSE)</f>
        <v>M</v>
      </c>
      <c r="F260" s="52">
        <v>1</v>
      </c>
      <c r="G260" s="12">
        <v>1</v>
      </c>
      <c r="H260" s="12">
        <f>H259*2.35</f>
        <v>789.6</v>
      </c>
      <c r="I260" s="12">
        <f>VLOOKUP(C260,Resources!$B$3:$G$336,6,FALSE)</f>
        <v>20.95</v>
      </c>
      <c r="J260" s="12">
        <f>(H260/(G260/F260))*I260</f>
        <v>16542.12</v>
      </c>
      <c r="K260" s="90"/>
      <c r="L260" s="90" t="str">
        <f>IF(E260="M"," ",H260/G260)</f>
        <v xml:space="preserve"> </v>
      </c>
      <c r="M260" s="16">
        <f>IF($E260="L",$J260,0)</f>
        <v>0</v>
      </c>
      <c r="N260" s="16">
        <f>IF($E260="M",$J260,0)</f>
        <v>16542.12</v>
      </c>
      <c r="O260" s="16">
        <f>IF($E260="P",$J260,0)</f>
        <v>0</v>
      </c>
      <c r="P260" s="16">
        <f>IF($E260="S",$J260,0)</f>
        <v>0</v>
      </c>
      <c r="Q260" s="16">
        <f t="shared" si="24"/>
        <v>16542.12</v>
      </c>
      <c r="R260" s="118" t="s">
        <v>948</v>
      </c>
    </row>
    <row r="261" spans="1:18" outlineLevel="1" x14ac:dyDescent="0.5">
      <c r="A261" s="131">
        <v>54.1</v>
      </c>
      <c r="B261" s="14">
        <v>2</v>
      </c>
      <c r="C261" s="15" t="s">
        <v>96</v>
      </c>
      <c r="D261" s="44" t="str">
        <f>VLOOKUP(Estimate!$C261,Resources!$B$3:$G$336,4,FALSE)</f>
        <v xml:space="preserve">hr   </v>
      </c>
      <c r="E261" s="44" t="str">
        <f>VLOOKUP(Estimate!$C261,Resources!$B$3:$G$336,3,FALSE)</f>
        <v>P</v>
      </c>
      <c r="F261" s="52">
        <v>1</v>
      </c>
      <c r="G261" s="129">
        <f>VLOOKUP($A261,'Model Inputs'!$A:$D,4)</f>
        <v>77.778000000000006</v>
      </c>
      <c r="H261" s="12">
        <f>H260</f>
        <v>789.6</v>
      </c>
      <c r="I261" s="12">
        <f>VLOOKUP(C261,Resources!$B$3:$G$336,6,FALSE)</f>
        <v>145</v>
      </c>
      <c r="J261" s="12">
        <f>(H261/(G261/F261))*I261</f>
        <v>1472.0357941834452</v>
      </c>
      <c r="K261" s="90">
        <f>L261*F261</f>
        <v>10.151970994368588</v>
      </c>
      <c r="L261" s="90">
        <f>IF(E261="M"," ",H261/G261)</f>
        <v>10.151970994368588</v>
      </c>
      <c r="M261" s="16">
        <f>IF($E261="L",$J261,0)</f>
        <v>0</v>
      </c>
      <c r="N261" s="16">
        <f>IF($E261="M",$J261,0)</f>
        <v>0</v>
      </c>
      <c r="O261" s="16">
        <f>IF($E261="P",$J261,0)</f>
        <v>1472.0357941834452</v>
      </c>
      <c r="P261" s="16">
        <f>IF($E261="S",$J261,0)</f>
        <v>0</v>
      </c>
      <c r="Q261" s="16">
        <f t="shared" si="24"/>
        <v>1472.0357941834452</v>
      </c>
      <c r="R261" s="118">
        <v>62</v>
      </c>
    </row>
    <row r="262" spans="1:18" outlineLevel="1" x14ac:dyDescent="0.5">
      <c r="A262" s="131" t="s">
        <v>448</v>
      </c>
      <c r="B262" s="14">
        <v>3</v>
      </c>
      <c r="C262" s="15" t="s">
        <v>60</v>
      </c>
      <c r="D262" s="44" t="str">
        <f>VLOOKUP(Estimate!$C262,Resources!$B$3:$G$336,4,FALSE)</f>
        <v xml:space="preserve">hr   </v>
      </c>
      <c r="E262" s="44" t="str">
        <f>VLOOKUP(Estimate!$C262,Resources!$B$3:$G$336,3,FALSE)</f>
        <v>P</v>
      </c>
      <c r="F262" s="52">
        <v>1</v>
      </c>
      <c r="G262" s="12">
        <f>G261</f>
        <v>77.778000000000006</v>
      </c>
      <c r="H262" s="12">
        <f>H261</f>
        <v>789.6</v>
      </c>
      <c r="I262" s="12">
        <f>VLOOKUP(C262,Resources!$B$3:$G$336,6,FALSE)</f>
        <v>95</v>
      </c>
      <c r="J262" s="12">
        <f>(H262/(G262/F262))*I262</f>
        <v>964.43724446501585</v>
      </c>
      <c r="K262" s="90">
        <f>L262*F262</f>
        <v>10.151970994368588</v>
      </c>
      <c r="L262" s="90">
        <f>IF(E262="M"," ",H262/G262)</f>
        <v>10.151970994368588</v>
      </c>
      <c r="M262" s="16">
        <f>IF($E262="L",$J262,0)</f>
        <v>0</v>
      </c>
      <c r="N262" s="16">
        <f>IF($E262="M",$J262,0)</f>
        <v>0</v>
      </c>
      <c r="O262" s="16">
        <f>IF($E262="P",$J262,0)</f>
        <v>964.43724446501585</v>
      </c>
      <c r="P262" s="16">
        <f>IF($E262="S",$J262,0)</f>
        <v>0</v>
      </c>
      <c r="Q262" s="16">
        <f t="shared" si="24"/>
        <v>964.43724446501585</v>
      </c>
      <c r="R262" s="118">
        <v>62</v>
      </c>
    </row>
    <row r="263" spans="1:18" outlineLevel="1" x14ac:dyDescent="0.5">
      <c r="A263" s="131" t="s">
        <v>448</v>
      </c>
      <c r="B263" s="14">
        <v>4</v>
      </c>
      <c r="C263" s="15" t="s">
        <v>110</v>
      </c>
      <c r="D263" s="44" t="str">
        <f>VLOOKUP(Estimate!$C263,Resources!$B$3:$G$336,4,FALSE)</f>
        <v xml:space="preserve">day  </v>
      </c>
      <c r="E263" s="44" t="str">
        <f>VLOOKUP(Estimate!$C263,Resources!$B$3:$G$336,3,FALSE)</f>
        <v>P</v>
      </c>
      <c r="F263" s="52">
        <v>1</v>
      </c>
      <c r="G263" s="12">
        <f>G261*9</f>
        <v>700.00200000000007</v>
      </c>
      <c r="H263" s="12">
        <f>H262</f>
        <v>789.6</v>
      </c>
      <c r="I263" s="12">
        <f>VLOOKUP(C263,Resources!$B$3:$G$336,6,FALSE)</f>
        <v>365</v>
      </c>
      <c r="J263" s="12">
        <f>(H263/(G263/F263))*I263</f>
        <v>411.7188236605038</v>
      </c>
      <c r="K263" s="90">
        <f>L263*F263</f>
        <v>1.1279967771520651</v>
      </c>
      <c r="L263" s="90">
        <f>IF(E263="M"," ",H263/G263)</f>
        <v>1.1279967771520651</v>
      </c>
      <c r="M263" s="16">
        <f>IF($E263="L",$J263,0)</f>
        <v>0</v>
      </c>
      <c r="N263" s="16">
        <f>IF($E263="M",$J263,0)</f>
        <v>0</v>
      </c>
      <c r="O263" s="16">
        <f>IF($E263="P",$J263,0)</f>
        <v>411.7188236605038</v>
      </c>
      <c r="P263" s="16">
        <f>IF($E263="S",$J263,0)</f>
        <v>0</v>
      </c>
      <c r="Q263" s="16">
        <f t="shared" si="24"/>
        <v>411.7188236605038</v>
      </c>
      <c r="R263" s="118">
        <v>62</v>
      </c>
    </row>
    <row r="264" spans="1:18" outlineLevel="1" x14ac:dyDescent="0.5">
      <c r="A264" s="131" t="s">
        <v>448</v>
      </c>
      <c r="B264" s="14">
        <v>5</v>
      </c>
      <c r="C264" s="15" t="s">
        <v>7</v>
      </c>
      <c r="D264" s="44" t="str">
        <f>VLOOKUP(Estimate!$C264,Resources!$B$3:$G$336,4,FALSE)</f>
        <v xml:space="preserve">hr   </v>
      </c>
      <c r="E264" s="44" t="str">
        <f>VLOOKUP(Estimate!$C264,Resources!$B$3:$G$336,3,FALSE)</f>
        <v>L</v>
      </c>
      <c r="F264" s="52">
        <v>3</v>
      </c>
      <c r="G264" s="12">
        <f>G261</f>
        <v>77.778000000000006</v>
      </c>
      <c r="H264" s="12">
        <f>H263</f>
        <v>789.6</v>
      </c>
      <c r="I264" s="12">
        <f>VLOOKUP(C264,Resources!$B$3:$G$336,6,FALSE)</f>
        <v>38</v>
      </c>
      <c r="J264" s="12">
        <f>(H264/(G264/F264))*I264</f>
        <v>1157.324693358019</v>
      </c>
      <c r="K264" s="90">
        <f>L264*F264</f>
        <v>30.455912983105762</v>
      </c>
      <c r="L264" s="90">
        <f>IF(E264="M"," ",H264/G264)</f>
        <v>10.151970994368588</v>
      </c>
      <c r="M264" s="16">
        <f>IF($E264="L",$J264,0)</f>
        <v>1157.324693358019</v>
      </c>
      <c r="N264" s="16">
        <f>IF($E264="M",$J264,0)</f>
        <v>0</v>
      </c>
      <c r="O264" s="16">
        <f>IF($E264="P",$J264,0)</f>
        <v>0</v>
      </c>
      <c r="P264" s="16">
        <f>IF($E264="S",$J264,0)</f>
        <v>0</v>
      </c>
      <c r="Q264" s="16">
        <f t="shared" si="24"/>
        <v>1157.324693358019</v>
      </c>
      <c r="R264" s="118">
        <v>62</v>
      </c>
    </row>
    <row r="265" spans="1:18" outlineLevel="1" x14ac:dyDescent="0.5">
      <c r="A265" s="132" t="s">
        <v>448</v>
      </c>
      <c r="B265" s="1"/>
      <c r="C265" s="2"/>
      <c r="D265" s="1"/>
      <c r="E265" s="45"/>
      <c r="F265" s="53"/>
      <c r="G265" s="11"/>
      <c r="H265" s="11"/>
      <c r="I265" s="11"/>
      <c r="J265" s="11"/>
      <c r="K265" s="91"/>
      <c r="L265" s="91"/>
      <c r="M265" s="13"/>
      <c r="N265" s="13"/>
      <c r="O265" s="13"/>
      <c r="P265" s="13"/>
      <c r="Q265" s="13"/>
      <c r="R265" s="119"/>
    </row>
    <row r="266" spans="1:18" ht="21" x14ac:dyDescent="0.5">
      <c r="A266" s="130">
        <v>55</v>
      </c>
      <c r="B266" s="7" t="s">
        <v>130</v>
      </c>
      <c r="C266" s="7" t="s">
        <v>131</v>
      </c>
      <c r="D266" s="8" t="s">
        <v>88</v>
      </c>
      <c r="E266" s="43"/>
      <c r="F266" s="51"/>
      <c r="G266" s="9"/>
      <c r="H266" s="129">
        <f>VLOOKUP($A266,'Model Inputs'!$A:$D,4)</f>
        <v>336</v>
      </c>
      <c r="I266" s="9">
        <f>J266/H266</f>
        <v>61.153680225199345</v>
      </c>
      <c r="J266" s="9">
        <f>SUBTOTAL(9,J267:J271)</f>
        <v>20547.636555666981</v>
      </c>
      <c r="K266" s="89"/>
      <c r="L266" s="89">
        <f>ROUNDUP(MAX(L268:L271)/workhrs,0)</f>
        <v>2</v>
      </c>
      <c r="M266" s="9">
        <f>SUBTOTAL(9,M267:M271)</f>
        <v>1157.324693358019</v>
      </c>
      <c r="N266" s="9">
        <f>SUBTOTAL(9,N267:N271)</f>
        <v>16542.12</v>
      </c>
      <c r="O266" s="9">
        <f>SUBTOTAL(9,O267:O271)</f>
        <v>2848.191862308965</v>
      </c>
      <c r="P266" s="9">
        <f>SUBTOTAL(9,P267:P271)</f>
        <v>0</v>
      </c>
      <c r="Q266" s="10">
        <f t="shared" ref="Q266:Q271" si="25">SUM(M266:P266)</f>
        <v>20547.636555666984</v>
      </c>
      <c r="R266" s="117"/>
    </row>
    <row r="267" spans="1:18" outlineLevel="1" x14ac:dyDescent="0.5">
      <c r="A267" s="131" t="s">
        <v>448</v>
      </c>
      <c r="B267" s="14">
        <v>1</v>
      </c>
      <c r="C267" s="15" t="s">
        <v>115</v>
      </c>
      <c r="D267" s="44" t="str">
        <f>VLOOKUP(Estimate!$C267,Resources!$B$3:$G$336,4,FALSE)</f>
        <v>tonne</v>
      </c>
      <c r="E267" s="44" t="str">
        <f>VLOOKUP(Estimate!$C267,Resources!$B$3:$G$336,3,FALSE)</f>
        <v>M</v>
      </c>
      <c r="F267" s="52">
        <v>1</v>
      </c>
      <c r="G267" s="12">
        <v>1</v>
      </c>
      <c r="H267" s="12">
        <f>H266*2.35</f>
        <v>789.6</v>
      </c>
      <c r="I267" s="12">
        <f>VLOOKUP(C267,Resources!$B$3:$G$336,6,FALSE)</f>
        <v>20.95</v>
      </c>
      <c r="J267" s="12">
        <f>(H267/(G267/F267))*I267</f>
        <v>16542.12</v>
      </c>
      <c r="K267" s="90"/>
      <c r="L267" s="90" t="str">
        <f>IF(E267="M"," ",H267/G267)</f>
        <v xml:space="preserve"> </v>
      </c>
      <c r="M267" s="16">
        <f>IF($E267="L",$J267,0)</f>
        <v>0</v>
      </c>
      <c r="N267" s="16">
        <f>IF($E267="M",$J267,0)</f>
        <v>16542.12</v>
      </c>
      <c r="O267" s="16">
        <f>IF($E267="P",$J267,0)</f>
        <v>0</v>
      </c>
      <c r="P267" s="16">
        <f>IF($E267="S",$J267,0)</f>
        <v>0</v>
      </c>
      <c r="Q267" s="16">
        <f t="shared" si="25"/>
        <v>16542.12</v>
      </c>
      <c r="R267" s="118" t="s">
        <v>948</v>
      </c>
    </row>
    <row r="268" spans="1:18" outlineLevel="1" x14ac:dyDescent="0.5">
      <c r="A268" s="131">
        <v>55.1</v>
      </c>
      <c r="B268" s="14">
        <v>2</v>
      </c>
      <c r="C268" s="15" t="s">
        <v>96</v>
      </c>
      <c r="D268" s="44" t="str">
        <f>VLOOKUP(Estimate!$C268,Resources!$B$3:$G$336,4,FALSE)</f>
        <v xml:space="preserve">hr   </v>
      </c>
      <c r="E268" s="44" t="str">
        <f>VLOOKUP(Estimate!$C268,Resources!$B$3:$G$336,3,FALSE)</f>
        <v>P</v>
      </c>
      <c r="F268" s="52">
        <v>1</v>
      </c>
      <c r="G268" s="129">
        <f>VLOOKUP($A268,'Model Inputs'!$A:$D,4)</f>
        <v>77.778000000000006</v>
      </c>
      <c r="H268" s="12">
        <f>H267</f>
        <v>789.6</v>
      </c>
      <c r="I268" s="12">
        <f>VLOOKUP(C268,Resources!$B$3:$G$336,6,FALSE)</f>
        <v>145</v>
      </c>
      <c r="J268" s="12">
        <f>(H268/(G268/F268))*I268</f>
        <v>1472.0357941834452</v>
      </c>
      <c r="K268" s="90">
        <f>L268*F268</f>
        <v>10.151970994368588</v>
      </c>
      <c r="L268" s="90">
        <f>IF(E268="M"," ",H268/G268)</f>
        <v>10.151970994368588</v>
      </c>
      <c r="M268" s="16">
        <f>IF($E268="L",$J268,0)</f>
        <v>0</v>
      </c>
      <c r="N268" s="16">
        <f>IF($E268="M",$J268,0)</f>
        <v>0</v>
      </c>
      <c r="O268" s="16">
        <f>IF($E268="P",$J268,0)</f>
        <v>1472.0357941834452</v>
      </c>
      <c r="P268" s="16">
        <f>IF($E268="S",$J268,0)</f>
        <v>0</v>
      </c>
      <c r="Q268" s="16">
        <f t="shared" si="25"/>
        <v>1472.0357941834452</v>
      </c>
      <c r="R268" s="118">
        <v>62</v>
      </c>
    </row>
    <row r="269" spans="1:18" outlineLevel="1" x14ac:dyDescent="0.5">
      <c r="A269" s="131" t="s">
        <v>448</v>
      </c>
      <c r="B269" s="14">
        <v>3</v>
      </c>
      <c r="C269" s="15" t="s">
        <v>60</v>
      </c>
      <c r="D269" s="44" t="str">
        <f>VLOOKUP(Estimate!$C269,Resources!$B$3:$G$336,4,FALSE)</f>
        <v xml:space="preserve">hr   </v>
      </c>
      <c r="E269" s="44" t="str">
        <f>VLOOKUP(Estimate!$C269,Resources!$B$3:$G$336,3,FALSE)</f>
        <v>P</v>
      </c>
      <c r="F269" s="52">
        <v>1</v>
      </c>
      <c r="G269" s="12">
        <f>G268</f>
        <v>77.778000000000006</v>
      </c>
      <c r="H269" s="12">
        <f>H268</f>
        <v>789.6</v>
      </c>
      <c r="I269" s="12">
        <f>VLOOKUP(C269,Resources!$B$3:$G$336,6,FALSE)</f>
        <v>95</v>
      </c>
      <c r="J269" s="12">
        <f>(H269/(G269/F269))*I269</f>
        <v>964.43724446501585</v>
      </c>
      <c r="K269" s="90">
        <f>L269*F269</f>
        <v>10.151970994368588</v>
      </c>
      <c r="L269" s="90">
        <f>IF(E269="M"," ",H269/G269)</f>
        <v>10.151970994368588</v>
      </c>
      <c r="M269" s="16">
        <f>IF($E269="L",$J269,0)</f>
        <v>0</v>
      </c>
      <c r="N269" s="16">
        <f>IF($E269="M",$J269,0)</f>
        <v>0</v>
      </c>
      <c r="O269" s="16">
        <f>IF($E269="P",$J269,0)</f>
        <v>964.43724446501585</v>
      </c>
      <c r="P269" s="16">
        <f>IF($E269="S",$J269,0)</f>
        <v>0</v>
      </c>
      <c r="Q269" s="16">
        <f t="shared" si="25"/>
        <v>964.43724446501585</v>
      </c>
      <c r="R269" s="118">
        <v>62</v>
      </c>
    </row>
    <row r="270" spans="1:18" outlineLevel="1" x14ac:dyDescent="0.5">
      <c r="A270" s="131" t="s">
        <v>448</v>
      </c>
      <c r="B270" s="14">
        <v>4</v>
      </c>
      <c r="C270" s="15" t="s">
        <v>110</v>
      </c>
      <c r="D270" s="44" t="str">
        <f>VLOOKUP(Estimate!$C270,Resources!$B$3:$G$336,4,FALSE)</f>
        <v xml:space="preserve">day  </v>
      </c>
      <c r="E270" s="44" t="str">
        <f>VLOOKUP(Estimate!$C270,Resources!$B$3:$G$336,3,FALSE)</f>
        <v>P</v>
      </c>
      <c r="F270" s="52">
        <v>1</v>
      </c>
      <c r="G270" s="12">
        <f>G268*9</f>
        <v>700.00200000000007</v>
      </c>
      <c r="H270" s="12">
        <f>H269</f>
        <v>789.6</v>
      </c>
      <c r="I270" s="12">
        <f>VLOOKUP(C270,Resources!$B$3:$G$336,6,FALSE)</f>
        <v>365</v>
      </c>
      <c r="J270" s="12">
        <f>(H270/(G270/F270))*I270</f>
        <v>411.7188236605038</v>
      </c>
      <c r="K270" s="90">
        <f>L270*F270</f>
        <v>1.1279967771520651</v>
      </c>
      <c r="L270" s="90">
        <f>IF(E270="M"," ",H270/G270)</f>
        <v>1.1279967771520651</v>
      </c>
      <c r="M270" s="16">
        <f>IF($E270="L",$J270,0)</f>
        <v>0</v>
      </c>
      <c r="N270" s="16">
        <f>IF($E270="M",$J270,0)</f>
        <v>0</v>
      </c>
      <c r="O270" s="16">
        <f>IF($E270="P",$J270,0)</f>
        <v>411.7188236605038</v>
      </c>
      <c r="P270" s="16">
        <f>IF($E270="S",$J270,0)</f>
        <v>0</v>
      </c>
      <c r="Q270" s="16">
        <f t="shared" si="25"/>
        <v>411.7188236605038</v>
      </c>
      <c r="R270" s="118">
        <v>62</v>
      </c>
    </row>
    <row r="271" spans="1:18" outlineLevel="1" x14ac:dyDescent="0.5">
      <c r="A271" s="131" t="s">
        <v>448</v>
      </c>
      <c r="B271" s="14">
        <v>5</v>
      </c>
      <c r="C271" s="15" t="s">
        <v>7</v>
      </c>
      <c r="D271" s="44" t="str">
        <f>VLOOKUP(Estimate!$C271,Resources!$B$3:$G$336,4,FALSE)</f>
        <v xml:space="preserve">hr   </v>
      </c>
      <c r="E271" s="44" t="str">
        <f>VLOOKUP(Estimate!$C271,Resources!$B$3:$G$336,3,FALSE)</f>
        <v>L</v>
      </c>
      <c r="F271" s="52">
        <v>3</v>
      </c>
      <c r="G271" s="12">
        <f>G268</f>
        <v>77.778000000000006</v>
      </c>
      <c r="H271" s="12">
        <f>H270</f>
        <v>789.6</v>
      </c>
      <c r="I271" s="12">
        <f>VLOOKUP(C271,Resources!$B$3:$G$336,6,FALSE)</f>
        <v>38</v>
      </c>
      <c r="J271" s="12">
        <f>(H271/(G271/F271))*I271</f>
        <v>1157.324693358019</v>
      </c>
      <c r="K271" s="90">
        <f>L271*F271</f>
        <v>30.455912983105762</v>
      </c>
      <c r="L271" s="90">
        <f>IF(E271="M"," ",H271/G271)</f>
        <v>10.151970994368588</v>
      </c>
      <c r="M271" s="16">
        <f>IF($E271="L",$J271,0)</f>
        <v>1157.324693358019</v>
      </c>
      <c r="N271" s="16">
        <f>IF($E271="M",$J271,0)</f>
        <v>0</v>
      </c>
      <c r="O271" s="16">
        <f>IF($E271="P",$J271,0)</f>
        <v>0</v>
      </c>
      <c r="P271" s="16">
        <f>IF($E271="S",$J271,0)</f>
        <v>0</v>
      </c>
      <c r="Q271" s="16">
        <f t="shared" si="25"/>
        <v>1157.324693358019</v>
      </c>
      <c r="R271" s="118">
        <v>62</v>
      </c>
    </row>
    <row r="272" spans="1:18" outlineLevel="1" x14ac:dyDescent="0.5">
      <c r="A272" s="132" t="s">
        <v>448</v>
      </c>
      <c r="B272" s="1"/>
      <c r="C272" s="2"/>
      <c r="D272" s="1"/>
      <c r="E272" s="45"/>
      <c r="F272" s="53"/>
      <c r="G272" s="11"/>
      <c r="H272" s="11"/>
      <c r="I272" s="11"/>
      <c r="J272" s="11"/>
      <c r="K272" s="91"/>
      <c r="L272" s="91"/>
      <c r="M272" s="13"/>
      <c r="N272" s="13"/>
      <c r="O272" s="13"/>
      <c r="P272" s="13"/>
      <c r="Q272" s="13"/>
      <c r="R272" s="119"/>
    </row>
    <row r="273" spans="1:18" ht="21" x14ac:dyDescent="0.5">
      <c r="A273" s="130">
        <v>56</v>
      </c>
      <c r="B273" s="7" t="s">
        <v>132</v>
      </c>
      <c r="C273" s="7" t="s">
        <v>133</v>
      </c>
      <c r="D273" s="8" t="s">
        <v>54</v>
      </c>
      <c r="E273" s="43"/>
      <c r="F273" s="51"/>
      <c r="G273" s="9"/>
      <c r="H273" s="129">
        <f>VLOOKUP($A273,'Model Inputs'!$A:$D,4)</f>
        <v>16547</v>
      </c>
      <c r="I273" s="9">
        <f>J273/H273</f>
        <v>2.4622222222222221</v>
      </c>
      <c r="J273" s="9">
        <f>SUBTOTAL(9,J274:J277)</f>
        <v>40742.391111111108</v>
      </c>
      <c r="K273" s="89"/>
      <c r="L273" s="89">
        <f>ROUNDUP(MAX(L275:L278)/workhrs,0)</f>
        <v>13</v>
      </c>
      <c r="M273" s="9">
        <f>SUBTOTAL(9,M274:M277)</f>
        <v>8383.8133333333335</v>
      </c>
      <c r="N273" s="9">
        <f>SUBTOTAL(9,N274:N277)</f>
        <v>0</v>
      </c>
      <c r="O273" s="9">
        <f>SUBTOTAL(9,O274:O277)</f>
        <v>32358.577777777777</v>
      </c>
      <c r="P273" s="9">
        <f>SUBTOTAL(9,P274:P277)</f>
        <v>0</v>
      </c>
      <c r="Q273" s="10">
        <f>SUM(M273:P273)</f>
        <v>40742.391111111108</v>
      </c>
      <c r="R273" s="117"/>
    </row>
    <row r="274" spans="1:18" outlineLevel="1" x14ac:dyDescent="0.5">
      <c r="A274" s="131">
        <v>56.1</v>
      </c>
      <c r="B274" s="14">
        <v>1</v>
      </c>
      <c r="C274" s="15" t="s">
        <v>96</v>
      </c>
      <c r="D274" s="44" t="str">
        <f>VLOOKUP(Estimate!$C274,Resources!$B$3:$G$336,4,FALSE)</f>
        <v xml:space="preserve">hr   </v>
      </c>
      <c r="E274" s="44" t="str">
        <f>VLOOKUP(Estimate!$C274,Resources!$B$3:$G$336,3,FALSE)</f>
        <v>P</v>
      </c>
      <c r="F274" s="52">
        <v>1</v>
      </c>
      <c r="G274" s="129">
        <f>VLOOKUP($A274,'Model Inputs'!$A:$D,4)</f>
        <v>150</v>
      </c>
      <c r="H274" s="12">
        <f>H273</f>
        <v>16547</v>
      </c>
      <c r="I274" s="12">
        <f>VLOOKUP(C274,Resources!$B$3:$G$336,6,FALSE)</f>
        <v>145</v>
      </c>
      <c r="J274" s="12">
        <f>(H274/(G274/F274))*I274</f>
        <v>15995.433333333332</v>
      </c>
      <c r="K274" s="90">
        <f>L274*F274</f>
        <v>110.31333333333333</v>
      </c>
      <c r="L274" s="90">
        <f>IF(E274="M"," ",H274/G274)</f>
        <v>110.31333333333333</v>
      </c>
      <c r="M274" s="16">
        <f>IF($E274="L",$J274,0)</f>
        <v>0</v>
      </c>
      <c r="N274" s="16">
        <f>IF($E274="M",$J274,0)</f>
        <v>0</v>
      </c>
      <c r="O274" s="16">
        <f>IF($E274="P",$J274,0)</f>
        <v>15995.433333333332</v>
      </c>
      <c r="P274" s="16">
        <f>IF($E274="S",$J274,0)</f>
        <v>0</v>
      </c>
      <c r="Q274" s="16">
        <f>SUM(M274:P274)</f>
        <v>15995.433333333332</v>
      </c>
      <c r="R274" s="118">
        <v>63</v>
      </c>
    </row>
    <row r="275" spans="1:18" outlineLevel="1" x14ac:dyDescent="0.5">
      <c r="A275" s="131" t="s">
        <v>448</v>
      </c>
      <c r="B275" s="14">
        <v>2</v>
      </c>
      <c r="C275" s="15" t="s">
        <v>827</v>
      </c>
      <c r="D275" s="44" t="str">
        <f>VLOOKUP(Estimate!$C275,Resources!$B$3:$G$336,4,FALSE)</f>
        <v xml:space="preserve">day  </v>
      </c>
      <c r="E275" s="44" t="str">
        <f>VLOOKUP(Estimate!$C275,Resources!$B$3:$G$336,3,FALSE)</f>
        <v>P</v>
      </c>
      <c r="F275" s="52">
        <v>1</v>
      </c>
      <c r="G275" s="12">
        <f>G274*9</f>
        <v>1350</v>
      </c>
      <c r="H275" s="12">
        <f>H274</f>
        <v>16547</v>
      </c>
      <c r="I275" s="12">
        <f>VLOOKUP(C275,Resources!$B$3:$G$336,6,FALSE)</f>
        <v>480</v>
      </c>
      <c r="J275" s="12">
        <f>(H275/(G275/F275))*I275</f>
        <v>5883.3777777777777</v>
      </c>
      <c r="K275" s="90">
        <f>L275*F275</f>
        <v>12.257037037037037</v>
      </c>
      <c r="L275" s="90">
        <f>IF(E275="M"," ",H275/G275)</f>
        <v>12.257037037037037</v>
      </c>
      <c r="M275" s="16">
        <f>IF($E275="L",$J275,0)</f>
        <v>0</v>
      </c>
      <c r="N275" s="16">
        <f>IF($E275="M",$J275,0)</f>
        <v>0</v>
      </c>
      <c r="O275" s="16">
        <f>IF($E275="P",$J275,0)</f>
        <v>5883.3777777777777</v>
      </c>
      <c r="P275" s="16">
        <f>IF($E275="S",$J275,0)</f>
        <v>0</v>
      </c>
      <c r="Q275" s="16">
        <f>SUM(M275:P275)</f>
        <v>5883.3777777777777</v>
      </c>
      <c r="R275" s="118">
        <v>63</v>
      </c>
    </row>
    <row r="276" spans="1:18" outlineLevel="1" x14ac:dyDescent="0.5">
      <c r="A276" s="131" t="s">
        <v>448</v>
      </c>
      <c r="B276" s="14">
        <v>3</v>
      </c>
      <c r="C276" s="15" t="s">
        <v>60</v>
      </c>
      <c r="D276" s="44" t="str">
        <f>VLOOKUP(Estimate!$C276,Resources!$B$3:$G$336,4,FALSE)</f>
        <v xml:space="preserve">hr   </v>
      </c>
      <c r="E276" s="44" t="str">
        <f>VLOOKUP(Estimate!$C276,Resources!$B$3:$G$336,3,FALSE)</f>
        <v>P</v>
      </c>
      <c r="F276" s="52">
        <v>1</v>
      </c>
      <c r="G276" s="12">
        <f>G274</f>
        <v>150</v>
      </c>
      <c r="H276" s="12">
        <f>H275</f>
        <v>16547</v>
      </c>
      <c r="I276" s="12">
        <f>VLOOKUP(C276,Resources!$B$3:$G$336,6,FALSE)</f>
        <v>95</v>
      </c>
      <c r="J276" s="12">
        <f>(H276/(G276/F276))*I276</f>
        <v>10479.766666666666</v>
      </c>
      <c r="K276" s="90">
        <f>L276*F276</f>
        <v>110.31333333333333</v>
      </c>
      <c r="L276" s="90">
        <f>IF(E276="M"," ",H276/G276)</f>
        <v>110.31333333333333</v>
      </c>
      <c r="M276" s="16">
        <f>IF($E276="L",$J276,0)</f>
        <v>0</v>
      </c>
      <c r="N276" s="16">
        <f>IF($E276="M",$J276,0)</f>
        <v>0</v>
      </c>
      <c r="O276" s="16">
        <f>IF($E276="P",$J276,0)</f>
        <v>10479.766666666666</v>
      </c>
      <c r="P276" s="16">
        <f>IF($E276="S",$J276,0)</f>
        <v>0</v>
      </c>
      <c r="Q276" s="16">
        <f>SUM(M276:P276)</f>
        <v>10479.766666666666</v>
      </c>
      <c r="R276" s="118">
        <v>63</v>
      </c>
    </row>
    <row r="277" spans="1:18" outlineLevel="1" x14ac:dyDescent="0.5">
      <c r="A277" s="131" t="s">
        <v>448</v>
      </c>
      <c r="B277" s="14">
        <v>4</v>
      </c>
      <c r="C277" s="15" t="s">
        <v>7</v>
      </c>
      <c r="D277" s="44" t="str">
        <f>VLOOKUP(Estimate!$C277,Resources!$B$3:$G$336,4,FALSE)</f>
        <v xml:space="preserve">hr   </v>
      </c>
      <c r="E277" s="44" t="str">
        <f>VLOOKUP(Estimate!$C277,Resources!$B$3:$G$336,3,FALSE)</f>
        <v>L</v>
      </c>
      <c r="F277" s="52">
        <v>2</v>
      </c>
      <c r="G277" s="12">
        <f>G274</f>
        <v>150</v>
      </c>
      <c r="H277" s="12">
        <f>H276</f>
        <v>16547</v>
      </c>
      <c r="I277" s="12">
        <f>VLOOKUP(C277,Resources!$B$3:$G$336,6,FALSE)</f>
        <v>38</v>
      </c>
      <c r="J277" s="12">
        <f>(H277/(G277/F277))*I277</f>
        <v>8383.8133333333335</v>
      </c>
      <c r="K277" s="90">
        <f>L277*F277</f>
        <v>220.62666666666667</v>
      </c>
      <c r="L277" s="90">
        <f>IF(E277="M"," ",H277/G277)</f>
        <v>110.31333333333333</v>
      </c>
      <c r="M277" s="16">
        <f>IF($E277="L",$J277,0)</f>
        <v>8383.8133333333335</v>
      </c>
      <c r="N277" s="16">
        <f>IF($E277="M",$J277,0)</f>
        <v>0</v>
      </c>
      <c r="O277" s="16">
        <f>IF($E277="P",$J277,0)</f>
        <v>0</v>
      </c>
      <c r="P277" s="16">
        <f>IF($E277="S",$J277,0)</f>
        <v>0</v>
      </c>
      <c r="Q277" s="16">
        <f>SUM(M277:P277)</f>
        <v>8383.8133333333335</v>
      </c>
      <c r="R277" s="118">
        <v>63</v>
      </c>
    </row>
    <row r="278" spans="1:18" outlineLevel="1" x14ac:dyDescent="0.5">
      <c r="A278" s="132" t="s">
        <v>448</v>
      </c>
      <c r="B278" s="1"/>
      <c r="C278" s="2"/>
      <c r="D278" s="1"/>
      <c r="E278" s="45"/>
      <c r="F278" s="53"/>
      <c r="G278" s="11"/>
      <c r="H278" s="11"/>
      <c r="I278" s="11"/>
      <c r="J278" s="11"/>
      <c r="K278" s="91"/>
      <c r="L278" s="91"/>
      <c r="M278" s="13"/>
      <c r="N278" s="13"/>
      <c r="O278" s="13"/>
      <c r="P278" s="13"/>
      <c r="Q278" s="13"/>
      <c r="R278" s="119"/>
    </row>
    <row r="279" spans="1:18" x14ac:dyDescent="0.5">
      <c r="A279" s="132">
        <v>57</v>
      </c>
      <c r="B279" s="1"/>
      <c r="C279" s="5" t="s">
        <v>626</v>
      </c>
      <c r="D279" s="1"/>
      <c r="E279" s="45"/>
      <c r="F279" s="53"/>
      <c r="G279" s="11"/>
      <c r="H279" s="11"/>
      <c r="I279" s="11"/>
      <c r="J279" s="11"/>
      <c r="K279" s="91"/>
      <c r="L279" s="91"/>
      <c r="M279" s="13"/>
      <c r="N279" s="13"/>
      <c r="O279" s="13"/>
      <c r="P279" s="13"/>
      <c r="Q279" s="13"/>
      <c r="R279" s="119"/>
    </row>
    <row r="280" spans="1:18" ht="21" x14ac:dyDescent="0.5">
      <c r="A280" s="132">
        <v>58</v>
      </c>
      <c r="B280" s="1"/>
      <c r="C280" s="5" t="s">
        <v>627</v>
      </c>
      <c r="D280" s="1"/>
      <c r="E280" s="45"/>
      <c r="F280" s="53"/>
      <c r="G280" s="11"/>
      <c r="H280" s="11"/>
      <c r="I280" s="11"/>
      <c r="J280" s="11"/>
      <c r="K280" s="91"/>
      <c r="L280" s="91"/>
      <c r="M280" s="13"/>
      <c r="N280" s="13"/>
      <c r="O280" s="13"/>
      <c r="P280" s="13"/>
      <c r="Q280" s="13"/>
      <c r="R280" s="119"/>
    </row>
    <row r="281" spans="1:18" ht="21" x14ac:dyDescent="0.5">
      <c r="A281" s="130">
        <v>59</v>
      </c>
      <c r="B281" s="7" t="s">
        <v>134</v>
      </c>
      <c r="C281" s="7" t="s">
        <v>135</v>
      </c>
      <c r="D281" s="8" t="s">
        <v>25</v>
      </c>
      <c r="E281" s="43"/>
      <c r="F281" s="51"/>
      <c r="G281" s="9"/>
      <c r="H281" s="129">
        <f>VLOOKUP($A281,'Model Inputs'!$A:$D,4)</f>
        <v>670</v>
      </c>
      <c r="I281" s="9">
        <f>J281/H281</f>
        <v>41.008227700895453</v>
      </c>
      <c r="J281" s="9">
        <f>SUBTOTAL(9,J282:J283)</f>
        <v>27475.512559599953</v>
      </c>
      <c r="K281" s="89"/>
      <c r="L281" s="89">
        <f>ROUNDDOWN(L283,0)/100</f>
        <v>6.7</v>
      </c>
      <c r="M281" s="9">
        <f>SUBTOTAL(9,M282:M283)</f>
        <v>0</v>
      </c>
      <c r="N281" s="9">
        <f>SUBTOTAL(9,N282:N283)</f>
        <v>13908.012559599953</v>
      </c>
      <c r="O281" s="9">
        <f>SUBTOTAL(9,O282:O283)</f>
        <v>0</v>
      </c>
      <c r="P281" s="9">
        <f>SUBTOTAL(9,P282:P283)</f>
        <v>13567.5</v>
      </c>
      <c r="Q281" s="10">
        <f>SUM(M281:P281)</f>
        <v>27475.512559599953</v>
      </c>
      <c r="R281" s="117"/>
    </row>
    <row r="282" spans="1:18" outlineLevel="1" x14ac:dyDescent="0.5">
      <c r="A282" s="131" t="s">
        <v>448</v>
      </c>
      <c r="B282" s="14">
        <v>1</v>
      </c>
      <c r="C282" s="15" t="s">
        <v>136</v>
      </c>
      <c r="D282" s="44" t="str">
        <f>VLOOKUP(Estimate!$C282,Resources!$B$3:$G$336,4,FALSE)</f>
        <v xml:space="preserve">m³   </v>
      </c>
      <c r="E282" s="44" t="str">
        <f>VLOOKUP(Estimate!$C282,Resources!$B$3:$G$336,3,FALSE)</f>
        <v>M</v>
      </c>
      <c r="F282" s="52">
        <v>1</v>
      </c>
      <c r="G282" s="12">
        <v>1</v>
      </c>
      <c r="H282" s="12">
        <f>H281/8.599</f>
        <v>77.916036748459121</v>
      </c>
      <c r="I282" s="12">
        <f>VLOOKUP(C282,Resources!$B$3:$G$336,6,FALSE)</f>
        <v>178.5</v>
      </c>
      <c r="J282" s="12">
        <f>(H282/(G282/F282))*I282</f>
        <v>13908.012559599953</v>
      </c>
      <c r="K282" s="90"/>
      <c r="L282" s="90" t="str">
        <f>IF(E282="M"," ",H282/G282)</f>
        <v xml:space="preserve"> </v>
      </c>
      <c r="M282" s="16">
        <f>IF($E282="L",$J282,0)</f>
        <v>0</v>
      </c>
      <c r="N282" s="16">
        <f>IF($E282="M",$J282,0)</f>
        <v>13908.012559599953</v>
      </c>
      <c r="O282" s="16">
        <f>IF($E282="P",$J282,0)</f>
        <v>0</v>
      </c>
      <c r="P282" s="16">
        <f>IF($E282="S",$J282,0)</f>
        <v>0</v>
      </c>
      <c r="Q282" s="16">
        <f>SUM(M282:P282)</f>
        <v>13908.012559599953</v>
      </c>
      <c r="R282" s="118" t="s">
        <v>949</v>
      </c>
    </row>
    <row r="283" spans="1:18" outlineLevel="1" x14ac:dyDescent="0.5">
      <c r="A283" s="131" t="s">
        <v>448</v>
      </c>
      <c r="B283" s="14">
        <v>2</v>
      </c>
      <c r="C283" s="15" t="s">
        <v>137</v>
      </c>
      <c r="D283" s="44" t="str">
        <f>VLOOKUP(Estimate!$C283,Resources!$B$3:$G$336,4,FALSE)</f>
        <v xml:space="preserve">m    </v>
      </c>
      <c r="E283" s="44" t="str">
        <f>VLOOKUP(Estimate!$C283,Resources!$B$3:$G$336,3,FALSE)</f>
        <v>S</v>
      </c>
      <c r="F283" s="52">
        <v>1</v>
      </c>
      <c r="G283" s="12">
        <v>1</v>
      </c>
      <c r="H283" s="12">
        <f>H281</f>
        <v>670</v>
      </c>
      <c r="I283" s="12">
        <f>VLOOKUP(C283,Resources!$B$3:$G$336,6,FALSE)</f>
        <v>20.25</v>
      </c>
      <c r="J283" s="12">
        <f>(H283/(G283/F283))*I283</f>
        <v>13567.5</v>
      </c>
      <c r="K283" s="90">
        <f>L283*F283</f>
        <v>670</v>
      </c>
      <c r="L283" s="90">
        <f>IF(E283="M"," ",H283/G283)</f>
        <v>670</v>
      </c>
      <c r="M283" s="16">
        <f>IF($E283="L",$J283,0)</f>
        <v>0</v>
      </c>
      <c r="N283" s="16">
        <f>IF($E283="M",$J283,0)</f>
        <v>0</v>
      </c>
      <c r="O283" s="16">
        <f>IF($E283="P",$J283,0)</f>
        <v>0</v>
      </c>
      <c r="P283" s="16">
        <f>IF($E283="S",$J283,0)</f>
        <v>13567.5</v>
      </c>
      <c r="Q283" s="16">
        <f>SUM(M283:P283)</f>
        <v>13567.5</v>
      </c>
      <c r="R283" s="118">
        <v>71</v>
      </c>
    </row>
    <row r="284" spans="1:18" outlineLevel="1" x14ac:dyDescent="0.5">
      <c r="A284" s="132" t="s">
        <v>448</v>
      </c>
      <c r="B284" s="1"/>
      <c r="C284" s="2"/>
      <c r="D284" s="1"/>
      <c r="E284" s="45"/>
      <c r="F284" s="53"/>
      <c r="G284" s="11"/>
      <c r="H284" s="11"/>
      <c r="I284" s="11"/>
      <c r="J284" s="11"/>
      <c r="K284" s="91"/>
      <c r="L284" s="91"/>
      <c r="M284" s="13"/>
      <c r="N284" s="13"/>
      <c r="O284" s="13"/>
      <c r="P284" s="13"/>
      <c r="Q284" s="13"/>
      <c r="R284" s="119"/>
    </row>
    <row r="285" spans="1:18" ht="21" x14ac:dyDescent="0.5">
      <c r="A285" s="130">
        <v>60</v>
      </c>
      <c r="B285" s="7" t="s">
        <v>138</v>
      </c>
      <c r="C285" s="7" t="s">
        <v>139</v>
      </c>
      <c r="D285" s="8" t="s">
        <v>25</v>
      </c>
      <c r="E285" s="43"/>
      <c r="F285" s="51"/>
      <c r="G285" s="9"/>
      <c r="H285" s="129">
        <f>VLOOKUP($A285,'Model Inputs'!$A:$D,4)</f>
        <v>372</v>
      </c>
      <c r="I285" s="9">
        <f>J285/H285</f>
        <v>29.087071142135745</v>
      </c>
      <c r="J285" s="9">
        <f>SUBTOTAL(9,J286:J287)</f>
        <v>10820.390464874497</v>
      </c>
      <c r="K285" s="89"/>
      <c r="L285" s="89">
        <f>ROUNDUP(L287,0)/100</f>
        <v>3.72</v>
      </c>
      <c r="M285" s="9">
        <f>SUBTOTAL(9,M286:M287)</f>
        <v>0</v>
      </c>
      <c r="N285" s="9">
        <f>SUBTOTAL(9,N286:N287)</f>
        <v>3287.3904648744983</v>
      </c>
      <c r="O285" s="9">
        <f>SUBTOTAL(9,O286:O287)</f>
        <v>0</v>
      </c>
      <c r="P285" s="9">
        <f>SUBTOTAL(9,P286:P287)</f>
        <v>7533</v>
      </c>
      <c r="Q285" s="10">
        <f>SUM(M285:P285)</f>
        <v>10820.390464874497</v>
      </c>
      <c r="R285" s="117"/>
    </row>
    <row r="286" spans="1:18" outlineLevel="1" x14ac:dyDescent="0.5">
      <c r="A286" s="131" t="s">
        <v>448</v>
      </c>
      <c r="B286" s="14">
        <v>1</v>
      </c>
      <c r="C286" s="15" t="s">
        <v>136</v>
      </c>
      <c r="D286" s="44" t="str">
        <f>VLOOKUP(Estimate!$C286,Resources!$B$3:$G$336,4,FALSE)</f>
        <v xml:space="preserve">m³   </v>
      </c>
      <c r="E286" s="44" t="str">
        <f>VLOOKUP(Estimate!$C286,Resources!$B$3:$G$336,3,FALSE)</f>
        <v>M</v>
      </c>
      <c r="F286" s="52">
        <v>1</v>
      </c>
      <c r="G286" s="12">
        <v>1</v>
      </c>
      <c r="H286" s="12">
        <f>H285/20.199</f>
        <v>18.416753304619039</v>
      </c>
      <c r="I286" s="12">
        <f>VLOOKUP(C286,Resources!$B$3:$G$336,6,FALSE)</f>
        <v>178.5</v>
      </c>
      <c r="J286" s="12">
        <f>(H286/(G286/F286))*I286</f>
        <v>3287.3904648744983</v>
      </c>
      <c r="K286" s="90"/>
      <c r="L286" s="90" t="str">
        <f>IF(E286="M"," ",H286/G286)</f>
        <v xml:space="preserve"> </v>
      </c>
      <c r="M286" s="16">
        <f>IF($E286="L",$J286,0)</f>
        <v>0</v>
      </c>
      <c r="N286" s="16">
        <f>IF($E286="M",$J286,0)</f>
        <v>3287.3904648744983</v>
      </c>
      <c r="O286" s="16">
        <f>IF($E286="P",$J286,0)</f>
        <v>0</v>
      </c>
      <c r="P286" s="16">
        <f>IF($E286="S",$J286,0)</f>
        <v>0</v>
      </c>
      <c r="Q286" s="16">
        <f>SUM(M286:P286)</f>
        <v>3287.3904648744983</v>
      </c>
      <c r="R286" s="118" t="s">
        <v>949</v>
      </c>
    </row>
    <row r="287" spans="1:18" outlineLevel="1" x14ac:dyDescent="0.5">
      <c r="A287" s="131" t="s">
        <v>448</v>
      </c>
      <c r="B287" s="14">
        <v>2</v>
      </c>
      <c r="C287" s="15" t="s">
        <v>137</v>
      </c>
      <c r="D287" s="44" t="str">
        <f>VLOOKUP(Estimate!$C287,Resources!$B$3:$G$336,4,FALSE)</f>
        <v xml:space="preserve">m    </v>
      </c>
      <c r="E287" s="44" t="str">
        <f>VLOOKUP(Estimate!$C287,Resources!$B$3:$G$336,3,FALSE)</f>
        <v>S</v>
      </c>
      <c r="F287" s="52">
        <v>1</v>
      </c>
      <c r="G287" s="12">
        <v>1</v>
      </c>
      <c r="H287" s="12">
        <f>H285</f>
        <v>372</v>
      </c>
      <c r="I287" s="12">
        <f>VLOOKUP(C287,Resources!$B$3:$G$336,6,FALSE)</f>
        <v>20.25</v>
      </c>
      <c r="J287" s="12">
        <f>(H287/(G287/F287))*I287</f>
        <v>7533</v>
      </c>
      <c r="K287" s="90">
        <f>L287*F287</f>
        <v>372</v>
      </c>
      <c r="L287" s="90">
        <f>IF(E287="M"," ",H287/G287)</f>
        <v>372</v>
      </c>
      <c r="M287" s="16">
        <f>IF($E287="L",$J287,0)</f>
        <v>0</v>
      </c>
      <c r="N287" s="16">
        <f>IF($E287="M",$J287,0)</f>
        <v>0</v>
      </c>
      <c r="O287" s="16">
        <f>IF($E287="P",$J287,0)</f>
        <v>0</v>
      </c>
      <c r="P287" s="16">
        <f>IF($E287="S",$J287,0)</f>
        <v>7533</v>
      </c>
      <c r="Q287" s="16">
        <f>SUM(M287:P287)</f>
        <v>7533</v>
      </c>
      <c r="R287" s="118">
        <v>71</v>
      </c>
    </row>
    <row r="288" spans="1:18" outlineLevel="1" x14ac:dyDescent="0.5">
      <c r="A288" s="132" t="s">
        <v>448</v>
      </c>
      <c r="B288" s="1"/>
      <c r="C288" s="2"/>
      <c r="D288" s="1"/>
      <c r="E288" s="45"/>
      <c r="F288" s="53"/>
      <c r="G288" s="11"/>
      <c r="H288" s="11"/>
      <c r="I288" s="11"/>
      <c r="J288" s="11"/>
      <c r="K288" s="91"/>
      <c r="L288" s="91"/>
      <c r="M288" s="13"/>
      <c r="N288" s="13"/>
      <c r="O288" s="13"/>
      <c r="P288" s="13"/>
      <c r="Q288" s="13"/>
      <c r="R288" s="119"/>
    </row>
    <row r="289" spans="1:70" ht="21" x14ac:dyDescent="0.5">
      <c r="A289" s="130">
        <v>61</v>
      </c>
      <c r="B289" s="7" t="s">
        <v>140</v>
      </c>
      <c r="C289" s="7" t="s">
        <v>141</v>
      </c>
      <c r="D289" s="8" t="s">
        <v>25</v>
      </c>
      <c r="E289" s="43"/>
      <c r="F289" s="51"/>
      <c r="G289" s="9"/>
      <c r="H289" s="129">
        <f>VLOOKUP($A289,'Model Inputs'!$A:$D,4)</f>
        <v>207</v>
      </c>
      <c r="I289" s="9">
        <f>J289/H289</f>
        <v>4.1468746578021118</v>
      </c>
      <c r="J289" s="9">
        <f>SUBTOTAL(9,J290:J291)</f>
        <v>858.40305416503713</v>
      </c>
      <c r="K289" s="89"/>
      <c r="L289" s="89">
        <f>ROUNDUP(L291,0)</f>
        <v>1</v>
      </c>
      <c r="M289" s="9">
        <f>SUBTOTAL(9,M290:M291)</f>
        <v>0</v>
      </c>
      <c r="N289" s="9">
        <f>SUBTOTAL(9,N290:N291)</f>
        <v>850.01955416503711</v>
      </c>
      <c r="O289" s="9">
        <f>SUBTOTAL(9,O290:O291)</f>
        <v>0</v>
      </c>
      <c r="P289" s="9">
        <f>SUBTOTAL(9,P290:P291)</f>
        <v>8.3834999999999997</v>
      </c>
      <c r="Q289" s="10">
        <f>SUM(M289:P289)</f>
        <v>858.40305416503713</v>
      </c>
      <c r="R289" s="117"/>
    </row>
    <row r="290" spans="1:70" outlineLevel="1" x14ac:dyDescent="0.5">
      <c r="A290" s="131" t="s">
        <v>448</v>
      </c>
      <c r="B290" s="14">
        <v>1</v>
      </c>
      <c r="C290" s="15" t="s">
        <v>136</v>
      </c>
      <c r="D290" s="44" t="str">
        <f>VLOOKUP(Estimate!$C290,Resources!$B$3:$G$336,4,FALSE)</f>
        <v xml:space="preserve">m³   </v>
      </c>
      <c r="E290" s="44" t="str">
        <f>VLOOKUP(Estimate!$C290,Resources!$B$3:$G$336,3,FALSE)</f>
        <v>M</v>
      </c>
      <c r="F290" s="52">
        <v>1</v>
      </c>
      <c r="G290" s="12">
        <v>1</v>
      </c>
      <c r="H290" s="12">
        <f>H289/43.469</f>
        <v>4.7620143090478271</v>
      </c>
      <c r="I290" s="12">
        <f>VLOOKUP(C290,Resources!$B$3:$G$336,6,FALSE)</f>
        <v>178.5</v>
      </c>
      <c r="J290" s="12">
        <f>(H290/(G290/F290))*I290</f>
        <v>850.01955416503711</v>
      </c>
      <c r="K290" s="90"/>
      <c r="L290" s="90" t="str">
        <f>IF(E290="M"," ",H290/G290)</f>
        <v xml:space="preserve"> </v>
      </c>
      <c r="M290" s="16">
        <f>IF($E290="L",$J290,0)</f>
        <v>0</v>
      </c>
      <c r="N290" s="16">
        <f>IF($E290="M",$J290,0)</f>
        <v>850.01955416503711</v>
      </c>
      <c r="O290" s="16">
        <f>IF($E290="P",$J290,0)</f>
        <v>0</v>
      </c>
      <c r="P290" s="16">
        <f>IF($E290="S",$J290,0)</f>
        <v>0</v>
      </c>
      <c r="Q290" s="16">
        <f>SUM(M290:P290)</f>
        <v>850.01955416503711</v>
      </c>
      <c r="R290" s="118" t="s">
        <v>949</v>
      </c>
    </row>
    <row r="291" spans="1:70" outlineLevel="1" x14ac:dyDescent="0.5">
      <c r="A291" s="131" t="s">
        <v>448</v>
      </c>
      <c r="B291" s="14">
        <v>2</v>
      </c>
      <c r="C291" s="15" t="s">
        <v>137</v>
      </c>
      <c r="D291" s="44" t="str">
        <f>VLOOKUP(Estimate!$C291,Resources!$B$3:$G$336,4,FALSE)</f>
        <v xml:space="preserve">m    </v>
      </c>
      <c r="E291" s="44" t="str">
        <f>VLOOKUP(Estimate!$C291,Resources!$B$3:$G$336,3,FALSE)</f>
        <v>S</v>
      </c>
      <c r="F291" s="52">
        <v>1</v>
      </c>
      <c r="G291" s="12">
        <v>500</v>
      </c>
      <c r="H291" s="12">
        <f>H289</f>
        <v>207</v>
      </c>
      <c r="I291" s="12">
        <f>VLOOKUP(C291,Resources!$B$3:$G$336,6,FALSE)</f>
        <v>20.25</v>
      </c>
      <c r="J291" s="12">
        <f>(H291/(G291/F291))*I291</f>
        <v>8.3834999999999997</v>
      </c>
      <c r="K291" s="90">
        <f>L291*F291</f>
        <v>0.41399999999999998</v>
      </c>
      <c r="L291" s="90">
        <f>IF(E291="M"," ",H291/G291)</f>
        <v>0.41399999999999998</v>
      </c>
      <c r="M291" s="16">
        <f>IF($E291="L",$J291,0)</f>
        <v>0</v>
      </c>
      <c r="N291" s="16">
        <f>IF($E291="M",$J291,0)</f>
        <v>0</v>
      </c>
      <c r="O291" s="16">
        <f>IF($E291="P",$J291,0)</f>
        <v>0</v>
      </c>
      <c r="P291" s="16">
        <f>IF($E291="S",$J291,0)</f>
        <v>8.3834999999999997</v>
      </c>
      <c r="Q291" s="16">
        <f>SUM(M291:P291)</f>
        <v>8.3834999999999997</v>
      </c>
      <c r="R291" s="118">
        <v>71</v>
      </c>
    </row>
    <row r="292" spans="1:70" outlineLevel="1" x14ac:dyDescent="0.5">
      <c r="A292" s="132" t="s">
        <v>448</v>
      </c>
      <c r="B292" s="1"/>
      <c r="C292" s="2"/>
      <c r="D292" s="1"/>
      <c r="E292" s="45"/>
      <c r="F292" s="53"/>
      <c r="G292" s="11"/>
      <c r="H292" s="11"/>
      <c r="I292" s="11"/>
      <c r="J292" s="11"/>
      <c r="K292" s="91"/>
      <c r="L292" s="91"/>
      <c r="M292" s="13"/>
      <c r="N292" s="13"/>
      <c r="O292" s="13"/>
      <c r="P292" s="13"/>
      <c r="Q292" s="13"/>
      <c r="R292" s="119"/>
      <c r="AH292" s="197"/>
    </row>
    <row r="293" spans="1:70" ht="21" x14ac:dyDescent="0.5">
      <c r="A293" s="130">
        <v>62</v>
      </c>
      <c r="B293" s="7" t="s">
        <v>142</v>
      </c>
      <c r="C293" s="7" t="s">
        <v>143</v>
      </c>
      <c r="D293" s="8" t="s">
        <v>144</v>
      </c>
      <c r="E293" s="43"/>
      <c r="F293" s="51"/>
      <c r="G293" s="9"/>
      <c r="H293" s="129">
        <f>VLOOKUP($A293,'Model Inputs'!$A:$D,4)</f>
        <v>5</v>
      </c>
      <c r="I293" s="9">
        <f>J293/H293</f>
        <v>458.2</v>
      </c>
      <c r="J293" s="9">
        <f>SUBTOTAL(9,J294:J295)</f>
        <v>2291</v>
      </c>
      <c r="K293" s="89"/>
      <c r="L293" s="89">
        <f>ROUNDUP(L295,0)</f>
        <v>5</v>
      </c>
      <c r="M293" s="9">
        <f>SUBTOTAL(9,M294:M295)</f>
        <v>0</v>
      </c>
      <c r="N293" s="9">
        <f>SUBTOTAL(9,N294:N295)</f>
        <v>791</v>
      </c>
      <c r="O293" s="9">
        <f>SUBTOTAL(9,O294:O295)</f>
        <v>0</v>
      </c>
      <c r="P293" s="9">
        <f>SUBTOTAL(9,P294:P295)</f>
        <v>1500</v>
      </c>
      <c r="Q293" s="10">
        <f>SUM(M293:P293)</f>
        <v>2291</v>
      </c>
      <c r="R293" s="117"/>
    </row>
    <row r="294" spans="1:70" outlineLevel="1" x14ac:dyDescent="0.5">
      <c r="A294" s="131" t="s">
        <v>448</v>
      </c>
      <c r="B294" s="14">
        <v>1</v>
      </c>
      <c r="C294" s="15" t="s">
        <v>145</v>
      </c>
      <c r="D294" s="44" t="str">
        <f>VLOOKUP(Estimate!$C294,Resources!$B$3:$G$336,4,FALSE)</f>
        <v xml:space="preserve">m³   </v>
      </c>
      <c r="E294" s="44" t="str">
        <f>VLOOKUP(Estimate!$C294,Resources!$B$3:$G$336,3,FALSE)</f>
        <v>M</v>
      </c>
      <c r="F294" s="52">
        <v>1</v>
      </c>
      <c r="G294" s="12">
        <v>1</v>
      </c>
      <c r="H294" s="12">
        <f>H293</f>
        <v>5</v>
      </c>
      <c r="I294" s="12">
        <f>VLOOKUP(C294,Resources!$B$3:$G$336,6,FALSE)</f>
        <v>158.19999999999999</v>
      </c>
      <c r="J294" s="12">
        <f>(H294/(G294/F294))*I294</f>
        <v>791</v>
      </c>
      <c r="K294" s="90"/>
      <c r="L294" s="90" t="str">
        <f>IF(E294="M"," ",H294/G294)</f>
        <v xml:space="preserve"> </v>
      </c>
      <c r="M294" s="16">
        <f>IF($E294="L",$J294,0)</f>
        <v>0</v>
      </c>
      <c r="N294" s="16">
        <f>IF($E294="M",$J294,0)</f>
        <v>791</v>
      </c>
      <c r="O294" s="16">
        <f>IF($E294="P",$J294,0)</f>
        <v>0</v>
      </c>
      <c r="P294" s="16">
        <f>IF($E294="S",$J294,0)</f>
        <v>0</v>
      </c>
      <c r="Q294" s="16">
        <f>SUM(M294:P294)</f>
        <v>791</v>
      </c>
      <c r="R294" s="118" t="s">
        <v>946</v>
      </c>
    </row>
    <row r="295" spans="1:70" outlineLevel="1" x14ac:dyDescent="0.5">
      <c r="A295" s="131" t="s">
        <v>448</v>
      </c>
      <c r="B295" s="14">
        <v>2</v>
      </c>
      <c r="C295" s="15" t="s">
        <v>869</v>
      </c>
      <c r="D295" s="44" t="str">
        <f>VLOOKUP(Estimate!$C295,Resources!$B$3:$G$336,4,FALSE)</f>
        <v xml:space="preserve">each </v>
      </c>
      <c r="E295" s="44" t="str">
        <f>VLOOKUP(Estimate!$C295,Resources!$B$3:$G$336,3,FALSE)</f>
        <v>S</v>
      </c>
      <c r="F295" s="52">
        <v>1</v>
      </c>
      <c r="G295" s="12">
        <v>1</v>
      </c>
      <c r="H295" s="12">
        <f>H293</f>
        <v>5</v>
      </c>
      <c r="I295" s="12">
        <f>VLOOKUP(C295,Resources!$B$3:$G$336,6,FALSE)</f>
        <v>300</v>
      </c>
      <c r="J295" s="12">
        <f>(H295/(G295/F295))*I295</f>
        <v>1500</v>
      </c>
      <c r="K295" s="90">
        <f>L295*F295</f>
        <v>5</v>
      </c>
      <c r="L295" s="90">
        <f>IF(E295="M"," ",H295/G295)</f>
        <v>5</v>
      </c>
      <c r="M295" s="16">
        <f>IF($E295="L",$J295,0)</f>
        <v>0</v>
      </c>
      <c r="N295" s="16">
        <f>IF($E295="M",$J295,0)</f>
        <v>0</v>
      </c>
      <c r="O295" s="16">
        <f>IF($E295="P",$J295,0)</f>
        <v>0</v>
      </c>
      <c r="P295" s="16">
        <f>IF($E295="S",$J295,0)</f>
        <v>1500</v>
      </c>
      <c r="Q295" s="16">
        <f>SUM(M295:P295)</f>
        <v>1500</v>
      </c>
      <c r="R295" s="118">
        <v>73</v>
      </c>
    </row>
    <row r="296" spans="1:70" outlineLevel="1" x14ac:dyDescent="0.5">
      <c r="A296" s="132" t="s">
        <v>448</v>
      </c>
      <c r="B296" s="1"/>
      <c r="C296" s="2"/>
      <c r="D296" s="1"/>
      <c r="E296" s="45"/>
      <c r="F296" s="53"/>
      <c r="G296" s="11"/>
      <c r="H296" s="11"/>
      <c r="I296" s="11"/>
      <c r="J296" s="11"/>
      <c r="K296" s="91"/>
      <c r="L296" s="91"/>
      <c r="M296" s="13"/>
      <c r="N296" s="13"/>
      <c r="O296" s="13"/>
      <c r="P296" s="13"/>
      <c r="Q296" s="13"/>
      <c r="R296" s="119"/>
    </row>
    <row r="297" spans="1:70" ht="21" x14ac:dyDescent="0.5">
      <c r="A297" s="130">
        <v>63</v>
      </c>
      <c r="B297" s="7" t="s">
        <v>146</v>
      </c>
      <c r="C297" s="7" t="s">
        <v>147</v>
      </c>
      <c r="D297" s="8" t="s">
        <v>54</v>
      </c>
      <c r="E297" s="43"/>
      <c r="F297" s="51"/>
      <c r="G297" s="9"/>
      <c r="H297" s="129">
        <f>VLOOKUP($A297,'Model Inputs'!$A:$D,4)</f>
        <v>161</v>
      </c>
      <c r="I297" s="9">
        <f>J297/H297</f>
        <v>70.040137404693311</v>
      </c>
      <c r="J297" s="9">
        <f>SUBTOTAL(9,J299:J307)</f>
        <v>11276.462122155623</v>
      </c>
      <c r="K297" s="89"/>
      <c r="L297" s="89">
        <f>ROUNDUP(MAX(L304:L305,L307),0)/40</f>
        <v>4.0250000000000004</v>
      </c>
      <c r="M297" s="9">
        <f>SUBTOTAL(9,M299:M307)</f>
        <v>224.34910157682435</v>
      </c>
      <c r="N297" s="9">
        <f>SUBTOTAL(9,N299:N307)</f>
        <v>6746.6766436077678</v>
      </c>
      <c r="O297" s="9">
        <f>SUBTOTAL(9,O299:O307)</f>
        <v>280.43637697103043</v>
      </c>
      <c r="P297" s="9">
        <f>SUBTOTAL(9,P299:P307)</f>
        <v>4025</v>
      </c>
      <c r="Q297" s="10">
        <f>SUM(M297:P297)</f>
        <v>11276.462122155623</v>
      </c>
      <c r="R297" s="117"/>
    </row>
    <row r="298" spans="1:70" outlineLevel="1" x14ac:dyDescent="0.5">
      <c r="A298" s="132" t="s">
        <v>448</v>
      </c>
      <c r="B298" s="1">
        <v>1</v>
      </c>
      <c r="C298" s="2" t="s">
        <v>635</v>
      </c>
      <c r="D298" s="1"/>
      <c r="E298" s="45"/>
      <c r="F298" s="53"/>
      <c r="G298" s="11"/>
      <c r="H298" s="11"/>
      <c r="I298" s="11"/>
      <c r="J298" s="11"/>
      <c r="K298" s="91"/>
      <c r="L298" s="91"/>
      <c r="M298" s="13"/>
      <c r="N298" s="13"/>
      <c r="O298" s="13"/>
      <c r="P298" s="13"/>
      <c r="Q298" s="13"/>
      <c r="R298" s="119"/>
    </row>
    <row r="299" spans="1:70" outlineLevel="1" x14ac:dyDescent="0.5">
      <c r="A299" s="131" t="s">
        <v>448</v>
      </c>
      <c r="B299" s="14">
        <v>2</v>
      </c>
      <c r="C299" s="15" t="s">
        <v>148</v>
      </c>
      <c r="D299" s="44" t="str">
        <f>VLOOKUP(Estimate!$C299,Resources!$B$3:$G$336,4,FALSE)</f>
        <v xml:space="preserve">m³   </v>
      </c>
      <c r="E299" s="44" t="str">
        <f>VLOOKUP(Estimate!$C299,Resources!$B$3:$G$336,3,FALSE)</f>
        <v>M</v>
      </c>
      <c r="F299" s="52">
        <v>1</v>
      </c>
      <c r="G299" s="12">
        <v>1</v>
      </c>
      <c r="H299" s="12">
        <f>H297/5.195</f>
        <v>30.991337824831568</v>
      </c>
      <c r="I299" s="12">
        <f>VLOOKUP(C299,Resources!$B$3:$G$336,6,FALSE)</f>
        <v>167.2</v>
      </c>
      <c r="J299" s="12">
        <f>(H299/(G299/F299))*I299</f>
        <v>5181.7516843118374</v>
      </c>
      <c r="K299" s="90"/>
      <c r="L299" s="90" t="str">
        <f>IF(E299="M"," ",H299/G299)</f>
        <v xml:space="preserve"> </v>
      </c>
      <c r="M299" s="16">
        <f>IF($E299="L",$J299,0)</f>
        <v>0</v>
      </c>
      <c r="N299" s="16">
        <f>IF($E299="M",$J299,0)</f>
        <v>5181.7516843118374</v>
      </c>
      <c r="O299" s="16">
        <f>IF($E299="P",$J299,0)</f>
        <v>0</v>
      </c>
      <c r="P299" s="16">
        <f>IF($E299="S",$J299,0)</f>
        <v>0</v>
      </c>
      <c r="Q299" s="16">
        <f>SUM(M299:P299)</f>
        <v>5181.7516843118374</v>
      </c>
      <c r="R299" s="118" t="s">
        <v>957</v>
      </c>
    </row>
    <row r="300" spans="1:70" outlineLevel="1" x14ac:dyDescent="0.5">
      <c r="A300" s="131" t="s">
        <v>448</v>
      </c>
      <c r="B300" s="14">
        <v>3</v>
      </c>
      <c r="C300" s="15" t="s">
        <v>149</v>
      </c>
      <c r="D300" s="44" t="str">
        <f>VLOOKUP(Estimate!$C300,Resources!$B$3:$G$336,4,FALSE)</f>
        <v xml:space="preserve">m²   </v>
      </c>
      <c r="E300" s="44" t="str">
        <f>VLOOKUP(Estimate!$C300,Resources!$B$3:$G$336,3,FALSE)</f>
        <v>M</v>
      </c>
      <c r="F300" s="52">
        <v>1</v>
      </c>
      <c r="G300" s="12">
        <v>1</v>
      </c>
      <c r="H300" s="12">
        <f>H297*1.2</f>
        <v>193.2</v>
      </c>
      <c r="I300" s="12">
        <f>VLOOKUP(C300,Resources!$B$3:$G$336,6,FALSE)</f>
        <v>5.76</v>
      </c>
      <c r="J300" s="12">
        <f>(H300/(G300/F300))*I300</f>
        <v>1112.8319999999999</v>
      </c>
      <c r="K300" s="90"/>
      <c r="L300" s="90" t="str">
        <f>IF(E300="M"," ",H300/G300)</f>
        <v xml:space="preserve"> </v>
      </c>
      <c r="M300" s="16">
        <f>IF($E300="L",$J300,0)</f>
        <v>0</v>
      </c>
      <c r="N300" s="16">
        <f>IF($E300="M",$J300,0)</f>
        <v>1112.8319999999999</v>
      </c>
      <c r="O300" s="16">
        <f>IF($E300="P",$J300,0)</f>
        <v>0</v>
      </c>
      <c r="P300" s="16">
        <f>IF($E300="S",$J300,0)</f>
        <v>0</v>
      </c>
      <c r="Q300" s="16">
        <f>SUM(M300:P300)</f>
        <v>1112.8319999999999</v>
      </c>
      <c r="R300" s="118" t="s">
        <v>944</v>
      </c>
    </row>
    <row r="301" spans="1:70" outlineLevel="1" x14ac:dyDescent="0.5">
      <c r="A301" s="131" t="s">
        <v>448</v>
      </c>
      <c r="B301" s="14">
        <v>4</v>
      </c>
      <c r="C301" s="15" t="s">
        <v>73</v>
      </c>
      <c r="D301" s="44" t="str">
        <f>VLOOKUP(Estimate!$C301,Resources!$B$3:$G$336,4,FALSE)</f>
        <v>tonne</v>
      </c>
      <c r="E301" s="44" t="str">
        <f>VLOOKUP(Estimate!$C301,Resources!$B$3:$G$336,3,FALSE)</f>
        <v>M</v>
      </c>
      <c r="F301" s="52">
        <v>1</v>
      </c>
      <c r="G301" s="12">
        <v>1</v>
      </c>
      <c r="H301" s="12">
        <f>H297/9.09</f>
        <v>17.711771177117711</v>
      </c>
      <c r="I301" s="12">
        <f>VLOOKUP(C301,Resources!$B$3:$G$336,6,FALSE)</f>
        <v>17.95</v>
      </c>
      <c r="J301" s="12">
        <f>(H301/(G301/F301))*I301</f>
        <v>317.92629262926289</v>
      </c>
      <c r="K301" s="90"/>
      <c r="L301" s="90" t="str">
        <f>IF(E301="M"," ",H301/G301)</f>
        <v xml:space="preserve"> </v>
      </c>
      <c r="M301" s="16">
        <f>IF($E301="L",$J301,0)</f>
        <v>0</v>
      </c>
      <c r="N301" s="16">
        <f>IF($E301="M",$J301,0)</f>
        <v>317.92629262926289</v>
      </c>
      <c r="O301" s="16">
        <f>IF($E301="P",$J301,0)</f>
        <v>0</v>
      </c>
      <c r="P301" s="16">
        <f>IF($E301="S",$J301,0)</f>
        <v>0</v>
      </c>
      <c r="Q301" s="16">
        <f>SUM(M301:P301)</f>
        <v>317.92629262926289</v>
      </c>
      <c r="R301" s="118" t="s">
        <v>945</v>
      </c>
    </row>
    <row r="302" spans="1:70" outlineLevel="1" x14ac:dyDescent="0.5">
      <c r="A302" s="131" t="s">
        <v>448</v>
      </c>
      <c r="B302" s="14">
        <v>5</v>
      </c>
      <c r="C302" s="15" t="s">
        <v>150</v>
      </c>
      <c r="D302" s="44" t="str">
        <f>VLOOKUP(Estimate!$C302,Resources!$B$3:$G$336,4,FALSE)</f>
        <v xml:space="preserve">each </v>
      </c>
      <c r="E302" s="44" t="str">
        <f>VLOOKUP(Estimate!$C302,Resources!$B$3:$G$336,3,FALSE)</f>
        <v>M</v>
      </c>
      <c r="F302" s="52">
        <v>1</v>
      </c>
      <c r="G302" s="12">
        <v>1</v>
      </c>
      <c r="H302" s="12">
        <f>H297/2.4</f>
        <v>67.083333333333343</v>
      </c>
      <c r="I302" s="12">
        <f>VLOOKUP(C302,Resources!$B$3:$G$336,6,FALSE)</f>
        <v>2</v>
      </c>
      <c r="J302" s="12">
        <f>(H302/(G302/F302))*I302</f>
        <v>134.16666666666669</v>
      </c>
      <c r="K302" s="90"/>
      <c r="L302" s="90" t="str">
        <f>IF(E302="M"," ",H302/G302)</f>
        <v xml:space="preserve"> </v>
      </c>
      <c r="M302" s="16">
        <f>IF($E302="L",$J302,0)</f>
        <v>0</v>
      </c>
      <c r="N302" s="16">
        <f>IF($E302="M",$J302,0)</f>
        <v>134.16666666666669</v>
      </c>
      <c r="O302" s="16">
        <f>IF($E302="P",$J302,0)</f>
        <v>0</v>
      </c>
      <c r="P302" s="16">
        <f>IF($E302="S",$J302,0)</f>
        <v>0</v>
      </c>
      <c r="Q302" s="16">
        <f>SUM(M302:P302)</f>
        <v>134.16666666666669</v>
      </c>
      <c r="R302" s="118" t="s">
        <v>958</v>
      </c>
    </row>
    <row r="303" spans="1:70" s="22" customFormat="1" outlineLevel="1" x14ac:dyDescent="0.5">
      <c r="A303" s="133" t="s">
        <v>448</v>
      </c>
      <c r="B303" s="18">
        <v>6</v>
      </c>
      <c r="C303" s="19" t="s">
        <v>636</v>
      </c>
      <c r="D303" s="18"/>
      <c r="E303" s="46"/>
      <c r="F303" s="54"/>
      <c r="G303" s="20"/>
      <c r="H303" s="20"/>
      <c r="I303" s="20"/>
      <c r="J303" s="20"/>
      <c r="K303" s="92"/>
      <c r="L303" s="92"/>
      <c r="M303" s="21"/>
      <c r="N303" s="21"/>
      <c r="O303" s="21"/>
      <c r="P303" s="21"/>
      <c r="Q303" s="21"/>
      <c r="R303" s="120"/>
      <c r="BR303" s="83"/>
    </row>
    <row r="304" spans="1:70" outlineLevel="1" x14ac:dyDescent="0.5">
      <c r="A304" s="131">
        <v>63.1</v>
      </c>
      <c r="B304" s="14">
        <v>7</v>
      </c>
      <c r="C304" s="15" t="s">
        <v>49</v>
      </c>
      <c r="D304" s="44" t="str">
        <f>VLOOKUP(Estimate!$C304,Resources!$B$3:$G$336,4,FALSE)</f>
        <v xml:space="preserve">hr   </v>
      </c>
      <c r="E304" s="44" t="str">
        <f>VLOOKUP(Estimate!$C304,Resources!$B$3:$G$336,3,FALSE)</f>
        <v>P</v>
      </c>
      <c r="F304" s="52">
        <v>1</v>
      </c>
      <c r="G304" s="129">
        <f>VLOOKUP($A304,'Model Inputs'!$A:$D,4)</f>
        <v>6</v>
      </c>
      <c r="H304" s="12">
        <f>H301</f>
        <v>17.711771177117711</v>
      </c>
      <c r="I304" s="12">
        <f>VLOOKUP(C304,Resources!$B$3:$G$336,6,FALSE)</f>
        <v>95</v>
      </c>
      <c r="J304" s="12">
        <f>(H304/(G304/F304))*I304</f>
        <v>280.43637697103043</v>
      </c>
      <c r="K304" s="90">
        <f>L304*F304</f>
        <v>2.951961862852952</v>
      </c>
      <c r="L304" s="90">
        <f>IF(E304="M"," ",H304/G304)</f>
        <v>2.951961862852952</v>
      </c>
      <c r="M304" s="16">
        <f>IF($E304="L",$J304,0)</f>
        <v>0</v>
      </c>
      <c r="N304" s="16">
        <f>IF($E304="M",$J304,0)</f>
        <v>0</v>
      </c>
      <c r="O304" s="16">
        <f>IF($E304="P",$J304,0)</f>
        <v>280.43637697103043</v>
      </c>
      <c r="P304" s="16">
        <f>IF($E304="S",$J304,0)</f>
        <v>0</v>
      </c>
      <c r="Q304" s="16">
        <f>SUM(M304:P304)</f>
        <v>280.43637697103043</v>
      </c>
      <c r="R304" s="118">
        <v>73</v>
      </c>
    </row>
    <row r="305" spans="1:70" outlineLevel="1" x14ac:dyDescent="0.5">
      <c r="A305" s="131" t="s">
        <v>448</v>
      </c>
      <c r="B305" s="14">
        <v>8</v>
      </c>
      <c r="C305" s="15" t="s">
        <v>7</v>
      </c>
      <c r="D305" s="44" t="str">
        <f>VLOOKUP(Estimate!$C305,Resources!$B$3:$G$336,4,FALSE)</f>
        <v xml:space="preserve">hr   </v>
      </c>
      <c r="E305" s="44" t="str">
        <f>VLOOKUP(Estimate!$C305,Resources!$B$3:$G$336,3,FALSE)</f>
        <v>L</v>
      </c>
      <c r="F305" s="52">
        <v>2</v>
      </c>
      <c r="G305" s="12">
        <f>G304</f>
        <v>6</v>
      </c>
      <c r="H305" s="12">
        <f>H301</f>
        <v>17.711771177117711</v>
      </c>
      <c r="I305" s="12">
        <f>VLOOKUP(C305,Resources!$B$3:$G$336,6,FALSE)</f>
        <v>38</v>
      </c>
      <c r="J305" s="12">
        <f>(H305/(G305/F305))*I305</f>
        <v>224.34910157682435</v>
      </c>
      <c r="K305" s="90">
        <f>L305*F305</f>
        <v>5.9039237257059041</v>
      </c>
      <c r="L305" s="90">
        <f>IF(E305="M"," ",H305/G305)</f>
        <v>2.951961862852952</v>
      </c>
      <c r="M305" s="16">
        <f>IF($E305="L",$J305,0)</f>
        <v>224.34910157682435</v>
      </c>
      <c r="N305" s="16">
        <f>IF($E305="M",$J305,0)</f>
        <v>0</v>
      </c>
      <c r="O305" s="16">
        <f>IF($E305="P",$J305,0)</f>
        <v>0</v>
      </c>
      <c r="P305" s="16">
        <f>IF($E305="S",$J305,0)</f>
        <v>0</v>
      </c>
      <c r="Q305" s="16">
        <f>SUM(M305:P305)</f>
        <v>224.34910157682435</v>
      </c>
      <c r="R305" s="118">
        <v>73</v>
      </c>
    </row>
    <row r="306" spans="1:70" s="22" customFormat="1" outlineLevel="1" x14ac:dyDescent="0.5">
      <c r="A306" s="133" t="s">
        <v>448</v>
      </c>
      <c r="B306" s="18">
        <v>9</v>
      </c>
      <c r="C306" s="19" t="s">
        <v>637</v>
      </c>
      <c r="D306" s="18"/>
      <c r="E306" s="46"/>
      <c r="F306" s="54"/>
      <c r="G306" s="20"/>
      <c r="H306" s="20"/>
      <c r="I306" s="20"/>
      <c r="J306" s="20"/>
      <c r="K306" s="92"/>
      <c r="L306" s="92"/>
      <c r="M306" s="21"/>
      <c r="N306" s="21"/>
      <c r="O306" s="21"/>
      <c r="P306" s="21"/>
      <c r="Q306" s="21"/>
      <c r="R306" s="120"/>
      <c r="BR306" s="83"/>
    </row>
    <row r="307" spans="1:70" outlineLevel="1" x14ac:dyDescent="0.5">
      <c r="A307" s="131" t="s">
        <v>448</v>
      </c>
      <c r="B307" s="14">
        <v>10</v>
      </c>
      <c r="C307" s="15" t="s">
        <v>151</v>
      </c>
      <c r="D307" s="44" t="str">
        <f>VLOOKUP(Estimate!$C307,Resources!$B$3:$G$336,4,FALSE)</f>
        <v xml:space="preserve">m²   </v>
      </c>
      <c r="E307" s="44" t="str">
        <f>VLOOKUP(Estimate!$C307,Resources!$B$3:$G$336,3,FALSE)</f>
        <v>S</v>
      </c>
      <c r="F307" s="52">
        <v>1</v>
      </c>
      <c r="G307" s="12">
        <v>1</v>
      </c>
      <c r="H307" s="12">
        <f>H297</f>
        <v>161</v>
      </c>
      <c r="I307" s="12">
        <f>VLOOKUP(C307,Resources!$B$3:$G$336,6,FALSE)</f>
        <v>25</v>
      </c>
      <c r="J307" s="12">
        <f>(H307/(G307/F307))*I307</f>
        <v>4025</v>
      </c>
      <c r="K307" s="90">
        <f>L307*F307</f>
        <v>161</v>
      </c>
      <c r="L307" s="90">
        <f>IF(E307="M"," ",H307/G307)</f>
        <v>161</v>
      </c>
      <c r="M307" s="16">
        <f>IF($E307="L",$J307,0)</f>
        <v>0</v>
      </c>
      <c r="N307" s="16">
        <f>IF($E307="M",$J307,0)</f>
        <v>0</v>
      </c>
      <c r="O307" s="16">
        <f>IF($E307="P",$J307,0)</f>
        <v>0</v>
      </c>
      <c r="P307" s="16">
        <f>IF($E307="S",$J307,0)</f>
        <v>4025</v>
      </c>
      <c r="Q307" s="16">
        <f>SUM(M307:P307)</f>
        <v>4025</v>
      </c>
      <c r="R307" s="118">
        <v>73</v>
      </c>
    </row>
    <row r="308" spans="1:70" outlineLevel="1" x14ac:dyDescent="0.5">
      <c r="A308" s="132" t="s">
        <v>448</v>
      </c>
      <c r="B308" s="1"/>
      <c r="C308" s="2"/>
      <c r="D308" s="1"/>
      <c r="E308" s="45"/>
      <c r="F308" s="53"/>
      <c r="G308" s="11"/>
      <c r="H308" s="11"/>
      <c r="I308" s="11"/>
      <c r="J308" s="11"/>
      <c r="K308" s="91"/>
      <c r="L308" s="91"/>
      <c r="M308" s="13"/>
      <c r="N308" s="13"/>
      <c r="O308" s="13"/>
      <c r="P308" s="13"/>
      <c r="Q308" s="13"/>
      <c r="R308" s="119"/>
    </row>
    <row r="309" spans="1:70" x14ac:dyDescent="0.5">
      <c r="A309" s="132">
        <v>64</v>
      </c>
      <c r="B309" s="1"/>
      <c r="C309" s="5" t="s">
        <v>628</v>
      </c>
      <c r="D309" s="1"/>
      <c r="E309" s="45"/>
      <c r="F309" s="53"/>
      <c r="G309" s="11"/>
      <c r="H309" s="11"/>
      <c r="I309" s="11"/>
      <c r="J309" s="11"/>
      <c r="K309" s="91"/>
      <c r="L309" s="91"/>
      <c r="M309" s="13"/>
      <c r="N309" s="13"/>
      <c r="O309" s="13"/>
      <c r="P309" s="13"/>
      <c r="Q309" s="13"/>
      <c r="R309" s="119"/>
    </row>
    <row r="310" spans="1:70" ht="21" x14ac:dyDescent="0.5">
      <c r="A310" s="130">
        <v>65</v>
      </c>
      <c r="B310" s="7" t="s">
        <v>152</v>
      </c>
      <c r="C310" s="7" t="s">
        <v>153</v>
      </c>
      <c r="D310" s="8" t="s">
        <v>54</v>
      </c>
      <c r="E310" s="43"/>
      <c r="F310" s="51"/>
      <c r="G310" s="9"/>
      <c r="H310" s="129">
        <f>VLOOKUP($A310,'Model Inputs'!$A:$D,4)</f>
        <v>195</v>
      </c>
      <c r="I310" s="9">
        <f>J310/H310</f>
        <v>55.256608220584468</v>
      </c>
      <c r="J310" s="9">
        <f>SUBTOTAL(9,J312:J320)</f>
        <v>10775.038603013971</v>
      </c>
      <c r="K310" s="89"/>
      <c r="L310" s="89">
        <f>ROUNDUP(MAX(L317:L318,L320)/(5*workhrs),0)</f>
        <v>5</v>
      </c>
      <c r="M310" s="9">
        <f>SUBTOTAL(9,M312:M320)</f>
        <v>271.69728302716976</v>
      </c>
      <c r="N310" s="9">
        <f>SUBTOTAL(9,N312:N320)</f>
        <v>5288.7197162028378</v>
      </c>
      <c r="O310" s="9">
        <f>SUBTOTAL(9,O312:O320)</f>
        <v>339.62160378396214</v>
      </c>
      <c r="P310" s="9">
        <f>SUBTOTAL(9,P312:P320)</f>
        <v>4875</v>
      </c>
      <c r="Q310" s="10">
        <f>SUM(M310:P310)</f>
        <v>10775.038603013971</v>
      </c>
      <c r="R310" s="117"/>
    </row>
    <row r="311" spans="1:70" outlineLevel="1" x14ac:dyDescent="0.5">
      <c r="A311" s="132" t="s">
        <v>448</v>
      </c>
      <c r="B311" s="1">
        <v>1</v>
      </c>
      <c r="C311" s="2" t="s">
        <v>635</v>
      </c>
      <c r="D311" s="1"/>
      <c r="E311" s="45"/>
      <c r="F311" s="53"/>
      <c r="G311" s="11"/>
      <c r="H311" s="11"/>
      <c r="I311" s="11"/>
      <c r="J311" s="11"/>
      <c r="K311" s="91"/>
      <c r="L311" s="91"/>
      <c r="M311" s="13"/>
      <c r="N311" s="13"/>
      <c r="O311" s="13"/>
      <c r="P311" s="13"/>
      <c r="Q311" s="13"/>
      <c r="R311" s="119"/>
    </row>
    <row r="312" spans="1:70" outlineLevel="1" x14ac:dyDescent="0.5">
      <c r="A312" s="131" t="s">
        <v>448</v>
      </c>
      <c r="B312" s="14">
        <v>2</v>
      </c>
      <c r="C312" s="15" t="s">
        <v>145</v>
      </c>
      <c r="D312" s="44" t="str">
        <f>VLOOKUP(Estimate!$C312,Resources!$B$3:$G$336,4,FALSE)</f>
        <v xml:space="preserve">m³   </v>
      </c>
      <c r="E312" s="44" t="str">
        <f>VLOOKUP(Estimate!$C312,Resources!$B$3:$G$336,3,FALSE)</f>
        <v>M</v>
      </c>
      <c r="F312" s="52">
        <v>1</v>
      </c>
      <c r="G312" s="12">
        <v>1</v>
      </c>
      <c r="H312" s="12">
        <f>H310/9.091</f>
        <v>21.44978550214498</v>
      </c>
      <c r="I312" s="12">
        <f>VLOOKUP(C312,Resources!$B$3:$G$336,6,FALSE)</f>
        <v>158.19999999999999</v>
      </c>
      <c r="J312" s="12">
        <f>(H312/(G312/F312))*I312</f>
        <v>3393.3560664393358</v>
      </c>
      <c r="K312" s="90"/>
      <c r="L312" s="90" t="str">
        <f>IF(E312="M"," ",H312/G312)</f>
        <v xml:space="preserve"> </v>
      </c>
      <c r="M312" s="16">
        <f>IF($E312="L",$J312,0)</f>
        <v>0</v>
      </c>
      <c r="N312" s="16">
        <f>IF($E312="M",$J312,0)</f>
        <v>3393.3560664393358</v>
      </c>
      <c r="O312" s="16">
        <f>IF($E312="P",$J312,0)</f>
        <v>0</v>
      </c>
      <c r="P312" s="16">
        <f>IF($E312="S",$J312,0)</f>
        <v>0</v>
      </c>
      <c r="Q312" s="16">
        <f>SUM(M312:P312)</f>
        <v>3393.3560664393358</v>
      </c>
      <c r="R312" s="118" t="s">
        <v>946</v>
      </c>
    </row>
    <row r="313" spans="1:70" outlineLevel="1" x14ac:dyDescent="0.5">
      <c r="A313" s="131" t="s">
        <v>448</v>
      </c>
      <c r="B313" s="14">
        <v>3</v>
      </c>
      <c r="C313" s="15" t="s">
        <v>149</v>
      </c>
      <c r="D313" s="44" t="str">
        <f>VLOOKUP(Estimate!$C313,Resources!$B$3:$G$336,4,FALSE)</f>
        <v xml:space="preserve">m²   </v>
      </c>
      <c r="E313" s="44" t="str">
        <f>VLOOKUP(Estimate!$C313,Resources!$B$3:$G$336,3,FALSE)</f>
        <v>M</v>
      </c>
      <c r="F313" s="52">
        <v>1</v>
      </c>
      <c r="G313" s="12">
        <v>1</v>
      </c>
      <c r="H313" s="12">
        <f>H310*1.2</f>
        <v>234</v>
      </c>
      <c r="I313" s="12">
        <f>VLOOKUP(C313,Resources!$B$3:$G$336,6,FALSE)</f>
        <v>5.76</v>
      </c>
      <c r="J313" s="12">
        <f>(H313/(G313/F313))*I313</f>
        <v>1347.84</v>
      </c>
      <c r="K313" s="90"/>
      <c r="L313" s="90" t="str">
        <f>IF(E313="M"," ",H313/G313)</f>
        <v xml:space="preserve"> </v>
      </c>
      <c r="M313" s="16">
        <f>IF($E313="L",$J313,0)</f>
        <v>0</v>
      </c>
      <c r="N313" s="16">
        <f>IF($E313="M",$J313,0)</f>
        <v>1347.84</v>
      </c>
      <c r="O313" s="16">
        <f>IF($E313="P",$J313,0)</f>
        <v>0</v>
      </c>
      <c r="P313" s="16">
        <f>IF($E313="S",$J313,0)</f>
        <v>0</v>
      </c>
      <c r="Q313" s="16">
        <f>SUM(M313:P313)</f>
        <v>1347.84</v>
      </c>
      <c r="R313" s="118" t="s">
        <v>944</v>
      </c>
    </row>
    <row r="314" spans="1:70" outlineLevel="1" x14ac:dyDescent="0.5">
      <c r="A314" s="131" t="s">
        <v>448</v>
      </c>
      <c r="B314" s="14">
        <v>4</v>
      </c>
      <c r="C314" s="15" t="s">
        <v>73</v>
      </c>
      <c r="D314" s="44" t="str">
        <f>VLOOKUP(Estimate!$C314,Resources!$B$3:$G$336,4,FALSE)</f>
        <v>tonne</v>
      </c>
      <c r="E314" s="44" t="str">
        <f>VLOOKUP(Estimate!$C314,Resources!$B$3:$G$336,3,FALSE)</f>
        <v>M</v>
      </c>
      <c r="F314" s="52">
        <v>1</v>
      </c>
      <c r="G314" s="12">
        <v>1</v>
      </c>
      <c r="H314" s="12">
        <f>H310/9.091</f>
        <v>21.44978550214498</v>
      </c>
      <c r="I314" s="12">
        <f>VLOOKUP(C314,Resources!$B$3:$G$336,6,FALSE)</f>
        <v>17.95</v>
      </c>
      <c r="J314" s="12">
        <f>(H314/(G314/F314))*I314</f>
        <v>385.02364976350236</v>
      </c>
      <c r="K314" s="90"/>
      <c r="L314" s="90" t="str">
        <f>IF(E314="M"," ",H314/G314)</f>
        <v xml:space="preserve"> </v>
      </c>
      <c r="M314" s="16">
        <f>IF($E314="L",$J314,0)</f>
        <v>0</v>
      </c>
      <c r="N314" s="16">
        <f>IF($E314="M",$J314,0)</f>
        <v>385.02364976350236</v>
      </c>
      <c r="O314" s="16">
        <f>IF($E314="P",$J314,0)</f>
        <v>0</v>
      </c>
      <c r="P314" s="16">
        <f>IF($E314="S",$J314,0)</f>
        <v>0</v>
      </c>
      <c r="Q314" s="16">
        <f>SUM(M314:P314)</f>
        <v>385.02364976350236</v>
      </c>
      <c r="R314" s="118" t="s">
        <v>945</v>
      </c>
    </row>
    <row r="315" spans="1:70" outlineLevel="1" x14ac:dyDescent="0.5">
      <c r="A315" s="131" t="s">
        <v>448</v>
      </c>
      <c r="B315" s="14">
        <v>5</v>
      </c>
      <c r="C315" s="15" t="s">
        <v>150</v>
      </c>
      <c r="D315" s="44" t="str">
        <f>VLOOKUP(Estimate!$C315,Resources!$B$3:$G$336,4,FALSE)</f>
        <v xml:space="preserve">each </v>
      </c>
      <c r="E315" s="44" t="str">
        <f>VLOOKUP(Estimate!$C315,Resources!$B$3:$G$336,3,FALSE)</f>
        <v>M</v>
      </c>
      <c r="F315" s="52">
        <v>1</v>
      </c>
      <c r="G315" s="12">
        <v>1</v>
      </c>
      <c r="H315" s="12">
        <f>H310/2.4</f>
        <v>81.25</v>
      </c>
      <c r="I315" s="12">
        <f>VLOOKUP(C315,Resources!$B$3:$G$336,6,FALSE)</f>
        <v>2</v>
      </c>
      <c r="J315" s="12">
        <f>(H315/(G315/F315))*I315</f>
        <v>162.5</v>
      </c>
      <c r="K315" s="90"/>
      <c r="L315" s="90" t="str">
        <f>IF(E315="M"," ",H315/G315)</f>
        <v xml:space="preserve"> </v>
      </c>
      <c r="M315" s="16">
        <f>IF($E315="L",$J315,0)</f>
        <v>0</v>
      </c>
      <c r="N315" s="16">
        <f>IF($E315="M",$J315,0)</f>
        <v>162.5</v>
      </c>
      <c r="O315" s="16">
        <f>IF($E315="P",$J315,0)</f>
        <v>0</v>
      </c>
      <c r="P315" s="16">
        <f>IF($E315="S",$J315,0)</f>
        <v>0</v>
      </c>
      <c r="Q315" s="16">
        <f>SUM(M315:P315)</f>
        <v>162.5</v>
      </c>
      <c r="R315" s="118" t="s">
        <v>958</v>
      </c>
    </row>
    <row r="316" spans="1:70" s="22" customFormat="1" outlineLevel="1" x14ac:dyDescent="0.5">
      <c r="A316" s="133" t="s">
        <v>448</v>
      </c>
      <c r="B316" s="18">
        <v>6</v>
      </c>
      <c r="C316" s="19" t="s">
        <v>636</v>
      </c>
      <c r="D316" s="18"/>
      <c r="E316" s="46"/>
      <c r="F316" s="54"/>
      <c r="G316" s="20"/>
      <c r="H316" s="20"/>
      <c r="I316" s="20"/>
      <c r="J316" s="20"/>
      <c r="K316" s="92"/>
      <c r="L316" s="92"/>
      <c r="M316" s="21"/>
      <c r="N316" s="21"/>
      <c r="O316" s="21"/>
      <c r="P316" s="21"/>
      <c r="Q316" s="21"/>
      <c r="R316" s="120"/>
      <c r="BR316" s="83"/>
    </row>
    <row r="317" spans="1:70" outlineLevel="1" x14ac:dyDescent="0.5">
      <c r="A317" s="131">
        <v>65.099999999999994</v>
      </c>
      <c r="B317" s="14">
        <v>7</v>
      </c>
      <c r="C317" s="15" t="s">
        <v>49</v>
      </c>
      <c r="D317" s="44" t="str">
        <f>VLOOKUP(Estimate!$C317,Resources!$B$3:$G$336,4,FALSE)</f>
        <v xml:space="preserve">hr   </v>
      </c>
      <c r="E317" s="44" t="str">
        <f>VLOOKUP(Estimate!$C317,Resources!$B$3:$G$336,3,FALSE)</f>
        <v>P</v>
      </c>
      <c r="F317" s="52">
        <v>1</v>
      </c>
      <c r="G317" s="129">
        <f>VLOOKUP($A317,'Model Inputs'!$A:$D,4)</f>
        <v>6</v>
      </c>
      <c r="H317" s="12">
        <f>H314</f>
        <v>21.44978550214498</v>
      </c>
      <c r="I317" s="12">
        <f>VLOOKUP(C317,Resources!$B$3:$G$336,6,FALSE)</f>
        <v>95</v>
      </c>
      <c r="J317" s="12">
        <f>(H317/(G317/F317))*I317</f>
        <v>339.62160378396214</v>
      </c>
      <c r="K317" s="90">
        <f>L317*F317</f>
        <v>3.5749642503574965</v>
      </c>
      <c r="L317" s="90">
        <f>IF(E317="M"," ",H317/G317)</f>
        <v>3.5749642503574965</v>
      </c>
      <c r="M317" s="16">
        <f>IF($E317="L",$J317,0)</f>
        <v>0</v>
      </c>
      <c r="N317" s="16">
        <f>IF($E317="M",$J317,0)</f>
        <v>0</v>
      </c>
      <c r="O317" s="16">
        <f>IF($E317="P",$J317,0)</f>
        <v>339.62160378396214</v>
      </c>
      <c r="P317" s="16">
        <f>IF($E317="S",$J317,0)</f>
        <v>0</v>
      </c>
      <c r="Q317" s="16">
        <f>SUM(M317:P317)</f>
        <v>339.62160378396214</v>
      </c>
      <c r="R317" s="118">
        <v>73</v>
      </c>
    </row>
    <row r="318" spans="1:70" outlineLevel="1" x14ac:dyDescent="0.5">
      <c r="A318" s="131" t="s">
        <v>448</v>
      </c>
      <c r="B318" s="14">
        <v>8</v>
      </c>
      <c r="C318" s="15" t="s">
        <v>7</v>
      </c>
      <c r="D318" s="44" t="str">
        <f>VLOOKUP(Estimate!$C318,Resources!$B$3:$G$336,4,FALSE)</f>
        <v xml:space="preserve">hr   </v>
      </c>
      <c r="E318" s="44" t="str">
        <f>VLOOKUP(Estimate!$C318,Resources!$B$3:$G$336,3,FALSE)</f>
        <v>L</v>
      </c>
      <c r="F318" s="52">
        <v>2</v>
      </c>
      <c r="G318" s="12">
        <f>G317</f>
        <v>6</v>
      </c>
      <c r="H318" s="12">
        <f>H317</f>
        <v>21.44978550214498</v>
      </c>
      <c r="I318" s="12">
        <f>VLOOKUP(C318,Resources!$B$3:$G$336,6,FALSE)</f>
        <v>38</v>
      </c>
      <c r="J318" s="12">
        <f>(H318/(G318/F318))*I318</f>
        <v>271.69728302716976</v>
      </c>
      <c r="K318" s="90">
        <f>L318*F318</f>
        <v>7.1499285007149931</v>
      </c>
      <c r="L318" s="90">
        <f>IF(E318="M"," ",H318/G318)</f>
        <v>3.5749642503574965</v>
      </c>
      <c r="M318" s="16">
        <f>IF($E318="L",$J318,0)</f>
        <v>271.69728302716976</v>
      </c>
      <c r="N318" s="16">
        <f>IF($E318="M",$J318,0)</f>
        <v>0</v>
      </c>
      <c r="O318" s="16">
        <f>IF($E318="P",$J318,0)</f>
        <v>0</v>
      </c>
      <c r="P318" s="16">
        <f>IF($E318="S",$J318,0)</f>
        <v>0</v>
      </c>
      <c r="Q318" s="16">
        <f>SUM(M318:P318)</f>
        <v>271.69728302716976</v>
      </c>
      <c r="R318" s="118">
        <v>73</v>
      </c>
    </row>
    <row r="319" spans="1:70" s="22" customFormat="1" outlineLevel="1" x14ac:dyDescent="0.5">
      <c r="A319" s="133" t="s">
        <v>448</v>
      </c>
      <c r="B319" s="18"/>
      <c r="C319" s="19" t="s">
        <v>638</v>
      </c>
      <c r="D319" s="18"/>
      <c r="E319" s="46"/>
      <c r="F319" s="54"/>
      <c r="G319" s="20"/>
      <c r="H319" s="20"/>
      <c r="I319" s="20"/>
      <c r="J319" s="20"/>
      <c r="K319" s="92"/>
      <c r="L319" s="92"/>
      <c r="M319" s="21"/>
      <c r="N319" s="21"/>
      <c r="O319" s="21"/>
      <c r="P319" s="21"/>
      <c r="Q319" s="21"/>
      <c r="R319" s="120"/>
      <c r="BR319" s="83"/>
    </row>
    <row r="320" spans="1:70" outlineLevel="1" x14ac:dyDescent="0.5">
      <c r="A320" s="131" t="s">
        <v>448</v>
      </c>
      <c r="B320" s="14">
        <v>10</v>
      </c>
      <c r="C320" s="15" t="s">
        <v>151</v>
      </c>
      <c r="D320" s="44" t="str">
        <f>VLOOKUP(Estimate!$C320,Resources!$B$3:$G$336,4,FALSE)</f>
        <v xml:space="preserve">m²   </v>
      </c>
      <c r="E320" s="44" t="str">
        <f>VLOOKUP(Estimate!$C320,Resources!$B$3:$G$336,3,FALSE)</f>
        <v>S</v>
      </c>
      <c r="F320" s="52">
        <v>1</v>
      </c>
      <c r="G320" s="12">
        <v>1</v>
      </c>
      <c r="H320" s="12">
        <f>H310</f>
        <v>195</v>
      </c>
      <c r="I320" s="12">
        <f>VLOOKUP(C320,Resources!$B$3:$G$336,6,FALSE)</f>
        <v>25</v>
      </c>
      <c r="J320" s="12">
        <f>(H320/(G320/F320))*I320</f>
        <v>4875</v>
      </c>
      <c r="K320" s="90"/>
      <c r="L320" s="90">
        <f>IF(E320="M"," ",H320/G320)</f>
        <v>195</v>
      </c>
      <c r="M320" s="16">
        <f>IF($E320="L",$J320,0)</f>
        <v>0</v>
      </c>
      <c r="N320" s="16">
        <f>IF($E320="M",$J320,0)</f>
        <v>0</v>
      </c>
      <c r="O320" s="16">
        <f>IF($E320="P",$J320,0)</f>
        <v>0</v>
      </c>
      <c r="P320" s="16">
        <f>IF($E320="S",$J320,0)</f>
        <v>4875</v>
      </c>
      <c r="Q320" s="16">
        <f>SUM(M320:P320)</f>
        <v>4875</v>
      </c>
      <c r="R320" s="118">
        <v>73</v>
      </c>
    </row>
    <row r="321" spans="1:18" outlineLevel="1" x14ac:dyDescent="0.5">
      <c r="A321" s="132" t="s">
        <v>448</v>
      </c>
      <c r="B321" s="1"/>
      <c r="C321" s="2"/>
      <c r="D321" s="1"/>
      <c r="E321" s="45"/>
      <c r="F321" s="53"/>
      <c r="G321" s="11"/>
      <c r="H321" s="11"/>
      <c r="I321" s="11"/>
      <c r="J321" s="11"/>
      <c r="K321" s="91"/>
      <c r="L321" s="91"/>
      <c r="M321" s="13"/>
      <c r="N321" s="13"/>
      <c r="O321" s="13"/>
      <c r="P321" s="13"/>
      <c r="Q321" s="13"/>
      <c r="R321" s="119"/>
    </row>
    <row r="322" spans="1:18" ht="21" x14ac:dyDescent="0.5">
      <c r="A322" s="130">
        <v>66</v>
      </c>
      <c r="B322" s="7" t="s">
        <v>154</v>
      </c>
      <c r="C322" s="7" t="s">
        <v>155</v>
      </c>
      <c r="D322" s="8" t="s">
        <v>54</v>
      </c>
      <c r="E322" s="43"/>
      <c r="F322" s="51"/>
      <c r="G322" s="9"/>
      <c r="H322" s="129">
        <f>VLOOKUP($A322,'Model Inputs'!$A:$D,4)</f>
        <v>23</v>
      </c>
      <c r="I322" s="9">
        <f>J322/H322</f>
        <v>55.256608220584461</v>
      </c>
      <c r="J322" s="9">
        <f>SUBTOTAL(9,J324:J332)</f>
        <v>1270.9019890734426</v>
      </c>
      <c r="K322" s="89"/>
      <c r="L322" s="89">
        <f>ROUNDUP(MAX(L329:L330,L332)/(5*workhrs),0)</f>
        <v>1</v>
      </c>
      <c r="M322" s="9">
        <f>SUBTOTAL(9,M324:M332)</f>
        <v>32.046346203204635</v>
      </c>
      <c r="N322" s="9">
        <f>SUBTOTAL(9,N324:N332)</f>
        <v>623.79771011623211</v>
      </c>
      <c r="O322" s="9">
        <f>SUBTOTAL(9,O324:O332)</f>
        <v>40.05793275400579</v>
      </c>
      <c r="P322" s="9">
        <f>SUBTOTAL(9,P324:P332)</f>
        <v>575</v>
      </c>
      <c r="Q322" s="10">
        <f>SUM(M322:P322)</f>
        <v>1270.9019890734426</v>
      </c>
      <c r="R322" s="117"/>
    </row>
    <row r="323" spans="1:18" outlineLevel="1" x14ac:dyDescent="0.5">
      <c r="A323" s="132" t="s">
        <v>448</v>
      </c>
      <c r="B323" s="1">
        <v>1</v>
      </c>
      <c r="C323" s="2" t="s">
        <v>635</v>
      </c>
      <c r="D323" s="1"/>
      <c r="E323" s="45"/>
      <c r="F323" s="53"/>
      <c r="G323" s="11"/>
      <c r="H323" s="11"/>
      <c r="I323" s="11"/>
      <c r="J323" s="11"/>
      <c r="K323" s="91"/>
      <c r="L323" s="91"/>
      <c r="M323" s="13"/>
      <c r="N323" s="13"/>
      <c r="O323" s="13"/>
      <c r="P323" s="13"/>
      <c r="Q323" s="13"/>
      <c r="R323" s="119"/>
    </row>
    <row r="324" spans="1:18" outlineLevel="1" x14ac:dyDescent="0.5">
      <c r="A324" s="131" t="s">
        <v>448</v>
      </c>
      <c r="B324" s="14">
        <v>2</v>
      </c>
      <c r="C324" s="15" t="s">
        <v>145</v>
      </c>
      <c r="D324" s="44" t="str">
        <f>VLOOKUP(Estimate!$C324,Resources!$B$3:$G$336,4,FALSE)</f>
        <v xml:space="preserve">m³   </v>
      </c>
      <c r="E324" s="44" t="str">
        <f>VLOOKUP(Estimate!$C324,Resources!$B$3:$G$336,3,FALSE)</f>
        <v>M</v>
      </c>
      <c r="F324" s="52">
        <v>1</v>
      </c>
      <c r="G324" s="12">
        <v>1</v>
      </c>
      <c r="H324" s="12">
        <f>H322/9.091</f>
        <v>2.5299747002529975</v>
      </c>
      <c r="I324" s="12">
        <f>VLOOKUP(C324,Resources!$B$3:$G$336,6,FALSE)</f>
        <v>158.19999999999999</v>
      </c>
      <c r="J324" s="12">
        <f>(H324/(G324/F324))*I324</f>
        <v>400.24199758002419</v>
      </c>
      <c r="K324" s="90"/>
      <c r="L324" s="90" t="str">
        <f>IF(E324="M"," ",H324/G324)</f>
        <v xml:space="preserve"> </v>
      </c>
      <c r="M324" s="16">
        <f>IF($E324="L",$J324,0)</f>
        <v>0</v>
      </c>
      <c r="N324" s="16">
        <f>IF($E324="M",$J324,0)</f>
        <v>400.24199758002419</v>
      </c>
      <c r="O324" s="16">
        <f>IF($E324="P",$J324,0)</f>
        <v>0</v>
      </c>
      <c r="P324" s="16">
        <f>IF($E324="S",$J324,0)</f>
        <v>0</v>
      </c>
      <c r="Q324" s="16">
        <f>SUM(M324:P324)</f>
        <v>400.24199758002419</v>
      </c>
      <c r="R324" s="118" t="s">
        <v>946</v>
      </c>
    </row>
    <row r="325" spans="1:18" outlineLevel="1" x14ac:dyDescent="0.5">
      <c r="A325" s="131" t="s">
        <v>448</v>
      </c>
      <c r="B325" s="14">
        <v>3</v>
      </c>
      <c r="C325" s="15" t="s">
        <v>149</v>
      </c>
      <c r="D325" s="44" t="str">
        <f>VLOOKUP(Estimate!$C325,Resources!$B$3:$G$336,4,FALSE)</f>
        <v xml:space="preserve">m²   </v>
      </c>
      <c r="E325" s="44" t="str">
        <f>VLOOKUP(Estimate!$C325,Resources!$B$3:$G$336,3,FALSE)</f>
        <v>M</v>
      </c>
      <c r="F325" s="52">
        <v>1</v>
      </c>
      <c r="G325" s="12">
        <v>1</v>
      </c>
      <c r="H325" s="12">
        <f>H322*1.2</f>
        <v>27.599999999999998</v>
      </c>
      <c r="I325" s="12">
        <f>VLOOKUP(C325,Resources!$B$3:$G$336,6,FALSE)</f>
        <v>5.76</v>
      </c>
      <c r="J325" s="12">
        <f>(H325/(G325/F325))*I325</f>
        <v>158.97599999999997</v>
      </c>
      <c r="K325" s="90"/>
      <c r="L325" s="90" t="str">
        <f>IF(E325="M"," ",H325/G325)</f>
        <v xml:space="preserve"> </v>
      </c>
      <c r="M325" s="16">
        <f>IF($E325="L",$J325,0)</f>
        <v>0</v>
      </c>
      <c r="N325" s="16">
        <f>IF($E325="M",$J325,0)</f>
        <v>158.97599999999997</v>
      </c>
      <c r="O325" s="16">
        <f>IF($E325="P",$J325,0)</f>
        <v>0</v>
      </c>
      <c r="P325" s="16">
        <f>IF($E325="S",$J325,0)</f>
        <v>0</v>
      </c>
      <c r="Q325" s="16">
        <f>SUM(M325:P325)</f>
        <v>158.97599999999997</v>
      </c>
      <c r="R325" s="118" t="s">
        <v>944</v>
      </c>
    </row>
    <row r="326" spans="1:18" outlineLevel="1" x14ac:dyDescent="0.5">
      <c r="A326" s="131" t="s">
        <v>448</v>
      </c>
      <c r="B326" s="14">
        <v>4</v>
      </c>
      <c r="C326" s="15" t="s">
        <v>73</v>
      </c>
      <c r="D326" s="44" t="str">
        <f>VLOOKUP(Estimate!$C326,Resources!$B$3:$G$336,4,FALSE)</f>
        <v>tonne</v>
      </c>
      <c r="E326" s="44" t="str">
        <f>VLOOKUP(Estimate!$C326,Resources!$B$3:$G$336,3,FALSE)</f>
        <v>M</v>
      </c>
      <c r="F326" s="52">
        <v>1</v>
      </c>
      <c r="G326" s="12">
        <v>1</v>
      </c>
      <c r="H326" s="12">
        <f>H322/9.091</f>
        <v>2.5299747002529975</v>
      </c>
      <c r="I326" s="12">
        <f>VLOOKUP(C326,Resources!$B$3:$G$336,6,FALSE)</f>
        <v>17.95</v>
      </c>
      <c r="J326" s="12">
        <f>(H326/(G326/F326))*I326</f>
        <v>45.413045869541307</v>
      </c>
      <c r="K326" s="90"/>
      <c r="L326" s="90" t="str">
        <f>IF(E326="M"," ",H326/G326)</f>
        <v xml:space="preserve"> </v>
      </c>
      <c r="M326" s="16">
        <f>IF($E326="L",$J326,0)</f>
        <v>0</v>
      </c>
      <c r="N326" s="16">
        <f>IF($E326="M",$J326,0)</f>
        <v>45.413045869541307</v>
      </c>
      <c r="O326" s="16">
        <f>IF($E326="P",$J326,0)</f>
        <v>0</v>
      </c>
      <c r="P326" s="16">
        <f>IF($E326="S",$J326,0)</f>
        <v>0</v>
      </c>
      <c r="Q326" s="16">
        <f>SUM(M326:P326)</f>
        <v>45.413045869541307</v>
      </c>
      <c r="R326" s="118" t="s">
        <v>945</v>
      </c>
    </row>
    <row r="327" spans="1:18" outlineLevel="1" x14ac:dyDescent="0.5">
      <c r="A327" s="131" t="s">
        <v>448</v>
      </c>
      <c r="B327" s="14">
        <v>5</v>
      </c>
      <c r="C327" s="15" t="s">
        <v>150</v>
      </c>
      <c r="D327" s="44" t="str">
        <f>VLOOKUP(Estimate!$C327,Resources!$B$3:$G$336,4,FALSE)</f>
        <v xml:space="preserve">each </v>
      </c>
      <c r="E327" s="44" t="str">
        <f>VLOOKUP(Estimate!$C327,Resources!$B$3:$G$336,3,FALSE)</f>
        <v>M</v>
      </c>
      <c r="F327" s="52">
        <v>1</v>
      </c>
      <c r="G327" s="12">
        <v>1</v>
      </c>
      <c r="H327" s="12">
        <f>H322/2.4</f>
        <v>9.5833333333333339</v>
      </c>
      <c r="I327" s="12">
        <f>VLOOKUP(C327,Resources!$B$3:$G$336,6,FALSE)</f>
        <v>2</v>
      </c>
      <c r="J327" s="12">
        <f>(H327/(G327/F327))*I327</f>
        <v>19.166666666666668</v>
      </c>
      <c r="K327" s="90"/>
      <c r="L327" s="90" t="str">
        <f>IF(E327="M"," ",H327/G327)</f>
        <v xml:space="preserve"> </v>
      </c>
      <c r="M327" s="16">
        <f>IF($E327="L",$J327,0)</f>
        <v>0</v>
      </c>
      <c r="N327" s="16">
        <f>IF($E327="M",$J327,0)</f>
        <v>19.166666666666668</v>
      </c>
      <c r="O327" s="16">
        <f>IF($E327="P",$J327,0)</f>
        <v>0</v>
      </c>
      <c r="P327" s="16">
        <f>IF($E327="S",$J327,0)</f>
        <v>0</v>
      </c>
      <c r="Q327" s="16">
        <f>SUM(M327:P327)</f>
        <v>19.166666666666668</v>
      </c>
      <c r="R327" s="118" t="s">
        <v>958</v>
      </c>
    </row>
    <row r="328" spans="1:18" outlineLevel="1" x14ac:dyDescent="0.5">
      <c r="A328" s="132" t="s">
        <v>448</v>
      </c>
      <c r="B328" s="1">
        <v>6</v>
      </c>
      <c r="C328" s="2" t="s">
        <v>636</v>
      </c>
      <c r="D328" s="1"/>
      <c r="E328" s="45"/>
      <c r="F328" s="53"/>
      <c r="G328" s="11"/>
      <c r="H328" s="20"/>
      <c r="I328" s="11"/>
      <c r="J328" s="11"/>
      <c r="K328" s="91"/>
      <c r="L328" s="91"/>
      <c r="M328" s="13"/>
      <c r="N328" s="13"/>
      <c r="O328" s="13"/>
      <c r="P328" s="13"/>
      <c r="Q328" s="13"/>
      <c r="R328" s="120"/>
    </row>
    <row r="329" spans="1:18" outlineLevel="1" x14ac:dyDescent="0.5">
      <c r="A329" s="131">
        <v>66.099999999999994</v>
      </c>
      <c r="B329" s="14">
        <v>7</v>
      </c>
      <c r="C329" s="15" t="s">
        <v>49</v>
      </c>
      <c r="D329" s="44" t="str">
        <f>VLOOKUP(Estimate!$C329,Resources!$B$3:$G$336,4,FALSE)</f>
        <v xml:space="preserve">hr   </v>
      </c>
      <c r="E329" s="44" t="str">
        <f>VLOOKUP(Estimate!$C329,Resources!$B$3:$G$336,3,FALSE)</f>
        <v>P</v>
      </c>
      <c r="F329" s="52">
        <v>1</v>
      </c>
      <c r="G329" s="129">
        <f>VLOOKUP($A329,'Model Inputs'!$A:$D,4)</f>
        <v>6</v>
      </c>
      <c r="H329" s="12">
        <f>H326</f>
        <v>2.5299747002529975</v>
      </c>
      <c r="I329" s="12">
        <f>VLOOKUP(C329,Resources!$B$3:$G$336,6,FALSE)</f>
        <v>95</v>
      </c>
      <c r="J329" s="12">
        <f>(H329/(G329/F329))*I329</f>
        <v>40.05793275400579</v>
      </c>
      <c r="K329" s="90">
        <f>L329*F329</f>
        <v>0.42166245004216624</v>
      </c>
      <c r="L329" s="90">
        <f>IF(E329="M"," ",H329/G329)</f>
        <v>0.42166245004216624</v>
      </c>
      <c r="M329" s="16">
        <f>IF($E329="L",$J329,0)</f>
        <v>0</v>
      </c>
      <c r="N329" s="16">
        <f>IF($E329="M",$J329,0)</f>
        <v>0</v>
      </c>
      <c r="O329" s="16">
        <f>IF($E329="P",$J329,0)</f>
        <v>40.05793275400579</v>
      </c>
      <c r="P329" s="16">
        <f>IF($E329="S",$J329,0)</f>
        <v>0</v>
      </c>
      <c r="Q329" s="16">
        <f>SUM(M329:P329)</f>
        <v>40.05793275400579</v>
      </c>
      <c r="R329" s="118">
        <v>73</v>
      </c>
    </row>
    <row r="330" spans="1:18" outlineLevel="1" x14ac:dyDescent="0.5">
      <c r="A330" s="131" t="s">
        <v>448</v>
      </c>
      <c r="B330" s="14">
        <v>8</v>
      </c>
      <c r="C330" s="15" t="s">
        <v>7</v>
      </c>
      <c r="D330" s="44" t="str">
        <f>VLOOKUP(Estimate!$C330,Resources!$B$3:$G$336,4,FALSE)</f>
        <v xml:space="preserve">hr   </v>
      </c>
      <c r="E330" s="44" t="str">
        <f>VLOOKUP(Estimate!$C330,Resources!$B$3:$G$336,3,FALSE)</f>
        <v>L</v>
      </c>
      <c r="F330" s="52">
        <v>2</v>
      </c>
      <c r="G330" s="12">
        <f>G329</f>
        <v>6</v>
      </c>
      <c r="H330" s="12">
        <f>H329</f>
        <v>2.5299747002529975</v>
      </c>
      <c r="I330" s="12">
        <f>VLOOKUP(C330,Resources!$B$3:$G$336,6,FALSE)</f>
        <v>38</v>
      </c>
      <c r="J330" s="12">
        <f>(H330/(G330/F330))*I330</f>
        <v>32.046346203204635</v>
      </c>
      <c r="K330" s="90">
        <f>L330*F330</f>
        <v>0.84332490008433247</v>
      </c>
      <c r="L330" s="90">
        <f>IF(E330="M"," ",H330/G330)</f>
        <v>0.42166245004216624</v>
      </c>
      <c r="M330" s="16">
        <f>IF($E330="L",$J330,0)</f>
        <v>32.046346203204635</v>
      </c>
      <c r="N330" s="16">
        <f>IF($E330="M",$J330,0)</f>
        <v>0</v>
      </c>
      <c r="O330" s="16">
        <f>IF($E330="P",$J330,0)</f>
        <v>0</v>
      </c>
      <c r="P330" s="16">
        <f>IF($E330="S",$J330,0)</f>
        <v>0</v>
      </c>
      <c r="Q330" s="16">
        <f>SUM(M330:P330)</f>
        <v>32.046346203204635</v>
      </c>
      <c r="R330" s="118">
        <v>73</v>
      </c>
    </row>
    <row r="331" spans="1:18" outlineLevel="1" x14ac:dyDescent="0.5">
      <c r="A331" s="132" t="s">
        <v>448</v>
      </c>
      <c r="B331" s="1">
        <v>9</v>
      </c>
      <c r="C331" s="2" t="s">
        <v>637</v>
      </c>
      <c r="D331" s="1"/>
      <c r="E331" s="45"/>
      <c r="F331" s="53"/>
      <c r="G331" s="11"/>
      <c r="H331" s="20"/>
      <c r="I331" s="11"/>
      <c r="J331" s="11"/>
      <c r="K331" s="91"/>
      <c r="L331" s="91"/>
      <c r="M331" s="13"/>
      <c r="N331" s="13"/>
      <c r="O331" s="13"/>
      <c r="P331" s="13"/>
      <c r="Q331" s="13"/>
      <c r="R331" s="120"/>
    </row>
    <row r="332" spans="1:18" outlineLevel="1" x14ac:dyDescent="0.5">
      <c r="A332" s="131" t="s">
        <v>448</v>
      </c>
      <c r="B332" s="14">
        <v>10</v>
      </c>
      <c r="C332" s="15" t="s">
        <v>151</v>
      </c>
      <c r="D332" s="44" t="str">
        <f>VLOOKUP(Estimate!$C332,Resources!$B$3:$G$336,4,FALSE)</f>
        <v xml:space="preserve">m²   </v>
      </c>
      <c r="E332" s="44" t="str">
        <f>VLOOKUP(Estimate!$C332,Resources!$B$3:$G$336,3,FALSE)</f>
        <v>S</v>
      </c>
      <c r="F332" s="52">
        <v>1</v>
      </c>
      <c r="G332" s="12">
        <v>1</v>
      </c>
      <c r="H332" s="12">
        <f>H322</f>
        <v>23</v>
      </c>
      <c r="I332" s="12">
        <f>VLOOKUP(C332,Resources!$B$3:$G$336,6,FALSE)</f>
        <v>25</v>
      </c>
      <c r="J332" s="12">
        <f>(H332/(G332/F332))*I332</f>
        <v>575</v>
      </c>
      <c r="K332" s="90"/>
      <c r="L332" s="90">
        <f>IF(E332="M"," ",H332/G332)</f>
        <v>23</v>
      </c>
      <c r="M332" s="16">
        <f>IF($E332="L",$J332,0)</f>
        <v>0</v>
      </c>
      <c r="N332" s="16">
        <f>IF($E332="M",$J332,0)</f>
        <v>0</v>
      </c>
      <c r="O332" s="16">
        <f>IF($E332="P",$J332,0)</f>
        <v>0</v>
      </c>
      <c r="P332" s="16">
        <f>IF($E332="S",$J332,0)</f>
        <v>575</v>
      </c>
      <c r="Q332" s="16">
        <f>SUM(M332:P332)</f>
        <v>575</v>
      </c>
      <c r="R332" s="118">
        <v>73</v>
      </c>
    </row>
    <row r="333" spans="1:18" outlineLevel="1" x14ac:dyDescent="0.5">
      <c r="A333" s="132" t="s">
        <v>448</v>
      </c>
      <c r="B333" s="1"/>
      <c r="C333" s="2"/>
      <c r="D333" s="1"/>
      <c r="E333" s="45"/>
      <c r="F333" s="53"/>
      <c r="G333" s="11"/>
      <c r="H333" s="11"/>
      <c r="I333" s="11"/>
      <c r="J333" s="11"/>
      <c r="K333" s="91"/>
      <c r="L333" s="91"/>
      <c r="M333" s="13"/>
      <c r="N333" s="13"/>
      <c r="O333" s="13"/>
      <c r="P333" s="13"/>
      <c r="Q333" s="13"/>
      <c r="R333" s="119"/>
    </row>
    <row r="334" spans="1:18" ht="21" x14ac:dyDescent="0.5">
      <c r="A334" s="130">
        <v>67</v>
      </c>
      <c r="B334" s="7" t="s">
        <v>156</v>
      </c>
      <c r="C334" s="7" t="s">
        <v>157</v>
      </c>
      <c r="D334" s="8" t="s">
        <v>54</v>
      </c>
      <c r="E334" s="43"/>
      <c r="F334" s="51"/>
      <c r="G334" s="9"/>
      <c r="H334" s="129">
        <f>VLOOKUP($A334,'Model Inputs'!$A:$D,4)</f>
        <v>439</v>
      </c>
      <c r="I334" s="9">
        <f>J334/H334</f>
        <v>37.756608220584454</v>
      </c>
      <c r="J334" s="9">
        <f>SUBTOTAL(9,J336:J344)</f>
        <v>16575.151008836576</v>
      </c>
      <c r="K334" s="89"/>
      <c r="L334" s="89">
        <f>ROUNDUP(MAX(L341:L342,L344)/(2*workhrs),0)</f>
        <v>8</v>
      </c>
      <c r="M334" s="9">
        <f>SUBTOTAL(9,M336:M344)</f>
        <v>611.66721666116678</v>
      </c>
      <c r="N334" s="9">
        <f>SUBTOTAL(9,N336:N344)</f>
        <v>11906.399771348953</v>
      </c>
      <c r="O334" s="9">
        <f>SUBTOTAL(9,O336:O344)</f>
        <v>764.58402082645841</v>
      </c>
      <c r="P334" s="9">
        <f>SUBTOTAL(9,P336:P344)</f>
        <v>3292.4999999999995</v>
      </c>
      <c r="Q334" s="10">
        <f>SUM(M334:P334)</f>
        <v>16575.151008836576</v>
      </c>
      <c r="R334" s="117"/>
    </row>
    <row r="335" spans="1:18" outlineLevel="1" x14ac:dyDescent="0.5">
      <c r="A335" s="132" t="s">
        <v>448</v>
      </c>
      <c r="B335" s="1">
        <v>1</v>
      </c>
      <c r="C335" s="2" t="s">
        <v>635</v>
      </c>
      <c r="D335" s="1"/>
      <c r="E335" s="45"/>
      <c r="F335" s="53"/>
      <c r="G335" s="11"/>
      <c r="H335" s="11"/>
      <c r="I335" s="11"/>
      <c r="J335" s="11"/>
      <c r="K335" s="91"/>
      <c r="L335" s="91"/>
      <c r="M335" s="13"/>
      <c r="N335" s="13"/>
      <c r="O335" s="13"/>
      <c r="P335" s="13"/>
      <c r="Q335" s="13"/>
      <c r="R335" s="119"/>
    </row>
    <row r="336" spans="1:18" outlineLevel="1" x14ac:dyDescent="0.5">
      <c r="A336" s="131" t="s">
        <v>448</v>
      </c>
      <c r="B336" s="14">
        <v>2</v>
      </c>
      <c r="C336" s="15" t="s">
        <v>145</v>
      </c>
      <c r="D336" s="44" t="str">
        <f>VLOOKUP(Estimate!$C336,Resources!$B$3:$G$336,4,FALSE)</f>
        <v xml:space="preserve">m³   </v>
      </c>
      <c r="E336" s="44" t="str">
        <f>VLOOKUP(Estimate!$C336,Resources!$B$3:$G$336,3,FALSE)</f>
        <v>M</v>
      </c>
      <c r="F336" s="52">
        <v>1</v>
      </c>
      <c r="G336" s="12">
        <v>1</v>
      </c>
      <c r="H336" s="12">
        <f>H334/9.091</f>
        <v>48.289517104828953</v>
      </c>
      <c r="I336" s="12">
        <f>VLOOKUP(C336,Resources!$B$3:$G$336,6,FALSE)</f>
        <v>158.19999999999999</v>
      </c>
      <c r="J336" s="12">
        <f>(H336/(G336/F336))*I336</f>
        <v>7639.4016059839396</v>
      </c>
      <c r="K336" s="90"/>
      <c r="L336" s="90" t="str">
        <f>IF(E336="M"," ",H336/G336)</f>
        <v xml:space="preserve"> </v>
      </c>
      <c r="M336" s="16">
        <f>IF($E336="L",$J336,0)</f>
        <v>0</v>
      </c>
      <c r="N336" s="16">
        <f>IF($E336="M",$J336,0)</f>
        <v>7639.4016059839396</v>
      </c>
      <c r="O336" s="16">
        <f>IF($E336="P",$J336,0)</f>
        <v>0</v>
      </c>
      <c r="P336" s="16">
        <f>IF($E336="S",$J336,0)</f>
        <v>0</v>
      </c>
      <c r="Q336" s="16">
        <f>SUM(M336:P336)</f>
        <v>7639.4016059839396</v>
      </c>
      <c r="R336" s="118" t="s">
        <v>946</v>
      </c>
    </row>
    <row r="337" spans="1:18" outlineLevel="1" x14ac:dyDescent="0.5">
      <c r="A337" s="131" t="s">
        <v>448</v>
      </c>
      <c r="B337" s="14">
        <v>3</v>
      </c>
      <c r="C337" s="15" t="s">
        <v>149</v>
      </c>
      <c r="D337" s="44" t="str">
        <f>VLOOKUP(Estimate!$C337,Resources!$B$3:$G$336,4,FALSE)</f>
        <v xml:space="preserve">m²   </v>
      </c>
      <c r="E337" s="44" t="str">
        <f>VLOOKUP(Estimate!$C337,Resources!$B$3:$G$336,3,FALSE)</f>
        <v>M</v>
      </c>
      <c r="F337" s="52">
        <v>1</v>
      </c>
      <c r="G337" s="12">
        <v>1</v>
      </c>
      <c r="H337" s="12">
        <f>H334*1.2</f>
        <v>526.79999999999995</v>
      </c>
      <c r="I337" s="12">
        <f>VLOOKUP(C337,Resources!$B$3:$G$336,6,FALSE)</f>
        <v>5.76</v>
      </c>
      <c r="J337" s="12">
        <f>(H337/(G337/F337))*I337</f>
        <v>3034.3679999999995</v>
      </c>
      <c r="K337" s="90"/>
      <c r="L337" s="90" t="str">
        <f>IF(E337="M"," ",H337/G337)</f>
        <v xml:space="preserve"> </v>
      </c>
      <c r="M337" s="16">
        <f>IF($E337="L",$J337,0)</f>
        <v>0</v>
      </c>
      <c r="N337" s="16">
        <f>IF($E337="M",$J337,0)</f>
        <v>3034.3679999999995</v>
      </c>
      <c r="O337" s="16">
        <f>IF($E337="P",$J337,0)</f>
        <v>0</v>
      </c>
      <c r="P337" s="16">
        <f>IF($E337="S",$J337,0)</f>
        <v>0</v>
      </c>
      <c r="Q337" s="16">
        <f>SUM(M337:P337)</f>
        <v>3034.3679999999995</v>
      </c>
      <c r="R337" s="118" t="s">
        <v>944</v>
      </c>
    </row>
    <row r="338" spans="1:18" outlineLevel="1" x14ac:dyDescent="0.5">
      <c r="A338" s="131" t="s">
        <v>448</v>
      </c>
      <c r="B338" s="14">
        <v>4</v>
      </c>
      <c r="C338" s="15" t="s">
        <v>73</v>
      </c>
      <c r="D338" s="44" t="str">
        <f>VLOOKUP(Estimate!$C338,Resources!$B$3:$G$336,4,FALSE)</f>
        <v>tonne</v>
      </c>
      <c r="E338" s="44" t="str">
        <f>VLOOKUP(Estimate!$C338,Resources!$B$3:$G$336,3,FALSE)</f>
        <v>M</v>
      </c>
      <c r="F338" s="52">
        <v>1</v>
      </c>
      <c r="G338" s="12">
        <v>1</v>
      </c>
      <c r="H338" s="12">
        <f>H334/9.091</f>
        <v>48.289517104828953</v>
      </c>
      <c r="I338" s="12">
        <f>VLOOKUP(C338,Resources!$B$3:$G$336,6,FALSE)</f>
        <v>17.95</v>
      </c>
      <c r="J338" s="12">
        <f>(H338/(G338/F338))*I338</f>
        <v>866.79683203167963</v>
      </c>
      <c r="K338" s="90"/>
      <c r="L338" s="90" t="str">
        <f>IF(E338="M"," ",H338/G338)</f>
        <v xml:space="preserve"> </v>
      </c>
      <c r="M338" s="16">
        <f>IF($E338="L",$J338,0)</f>
        <v>0</v>
      </c>
      <c r="N338" s="16">
        <f>IF($E338="M",$J338,0)</f>
        <v>866.79683203167963</v>
      </c>
      <c r="O338" s="16">
        <f>IF($E338="P",$J338,0)</f>
        <v>0</v>
      </c>
      <c r="P338" s="16">
        <f>IF($E338="S",$J338,0)</f>
        <v>0</v>
      </c>
      <c r="Q338" s="16">
        <f>SUM(M338:P338)</f>
        <v>866.79683203167963</v>
      </c>
      <c r="R338" s="118" t="s">
        <v>945</v>
      </c>
    </row>
    <row r="339" spans="1:18" outlineLevel="1" x14ac:dyDescent="0.5">
      <c r="A339" s="131" t="s">
        <v>448</v>
      </c>
      <c r="B339" s="14">
        <v>5</v>
      </c>
      <c r="C339" s="15" t="s">
        <v>150</v>
      </c>
      <c r="D339" s="44" t="str">
        <f>VLOOKUP(Estimate!$C339,Resources!$B$3:$G$336,4,FALSE)</f>
        <v xml:space="preserve">each </v>
      </c>
      <c r="E339" s="44" t="str">
        <f>VLOOKUP(Estimate!$C339,Resources!$B$3:$G$336,3,FALSE)</f>
        <v>M</v>
      </c>
      <c r="F339" s="52">
        <v>1</v>
      </c>
      <c r="G339" s="12">
        <v>1</v>
      </c>
      <c r="H339" s="12">
        <f>H334/2.4</f>
        <v>182.91666666666669</v>
      </c>
      <c r="I339" s="12">
        <f>VLOOKUP(C339,Resources!$B$3:$G$336,6,FALSE)</f>
        <v>2</v>
      </c>
      <c r="J339" s="12">
        <f>(H339/(G339/F339))*I339</f>
        <v>365.83333333333337</v>
      </c>
      <c r="K339" s="90"/>
      <c r="L339" s="90" t="str">
        <f>IF(E339="M"," ",H339/G339)</f>
        <v xml:space="preserve"> </v>
      </c>
      <c r="M339" s="16">
        <f>IF($E339="L",$J339,0)</f>
        <v>0</v>
      </c>
      <c r="N339" s="16">
        <f>IF($E339="M",$J339,0)</f>
        <v>365.83333333333337</v>
      </c>
      <c r="O339" s="16">
        <f>IF($E339="P",$J339,0)</f>
        <v>0</v>
      </c>
      <c r="P339" s="16">
        <f>IF($E339="S",$J339,0)</f>
        <v>0</v>
      </c>
      <c r="Q339" s="16">
        <f>SUM(M339:P339)</f>
        <v>365.83333333333337</v>
      </c>
      <c r="R339" s="118" t="s">
        <v>958</v>
      </c>
    </row>
    <row r="340" spans="1:18" outlineLevel="1" x14ac:dyDescent="0.5">
      <c r="A340" s="132" t="s">
        <v>448</v>
      </c>
      <c r="B340" s="1">
        <v>6</v>
      </c>
      <c r="C340" s="2" t="s">
        <v>636</v>
      </c>
      <c r="D340" s="1"/>
      <c r="E340" s="45"/>
      <c r="F340" s="53"/>
      <c r="G340" s="11"/>
      <c r="H340" s="20"/>
      <c r="I340" s="11"/>
      <c r="J340" s="11"/>
      <c r="K340" s="91"/>
      <c r="L340" s="91"/>
      <c r="M340" s="13"/>
      <c r="N340" s="13"/>
      <c r="O340" s="13"/>
      <c r="P340" s="13"/>
      <c r="Q340" s="13"/>
      <c r="R340" s="120"/>
    </row>
    <row r="341" spans="1:18" outlineLevel="1" x14ac:dyDescent="0.5">
      <c r="A341" s="131">
        <v>67.099999999999994</v>
      </c>
      <c r="B341" s="14">
        <v>7</v>
      </c>
      <c r="C341" s="15" t="s">
        <v>49</v>
      </c>
      <c r="D341" s="44" t="str">
        <f>VLOOKUP(Estimate!$C341,Resources!$B$3:$G$336,4,FALSE)</f>
        <v xml:space="preserve">hr   </v>
      </c>
      <c r="E341" s="44" t="str">
        <f>VLOOKUP(Estimate!$C341,Resources!$B$3:$G$336,3,FALSE)</f>
        <v>P</v>
      </c>
      <c r="F341" s="52">
        <v>1</v>
      </c>
      <c r="G341" s="129">
        <f>VLOOKUP($A341,'Model Inputs'!$A:$D,4)</f>
        <v>6</v>
      </c>
      <c r="H341" s="12">
        <f>H338</f>
        <v>48.289517104828953</v>
      </c>
      <c r="I341" s="12">
        <f>VLOOKUP(C341,Resources!$B$3:$G$336,6,FALSE)</f>
        <v>95</v>
      </c>
      <c r="J341" s="12">
        <f>(H341/(G341/F341))*I341</f>
        <v>764.58402082645841</v>
      </c>
      <c r="K341" s="90">
        <f>L341*F341</f>
        <v>8.0482528508048254</v>
      </c>
      <c r="L341" s="90">
        <f>IF(E341="M"," ",H341/G341)</f>
        <v>8.0482528508048254</v>
      </c>
      <c r="M341" s="16">
        <f>IF($E341="L",$J341,0)</f>
        <v>0</v>
      </c>
      <c r="N341" s="16">
        <f>IF($E341="M",$J341,0)</f>
        <v>0</v>
      </c>
      <c r="O341" s="16">
        <f>IF($E341="P",$J341,0)</f>
        <v>764.58402082645841</v>
      </c>
      <c r="P341" s="16">
        <f>IF($E341="S",$J341,0)</f>
        <v>0</v>
      </c>
      <c r="Q341" s="16">
        <f>SUM(M341:P341)</f>
        <v>764.58402082645841</v>
      </c>
      <c r="R341" s="118">
        <v>73</v>
      </c>
    </row>
    <row r="342" spans="1:18" outlineLevel="1" x14ac:dyDescent="0.5">
      <c r="A342" s="131" t="s">
        <v>448</v>
      </c>
      <c r="B342" s="14">
        <v>8</v>
      </c>
      <c r="C342" s="15" t="s">
        <v>7</v>
      </c>
      <c r="D342" s="44" t="str">
        <f>VLOOKUP(Estimate!$C342,Resources!$B$3:$G$336,4,FALSE)</f>
        <v xml:space="preserve">hr   </v>
      </c>
      <c r="E342" s="44" t="str">
        <f>VLOOKUP(Estimate!$C342,Resources!$B$3:$G$336,3,FALSE)</f>
        <v>L</v>
      </c>
      <c r="F342" s="52">
        <v>2</v>
      </c>
      <c r="G342" s="12">
        <f>G341</f>
        <v>6</v>
      </c>
      <c r="H342" s="12">
        <f>H341</f>
        <v>48.289517104828953</v>
      </c>
      <c r="I342" s="12">
        <f>VLOOKUP(C342,Resources!$B$3:$G$336,6,FALSE)</f>
        <v>38</v>
      </c>
      <c r="J342" s="12">
        <f>(H342/(G342/F342))*I342</f>
        <v>611.66721666116678</v>
      </c>
      <c r="K342" s="90">
        <f>L342*F342</f>
        <v>16.096505701609651</v>
      </c>
      <c r="L342" s="90">
        <f>IF(E342="M"," ",H342/G342)</f>
        <v>8.0482528508048254</v>
      </c>
      <c r="M342" s="16">
        <f>IF($E342="L",$J342,0)</f>
        <v>611.66721666116678</v>
      </c>
      <c r="N342" s="16">
        <f>IF($E342="M",$J342,0)</f>
        <v>0</v>
      </c>
      <c r="O342" s="16">
        <f>IF($E342="P",$J342,0)</f>
        <v>0</v>
      </c>
      <c r="P342" s="16">
        <f>IF($E342="S",$J342,0)</f>
        <v>0</v>
      </c>
      <c r="Q342" s="16">
        <f>SUM(M342:P342)</f>
        <v>611.66721666116678</v>
      </c>
      <c r="R342" s="118">
        <v>73</v>
      </c>
    </row>
    <row r="343" spans="1:18" outlineLevel="1" x14ac:dyDescent="0.5">
      <c r="A343" s="132" t="s">
        <v>448</v>
      </c>
      <c r="B343" s="1">
        <v>9</v>
      </c>
      <c r="C343" s="2" t="s">
        <v>637</v>
      </c>
      <c r="D343" s="1"/>
      <c r="E343" s="45"/>
      <c r="F343" s="53"/>
      <c r="G343" s="11"/>
      <c r="H343" s="20"/>
      <c r="I343" s="11"/>
      <c r="J343" s="11"/>
      <c r="K343" s="91"/>
      <c r="L343" s="91"/>
      <c r="M343" s="13"/>
      <c r="N343" s="13"/>
      <c r="O343" s="13"/>
      <c r="P343" s="13"/>
      <c r="Q343" s="13"/>
      <c r="R343" s="120"/>
    </row>
    <row r="344" spans="1:18" outlineLevel="1" x14ac:dyDescent="0.5">
      <c r="A344" s="131" t="s">
        <v>448</v>
      </c>
      <c r="B344" s="14">
        <v>10</v>
      </c>
      <c r="C344" s="15" t="s">
        <v>151</v>
      </c>
      <c r="D344" s="44" t="str">
        <f>VLOOKUP(Estimate!$C344,Resources!$B$3:$G$336,4,FALSE)</f>
        <v xml:space="preserve">m²   </v>
      </c>
      <c r="E344" s="44" t="str">
        <f>VLOOKUP(Estimate!$C344,Resources!$B$3:$G$336,3,FALSE)</f>
        <v>S</v>
      </c>
      <c r="F344" s="52">
        <v>1</v>
      </c>
      <c r="G344" s="12">
        <f>30/workhrs</f>
        <v>3.3333333333333335</v>
      </c>
      <c r="H344" s="12">
        <f>H334</f>
        <v>439</v>
      </c>
      <c r="I344" s="12">
        <f>VLOOKUP(C344,Resources!$B$3:$G$336,6,FALSE)</f>
        <v>25</v>
      </c>
      <c r="J344" s="12">
        <f>(H344/(G344/F344))*I344</f>
        <v>3292.4999999999995</v>
      </c>
      <c r="K344" s="90"/>
      <c r="L344" s="90">
        <f>IF(E344="M"," ",H344/G344)</f>
        <v>131.69999999999999</v>
      </c>
      <c r="M344" s="16">
        <f>IF($E344="L",$J344,0)</f>
        <v>0</v>
      </c>
      <c r="N344" s="16">
        <f>IF($E344="M",$J344,0)</f>
        <v>0</v>
      </c>
      <c r="O344" s="16">
        <f>IF($E344="P",$J344,0)</f>
        <v>0</v>
      </c>
      <c r="P344" s="16">
        <f>IF($E344="S",$J344,0)</f>
        <v>3292.4999999999995</v>
      </c>
      <c r="Q344" s="16">
        <f>SUM(M344:P344)</f>
        <v>3292.4999999999995</v>
      </c>
      <c r="R344" s="118">
        <v>73</v>
      </c>
    </row>
    <row r="345" spans="1:18" outlineLevel="1" x14ac:dyDescent="0.5">
      <c r="A345" s="132" t="s">
        <v>448</v>
      </c>
      <c r="B345" s="1"/>
      <c r="C345" s="2"/>
      <c r="D345" s="1"/>
      <c r="E345" s="45"/>
      <c r="F345" s="53"/>
      <c r="G345" s="11"/>
      <c r="H345" s="11"/>
      <c r="I345" s="11"/>
      <c r="J345" s="11"/>
      <c r="K345" s="91"/>
      <c r="L345" s="91"/>
      <c r="M345" s="13"/>
      <c r="N345" s="13"/>
      <c r="O345" s="13"/>
      <c r="P345" s="13"/>
      <c r="Q345" s="13"/>
      <c r="R345" s="119"/>
    </row>
    <row r="346" spans="1:18" ht="21" x14ac:dyDescent="0.5">
      <c r="A346" s="130">
        <v>68</v>
      </c>
      <c r="B346" s="7" t="s">
        <v>158</v>
      </c>
      <c r="C346" s="7" t="s">
        <v>159</v>
      </c>
      <c r="D346" s="8" t="s">
        <v>54</v>
      </c>
      <c r="E346" s="43"/>
      <c r="F346" s="51"/>
      <c r="G346" s="9"/>
      <c r="H346" s="129">
        <f>VLOOKUP($A346,'Model Inputs'!$A:$D,4)</f>
        <v>102</v>
      </c>
      <c r="I346" s="9">
        <f>J346/H346</f>
        <v>36.923274887251125</v>
      </c>
      <c r="J346" s="9">
        <f>SUBTOTAL(9,J348:J355)</f>
        <v>3766.1740384996151</v>
      </c>
      <c r="K346" s="89"/>
      <c r="L346" s="89">
        <f>ROUNDUP(MAX(L352:L353,L355)/workhrs,0)</f>
        <v>4</v>
      </c>
      <c r="M346" s="9">
        <f>SUBTOTAL(9,M348:M355)</f>
        <v>142.11857881421187</v>
      </c>
      <c r="N346" s="9">
        <f>SUBTOTAL(9,N348:N355)</f>
        <v>2681.4072361676381</v>
      </c>
      <c r="O346" s="9">
        <f>SUBTOTAL(9,O348:O355)</f>
        <v>177.64822351776485</v>
      </c>
      <c r="P346" s="9">
        <f>SUBTOTAL(9,P348:P355)</f>
        <v>765</v>
      </c>
      <c r="Q346" s="10">
        <f>SUM(M346:P346)</f>
        <v>3766.1740384996151</v>
      </c>
      <c r="R346" s="117"/>
    </row>
    <row r="347" spans="1:18" outlineLevel="1" x14ac:dyDescent="0.5">
      <c r="A347" s="132" t="s">
        <v>448</v>
      </c>
      <c r="B347" s="1">
        <v>1</v>
      </c>
      <c r="C347" s="2" t="s">
        <v>635</v>
      </c>
      <c r="D347" s="1"/>
      <c r="E347" s="45"/>
      <c r="F347" s="53"/>
      <c r="G347" s="11"/>
      <c r="H347" s="11"/>
      <c r="I347" s="11"/>
      <c r="J347" s="11"/>
      <c r="K347" s="91"/>
      <c r="L347" s="91"/>
      <c r="M347" s="13"/>
      <c r="N347" s="13"/>
      <c r="O347" s="13"/>
      <c r="P347" s="13"/>
      <c r="Q347" s="13"/>
      <c r="R347" s="119"/>
    </row>
    <row r="348" spans="1:18" outlineLevel="1" x14ac:dyDescent="0.5">
      <c r="A348" s="131" t="s">
        <v>448</v>
      </c>
      <c r="B348" s="14">
        <v>2</v>
      </c>
      <c r="C348" s="15" t="s">
        <v>145</v>
      </c>
      <c r="D348" s="44" t="str">
        <f>VLOOKUP(Estimate!$C348,Resources!$B$3:$G$336,4,FALSE)</f>
        <v xml:space="preserve">m³   </v>
      </c>
      <c r="E348" s="44" t="str">
        <f>VLOOKUP(Estimate!$C348,Resources!$B$3:$G$336,3,FALSE)</f>
        <v>M</v>
      </c>
      <c r="F348" s="52">
        <v>1</v>
      </c>
      <c r="G348" s="12">
        <v>1</v>
      </c>
      <c r="H348" s="12">
        <f>H346/9.091</f>
        <v>11.21988780112199</v>
      </c>
      <c r="I348" s="12">
        <f>VLOOKUP(C348,Resources!$B$3:$G$336,6,FALSE)</f>
        <v>158.19999999999999</v>
      </c>
      <c r="J348" s="12">
        <f>(H348/(G348/F348))*I348</f>
        <v>1774.9862501374987</v>
      </c>
      <c r="K348" s="90"/>
      <c r="L348" s="90" t="str">
        <f>IF(E348="M"," ",H348/G348)</f>
        <v xml:space="preserve"> </v>
      </c>
      <c r="M348" s="16">
        <f>IF($E348="L",$J348,0)</f>
        <v>0</v>
      </c>
      <c r="N348" s="16">
        <f>IF($E348="M",$J348,0)</f>
        <v>1774.9862501374987</v>
      </c>
      <c r="O348" s="16">
        <f>IF($E348="P",$J348,0)</f>
        <v>0</v>
      </c>
      <c r="P348" s="16">
        <f>IF($E348="S",$J348,0)</f>
        <v>0</v>
      </c>
      <c r="Q348" s="16">
        <f>SUM(M348:P348)</f>
        <v>1774.9862501374987</v>
      </c>
      <c r="R348" s="118" t="s">
        <v>946</v>
      </c>
    </row>
    <row r="349" spans="1:18" outlineLevel="1" x14ac:dyDescent="0.5">
      <c r="A349" s="131" t="s">
        <v>448</v>
      </c>
      <c r="B349" s="14">
        <v>3</v>
      </c>
      <c r="C349" s="15" t="s">
        <v>149</v>
      </c>
      <c r="D349" s="44" t="str">
        <f>VLOOKUP(Estimate!$C349,Resources!$B$3:$G$336,4,FALSE)</f>
        <v xml:space="preserve">m²   </v>
      </c>
      <c r="E349" s="44" t="str">
        <f>VLOOKUP(Estimate!$C349,Resources!$B$3:$G$336,3,FALSE)</f>
        <v>M</v>
      </c>
      <c r="F349" s="52">
        <v>1</v>
      </c>
      <c r="G349" s="12">
        <v>1</v>
      </c>
      <c r="H349" s="12">
        <f>H346*1.2</f>
        <v>122.39999999999999</v>
      </c>
      <c r="I349" s="12">
        <f>VLOOKUP(C349,Resources!$B$3:$G$336,6,FALSE)</f>
        <v>5.76</v>
      </c>
      <c r="J349" s="12">
        <f>(H349/(G349/F349))*I349</f>
        <v>705.02399999999989</v>
      </c>
      <c r="K349" s="90"/>
      <c r="L349" s="90" t="str">
        <f>IF(E349="M"," ",H349/G349)</f>
        <v xml:space="preserve"> </v>
      </c>
      <c r="M349" s="16">
        <f>IF($E349="L",$J349,0)</f>
        <v>0</v>
      </c>
      <c r="N349" s="16">
        <f>IF($E349="M",$J349,0)</f>
        <v>705.02399999999989</v>
      </c>
      <c r="O349" s="16">
        <f>IF($E349="P",$J349,0)</f>
        <v>0</v>
      </c>
      <c r="P349" s="16">
        <f>IF($E349="S",$J349,0)</f>
        <v>0</v>
      </c>
      <c r="Q349" s="16">
        <f>SUM(M349:P349)</f>
        <v>705.02399999999989</v>
      </c>
      <c r="R349" s="118" t="s">
        <v>944</v>
      </c>
    </row>
    <row r="350" spans="1:18" outlineLevel="1" x14ac:dyDescent="0.5">
      <c r="A350" s="131" t="s">
        <v>448</v>
      </c>
      <c r="B350" s="14">
        <v>4</v>
      </c>
      <c r="C350" s="15" t="s">
        <v>73</v>
      </c>
      <c r="D350" s="44" t="str">
        <f>VLOOKUP(Estimate!$C350,Resources!$B$3:$G$336,4,FALSE)</f>
        <v>tonne</v>
      </c>
      <c r="E350" s="44" t="str">
        <f>VLOOKUP(Estimate!$C350,Resources!$B$3:$G$336,3,FALSE)</f>
        <v>M</v>
      </c>
      <c r="F350" s="52">
        <v>1</v>
      </c>
      <c r="G350" s="12">
        <v>1</v>
      </c>
      <c r="H350" s="12">
        <f>H346/9.091</f>
        <v>11.21988780112199</v>
      </c>
      <c r="I350" s="12">
        <f>VLOOKUP(C350,Resources!$B$3:$G$336,6,FALSE)</f>
        <v>17.95</v>
      </c>
      <c r="J350" s="12">
        <f>(H350/(G350/F350))*I350</f>
        <v>201.39698603013971</v>
      </c>
      <c r="K350" s="90"/>
      <c r="L350" s="90" t="str">
        <f>IF(E350="M"," ",H350/G350)</f>
        <v xml:space="preserve"> </v>
      </c>
      <c r="M350" s="16">
        <f>IF($E350="L",$J350,0)</f>
        <v>0</v>
      </c>
      <c r="N350" s="16">
        <f>IF($E350="M",$J350,0)</f>
        <v>201.39698603013971</v>
      </c>
      <c r="O350" s="16">
        <f>IF($E350="P",$J350,0)</f>
        <v>0</v>
      </c>
      <c r="P350" s="16">
        <f>IF($E350="S",$J350,0)</f>
        <v>0</v>
      </c>
      <c r="Q350" s="16">
        <f>SUM(M350:P350)</f>
        <v>201.39698603013971</v>
      </c>
      <c r="R350" s="118" t="s">
        <v>945</v>
      </c>
    </row>
    <row r="351" spans="1:18" outlineLevel="1" x14ac:dyDescent="0.5">
      <c r="A351" s="132" t="s">
        <v>448</v>
      </c>
      <c r="B351" s="1">
        <v>5</v>
      </c>
      <c r="C351" s="2" t="s">
        <v>636</v>
      </c>
      <c r="D351" s="1"/>
      <c r="E351" s="45"/>
      <c r="F351" s="53"/>
      <c r="G351" s="11"/>
      <c r="H351" s="11"/>
      <c r="I351" s="11"/>
      <c r="J351" s="11"/>
      <c r="K351" s="91"/>
      <c r="L351" s="91"/>
      <c r="M351" s="13"/>
      <c r="N351" s="13"/>
      <c r="O351" s="13"/>
      <c r="P351" s="13"/>
      <c r="Q351" s="13"/>
      <c r="R351" s="119"/>
    </row>
    <row r="352" spans="1:18" outlineLevel="1" x14ac:dyDescent="0.5">
      <c r="A352" s="131" t="s">
        <v>448</v>
      </c>
      <c r="B352" s="14">
        <v>6</v>
      </c>
      <c r="C352" s="15" t="s">
        <v>49</v>
      </c>
      <c r="D352" s="44" t="str">
        <f>VLOOKUP(Estimate!$C352,Resources!$B$3:$G$336,4,FALSE)</f>
        <v xml:space="preserve">hr   </v>
      </c>
      <c r="E352" s="44" t="str">
        <f>VLOOKUP(Estimate!$C352,Resources!$B$3:$G$336,3,FALSE)</f>
        <v>P</v>
      </c>
      <c r="F352" s="52">
        <v>1</v>
      </c>
      <c r="G352" s="12">
        <v>6</v>
      </c>
      <c r="H352" s="12">
        <f>H350</f>
        <v>11.21988780112199</v>
      </c>
      <c r="I352" s="12">
        <f>VLOOKUP(C352,Resources!$B$3:$G$336,6,FALSE)</f>
        <v>95</v>
      </c>
      <c r="J352" s="12">
        <f>(H352/(G352/F352))*I352</f>
        <v>177.64822351776485</v>
      </c>
      <c r="K352" s="90">
        <f>L352*F352</f>
        <v>1.8699813001869983</v>
      </c>
      <c r="L352" s="90">
        <f>IF(E352="M"," ",H352/G352)</f>
        <v>1.8699813001869983</v>
      </c>
      <c r="M352" s="16">
        <f>IF($E352="L",$J352,0)</f>
        <v>0</v>
      </c>
      <c r="N352" s="16">
        <f>IF($E352="M",$J352,0)</f>
        <v>0</v>
      </c>
      <c r="O352" s="16">
        <f>IF($E352="P",$J352,0)</f>
        <v>177.64822351776485</v>
      </c>
      <c r="P352" s="16">
        <f>IF($E352="S",$J352,0)</f>
        <v>0</v>
      </c>
      <c r="Q352" s="16">
        <f>SUM(M352:P352)</f>
        <v>177.64822351776485</v>
      </c>
      <c r="R352" s="118">
        <v>73</v>
      </c>
    </row>
    <row r="353" spans="1:18" outlineLevel="1" x14ac:dyDescent="0.5">
      <c r="A353" s="131" t="s">
        <v>448</v>
      </c>
      <c r="B353" s="14">
        <v>7</v>
      </c>
      <c r="C353" s="15" t="s">
        <v>7</v>
      </c>
      <c r="D353" s="44" t="str">
        <f>VLOOKUP(Estimate!$C353,Resources!$B$3:$G$336,4,FALSE)</f>
        <v xml:space="preserve">hr   </v>
      </c>
      <c r="E353" s="44" t="str">
        <f>VLOOKUP(Estimate!$C353,Resources!$B$3:$G$336,3,FALSE)</f>
        <v>L</v>
      </c>
      <c r="F353" s="52">
        <v>2</v>
      </c>
      <c r="G353" s="12">
        <v>6</v>
      </c>
      <c r="H353" s="12">
        <f>H350</f>
        <v>11.21988780112199</v>
      </c>
      <c r="I353" s="12">
        <f>VLOOKUP(C353,Resources!$B$3:$G$336,6,FALSE)</f>
        <v>38</v>
      </c>
      <c r="J353" s="12">
        <f>(H353/(G353/F353))*I353</f>
        <v>142.11857881421187</v>
      </c>
      <c r="K353" s="90">
        <f>L353*F353</f>
        <v>3.7399626003739965</v>
      </c>
      <c r="L353" s="90">
        <f>IF(E353="M"," ",H353/G353)</f>
        <v>1.8699813001869983</v>
      </c>
      <c r="M353" s="16">
        <f>IF($E353="L",$J353,0)</f>
        <v>142.11857881421187</v>
      </c>
      <c r="N353" s="16">
        <f>IF($E353="M",$J353,0)</f>
        <v>0</v>
      </c>
      <c r="O353" s="16">
        <f>IF($E353="P",$J353,0)</f>
        <v>0</v>
      </c>
      <c r="P353" s="16">
        <f>IF($E353="S",$J353,0)</f>
        <v>0</v>
      </c>
      <c r="Q353" s="16">
        <f>SUM(M353:P353)</f>
        <v>142.11857881421187</v>
      </c>
      <c r="R353" s="118">
        <v>73</v>
      </c>
    </row>
    <row r="354" spans="1:18" outlineLevel="1" x14ac:dyDescent="0.5">
      <c r="A354" s="132" t="s">
        <v>448</v>
      </c>
      <c r="B354" s="1">
        <v>8</v>
      </c>
      <c r="C354" s="2" t="s">
        <v>637</v>
      </c>
      <c r="D354" s="1"/>
      <c r="E354" s="45"/>
      <c r="F354" s="53"/>
      <c r="G354" s="11"/>
      <c r="H354" s="11"/>
      <c r="I354" s="11"/>
      <c r="J354" s="11"/>
      <c r="K354" s="91"/>
      <c r="L354" s="91"/>
      <c r="M354" s="13"/>
      <c r="N354" s="13"/>
      <c r="O354" s="13"/>
      <c r="P354" s="13"/>
      <c r="Q354" s="13"/>
      <c r="R354" s="119"/>
    </row>
    <row r="355" spans="1:18" outlineLevel="1" x14ac:dyDescent="0.5">
      <c r="A355" s="131" t="s">
        <v>448</v>
      </c>
      <c r="B355" s="14">
        <v>9</v>
      </c>
      <c r="C355" s="15" t="s">
        <v>151</v>
      </c>
      <c r="D355" s="44" t="str">
        <f>VLOOKUP(Estimate!$C355,Resources!$B$3:$G$336,4,FALSE)</f>
        <v xml:space="preserve">m²   </v>
      </c>
      <c r="E355" s="44" t="str">
        <f>VLOOKUP(Estimate!$C355,Resources!$B$3:$G$336,3,FALSE)</f>
        <v>S</v>
      </c>
      <c r="F355" s="52">
        <v>1</v>
      </c>
      <c r="G355" s="12">
        <f>30/workhrs</f>
        <v>3.3333333333333335</v>
      </c>
      <c r="H355" s="12">
        <f>H346</f>
        <v>102</v>
      </c>
      <c r="I355" s="12">
        <f>VLOOKUP(C355,Resources!$B$3:$G$336,6,FALSE)</f>
        <v>25</v>
      </c>
      <c r="J355" s="12">
        <f>(H355/(G355/F355))*I355</f>
        <v>765</v>
      </c>
      <c r="K355" s="90"/>
      <c r="L355" s="90">
        <f>IF(E355="M"," ",H355/G355)</f>
        <v>30.599999999999998</v>
      </c>
      <c r="M355" s="16">
        <f>IF($E355="L",$J355,0)</f>
        <v>0</v>
      </c>
      <c r="N355" s="16">
        <f>IF($E355="M",$J355,0)</f>
        <v>0</v>
      </c>
      <c r="O355" s="16">
        <f>IF($E355="P",$J355,0)</f>
        <v>0</v>
      </c>
      <c r="P355" s="16">
        <f>IF($E355="S",$J355,0)</f>
        <v>765</v>
      </c>
      <c r="Q355" s="16">
        <f>SUM(M355:P355)</f>
        <v>765</v>
      </c>
      <c r="R355" s="118">
        <v>73</v>
      </c>
    </row>
    <row r="356" spans="1:18" outlineLevel="1" x14ac:dyDescent="0.5">
      <c r="A356" s="132" t="s">
        <v>448</v>
      </c>
      <c r="B356" s="1"/>
      <c r="C356" s="2"/>
      <c r="D356" s="1"/>
      <c r="E356" s="45"/>
      <c r="F356" s="53"/>
      <c r="G356" s="11"/>
      <c r="H356" s="11"/>
      <c r="I356" s="11"/>
      <c r="J356" s="11"/>
      <c r="K356" s="91"/>
      <c r="L356" s="91"/>
      <c r="M356" s="13"/>
      <c r="N356" s="13"/>
      <c r="O356" s="13"/>
      <c r="P356" s="13"/>
      <c r="Q356" s="13"/>
      <c r="R356" s="119"/>
    </row>
    <row r="357" spans="1:18" ht="21" x14ac:dyDescent="0.5">
      <c r="A357" s="130">
        <v>69</v>
      </c>
      <c r="B357" s="7" t="s">
        <v>160</v>
      </c>
      <c r="C357" s="7" t="s">
        <v>161</v>
      </c>
      <c r="D357" s="8" t="s">
        <v>144</v>
      </c>
      <c r="E357" s="43"/>
      <c r="F357" s="51"/>
      <c r="G357" s="9"/>
      <c r="H357" s="129">
        <f>VLOOKUP($A357,'Model Inputs'!$A:$D,4)</f>
        <v>86</v>
      </c>
      <c r="I357" s="9">
        <f>J357/H357</f>
        <v>154.66666666666669</v>
      </c>
      <c r="J357" s="9">
        <f>SUBTOTAL(9,J358:J360)</f>
        <v>13301.333333333334</v>
      </c>
      <c r="K357" s="89"/>
      <c r="L357" s="89">
        <f>ROUNDUP(MAX(L359:L360)/(10*workhrs),0)</f>
        <v>1</v>
      </c>
      <c r="M357" s="9">
        <f>SUBTOTAL(9,M358:M360)</f>
        <v>3268</v>
      </c>
      <c r="N357" s="9">
        <f>SUBTOTAL(9,N358:N360)</f>
        <v>7310</v>
      </c>
      <c r="O357" s="9">
        <f>SUBTOTAL(9,O358:O360)</f>
        <v>2723.3333333333335</v>
      </c>
      <c r="P357" s="9">
        <f>SUBTOTAL(9,P358:P360)</f>
        <v>0</v>
      </c>
      <c r="Q357" s="10">
        <f>SUM(M357:P357)</f>
        <v>13301.333333333334</v>
      </c>
      <c r="R357" s="117"/>
    </row>
    <row r="358" spans="1:18" outlineLevel="1" x14ac:dyDescent="0.5">
      <c r="A358" s="131" t="s">
        <v>448</v>
      </c>
      <c r="B358" s="14">
        <v>1</v>
      </c>
      <c r="C358" s="15" t="s">
        <v>162</v>
      </c>
      <c r="D358" s="44" t="str">
        <f>VLOOKUP(Estimate!$C358,Resources!$B$3:$G$336,4,FALSE)</f>
        <v xml:space="preserve">each </v>
      </c>
      <c r="E358" s="44" t="str">
        <f>VLOOKUP(Estimate!$C358,Resources!$B$3:$G$336,3,FALSE)</f>
        <v>M</v>
      </c>
      <c r="F358" s="52">
        <v>1</v>
      </c>
      <c r="G358" s="12">
        <v>1</v>
      </c>
      <c r="H358" s="12">
        <f>H357</f>
        <v>86</v>
      </c>
      <c r="I358" s="12">
        <f>VLOOKUP(C358,Resources!$B$3:$G$336,6,FALSE)</f>
        <v>85</v>
      </c>
      <c r="J358" s="12">
        <f>(H358/(G358/F358))*I358</f>
        <v>7310</v>
      </c>
      <c r="K358" s="90"/>
      <c r="L358" s="90" t="str">
        <f>IF(E358="M"," ",H358/G358)</f>
        <v xml:space="preserve"> </v>
      </c>
      <c r="M358" s="16">
        <f>IF($E358="L",$J358,0)</f>
        <v>0</v>
      </c>
      <c r="N358" s="16">
        <f>IF($E358="M",$J358,0)</f>
        <v>7310</v>
      </c>
      <c r="O358" s="16">
        <f>IF($E358="P",$J358,0)</f>
        <v>0</v>
      </c>
      <c r="P358" s="16">
        <f>IF($E358="S",$J358,0)</f>
        <v>0</v>
      </c>
      <c r="Q358" s="16">
        <f>SUM(M358:P358)</f>
        <v>7310</v>
      </c>
      <c r="R358" s="118">
        <v>67</v>
      </c>
    </row>
    <row r="359" spans="1:18" outlineLevel="1" x14ac:dyDescent="0.5">
      <c r="A359" s="131" t="s">
        <v>448</v>
      </c>
      <c r="B359" s="14">
        <v>2</v>
      </c>
      <c r="C359" s="15" t="s">
        <v>7</v>
      </c>
      <c r="D359" s="44" t="str">
        <f>VLOOKUP(Estimate!$C359,Resources!$B$3:$G$336,4,FALSE)</f>
        <v xml:space="preserve">hr   </v>
      </c>
      <c r="E359" s="44" t="str">
        <f>VLOOKUP(Estimate!$C359,Resources!$B$3:$G$336,3,FALSE)</f>
        <v>L</v>
      </c>
      <c r="F359" s="52">
        <v>3</v>
      </c>
      <c r="G359" s="12">
        <v>3</v>
      </c>
      <c r="H359" s="12">
        <f>H358</f>
        <v>86</v>
      </c>
      <c r="I359" s="12">
        <f>VLOOKUP(C359,Resources!$B$3:$G$336,6,FALSE)</f>
        <v>38</v>
      </c>
      <c r="J359" s="12">
        <f>(H359/(G359/F359))*I359</f>
        <v>3268</v>
      </c>
      <c r="K359" s="90">
        <f>L359*F359</f>
        <v>86</v>
      </c>
      <c r="L359" s="90">
        <f>IF(E359="M"," ",H359/G359)</f>
        <v>28.666666666666668</v>
      </c>
      <c r="M359" s="16">
        <f>IF($E359="L",$J359,0)</f>
        <v>3268</v>
      </c>
      <c r="N359" s="16">
        <f>IF($E359="M",$J359,0)</f>
        <v>0</v>
      </c>
      <c r="O359" s="16">
        <f>IF($E359="P",$J359,0)</f>
        <v>0</v>
      </c>
      <c r="P359" s="16">
        <f>IF($E359="S",$J359,0)</f>
        <v>0</v>
      </c>
      <c r="Q359" s="16">
        <f>SUM(M359:P359)</f>
        <v>3268</v>
      </c>
      <c r="R359" s="118">
        <v>67</v>
      </c>
    </row>
    <row r="360" spans="1:18" outlineLevel="1" x14ac:dyDescent="0.5">
      <c r="A360" s="131" t="s">
        <v>448</v>
      </c>
      <c r="B360" s="14">
        <v>3</v>
      </c>
      <c r="C360" s="15" t="s">
        <v>49</v>
      </c>
      <c r="D360" s="44" t="str">
        <f>VLOOKUP(Estimate!$C360,Resources!$B$3:$G$336,4,FALSE)</f>
        <v xml:space="preserve">hr   </v>
      </c>
      <c r="E360" s="44" t="str">
        <f>VLOOKUP(Estimate!$C360,Resources!$B$3:$G$336,3,FALSE)</f>
        <v>P</v>
      </c>
      <c r="F360" s="52">
        <v>1</v>
      </c>
      <c r="G360" s="12">
        <v>3</v>
      </c>
      <c r="H360" s="12">
        <f>H359</f>
        <v>86</v>
      </c>
      <c r="I360" s="12">
        <f>VLOOKUP(C360,Resources!$B$3:$G$336,6,FALSE)</f>
        <v>95</v>
      </c>
      <c r="J360" s="12">
        <f>(H360/(G360/F360))*I360</f>
        <v>2723.3333333333335</v>
      </c>
      <c r="K360" s="90">
        <f>L360*F360</f>
        <v>28.666666666666668</v>
      </c>
      <c r="L360" s="90">
        <f>IF(E360="M"," ",H360/G360)</f>
        <v>28.666666666666668</v>
      </c>
      <c r="M360" s="16">
        <f>IF($E360="L",$J360,0)</f>
        <v>0</v>
      </c>
      <c r="N360" s="16">
        <f>IF($E360="M",$J360,0)</f>
        <v>0</v>
      </c>
      <c r="O360" s="16">
        <f>IF($E360="P",$J360,0)</f>
        <v>2723.3333333333335</v>
      </c>
      <c r="P360" s="16">
        <f>IF($E360="S",$J360,0)</f>
        <v>0</v>
      </c>
      <c r="Q360" s="16">
        <f>SUM(M360:P360)</f>
        <v>2723.3333333333335</v>
      </c>
      <c r="R360" s="118">
        <v>67</v>
      </c>
    </row>
    <row r="361" spans="1:18" outlineLevel="1" x14ac:dyDescent="0.5">
      <c r="A361" s="132" t="s">
        <v>448</v>
      </c>
      <c r="B361" s="1"/>
      <c r="C361" s="2"/>
      <c r="D361" s="1"/>
      <c r="E361" s="45"/>
      <c r="F361" s="53"/>
      <c r="G361" s="11"/>
      <c r="H361" s="11"/>
      <c r="I361" s="11"/>
      <c r="J361" s="11"/>
      <c r="K361" s="91"/>
      <c r="L361" s="91"/>
      <c r="M361" s="13"/>
      <c r="N361" s="13"/>
      <c r="O361" s="13"/>
      <c r="P361" s="13"/>
      <c r="Q361" s="13"/>
      <c r="R361" s="119"/>
    </row>
    <row r="362" spans="1:18" x14ac:dyDescent="0.5">
      <c r="A362" s="132">
        <v>70</v>
      </c>
      <c r="B362" s="1"/>
      <c r="C362" s="5" t="s">
        <v>629</v>
      </c>
      <c r="D362" s="1"/>
      <c r="E362" s="45"/>
      <c r="F362" s="53"/>
      <c r="G362" s="11"/>
      <c r="H362" s="11"/>
      <c r="I362" s="11"/>
      <c r="J362" s="11"/>
      <c r="K362" s="91"/>
      <c r="L362" s="91"/>
      <c r="M362" s="13"/>
      <c r="N362" s="13"/>
      <c r="O362" s="13"/>
      <c r="P362" s="13"/>
      <c r="Q362" s="13"/>
      <c r="R362" s="119"/>
    </row>
    <row r="363" spans="1:18" x14ac:dyDescent="0.5">
      <c r="A363" s="132">
        <v>71</v>
      </c>
      <c r="B363" s="1"/>
      <c r="C363" s="5" t="s">
        <v>630</v>
      </c>
      <c r="D363" s="1"/>
      <c r="E363" s="45"/>
      <c r="F363" s="53"/>
      <c r="G363" s="11"/>
      <c r="H363" s="11"/>
      <c r="I363" s="11"/>
      <c r="J363" s="11"/>
      <c r="K363" s="91"/>
      <c r="L363" s="91"/>
      <c r="M363" s="13"/>
      <c r="N363" s="13"/>
      <c r="O363" s="13"/>
      <c r="P363" s="13"/>
      <c r="Q363" s="13"/>
      <c r="R363" s="119"/>
    </row>
    <row r="364" spans="1:18" ht="21" x14ac:dyDescent="0.5">
      <c r="A364" s="130">
        <v>72</v>
      </c>
      <c r="B364" s="7" t="s">
        <v>163</v>
      </c>
      <c r="C364" s="7" t="s">
        <v>164</v>
      </c>
      <c r="D364" s="8" t="s">
        <v>54</v>
      </c>
      <c r="E364" s="43"/>
      <c r="F364" s="51"/>
      <c r="G364" s="9"/>
      <c r="H364" s="129">
        <f>VLOOKUP($A364,'Model Inputs'!$A:$D,4)</f>
        <v>2490</v>
      </c>
      <c r="I364" s="9">
        <f>J364/H364</f>
        <v>4.7145000000000001</v>
      </c>
      <c r="J364" s="9">
        <f>SUBTOTAL(9,J365)</f>
        <v>11739.105000000001</v>
      </c>
      <c r="K364" s="89"/>
      <c r="L364" s="89">
        <f>ROUNDUP(L365,0)</f>
        <v>1</v>
      </c>
      <c r="M364" s="9">
        <f>SUBTOTAL(9,M365)</f>
        <v>0</v>
      </c>
      <c r="N364" s="9">
        <f>SUBTOTAL(9,N365)</f>
        <v>0</v>
      </c>
      <c r="O364" s="9">
        <f>SUBTOTAL(9,O365)</f>
        <v>0</v>
      </c>
      <c r="P364" s="9">
        <f>SUBTOTAL(9,P365)</f>
        <v>11739.105000000001</v>
      </c>
      <c r="Q364" s="10">
        <f>SUM(M364:P364)</f>
        <v>11739.105000000001</v>
      </c>
      <c r="R364" s="117"/>
    </row>
    <row r="365" spans="1:18" outlineLevel="1" x14ac:dyDescent="0.5">
      <c r="A365" s="131" t="s">
        <v>448</v>
      </c>
      <c r="B365" s="14">
        <v>1</v>
      </c>
      <c r="C365" s="15" t="s">
        <v>587</v>
      </c>
      <c r="D365" s="44" t="str">
        <f>VLOOKUP(Estimate!$C365,Resources!$B$3:$G$336,4,FALSE)</f>
        <v xml:space="preserve">m²   </v>
      </c>
      <c r="E365" s="44" t="str">
        <f>VLOOKUP(Estimate!$C365,Resources!$B$3:$G$336,3,FALSE)</f>
        <v>S</v>
      </c>
      <c r="F365" s="52">
        <v>1</v>
      </c>
      <c r="G365" s="12">
        <v>1</v>
      </c>
      <c r="H365" s="12">
        <f>H364*1.05</f>
        <v>2614.5</v>
      </c>
      <c r="I365" s="12">
        <f>VLOOKUP(C365,Resources!$B$3:$G$336,6,FALSE)</f>
        <v>4.49</v>
      </c>
      <c r="J365" s="12">
        <f>(H365/(G365/F365))*I365</f>
        <v>11739.105000000001</v>
      </c>
      <c r="K365" s="90"/>
      <c r="L365" s="90">
        <v>1</v>
      </c>
      <c r="M365" s="16">
        <f>IF($E365="L",$J365,0)</f>
        <v>0</v>
      </c>
      <c r="N365" s="16">
        <f>IF($E365="M",$J365,0)</f>
        <v>0</v>
      </c>
      <c r="O365" s="16">
        <f>IF($E365="P",$J365,0)</f>
        <v>0</v>
      </c>
      <c r="P365" s="16">
        <f>IF($E365="S",$J365,0)</f>
        <v>11739.105000000001</v>
      </c>
      <c r="Q365" s="16">
        <f>SUM(M365:P365)</f>
        <v>11739.105000000001</v>
      </c>
      <c r="R365" s="118">
        <v>64</v>
      </c>
    </row>
    <row r="366" spans="1:18" outlineLevel="1" x14ac:dyDescent="0.5">
      <c r="A366" s="132" t="s">
        <v>448</v>
      </c>
      <c r="B366" s="1"/>
      <c r="C366" s="2"/>
      <c r="D366" s="1"/>
      <c r="E366" s="45"/>
      <c r="F366" s="53"/>
      <c r="G366" s="11"/>
      <c r="H366" s="11"/>
      <c r="I366" s="11"/>
      <c r="J366" s="11"/>
      <c r="K366" s="91"/>
      <c r="L366" s="91"/>
      <c r="M366" s="13"/>
      <c r="N366" s="13"/>
      <c r="O366" s="13"/>
      <c r="P366" s="13"/>
      <c r="Q366" s="13"/>
      <c r="R366" s="119"/>
    </row>
    <row r="367" spans="1:18" ht="21" x14ac:dyDescent="0.5">
      <c r="A367" s="130">
        <v>73</v>
      </c>
      <c r="B367" s="7" t="s">
        <v>165</v>
      </c>
      <c r="C367" s="7" t="s">
        <v>166</v>
      </c>
      <c r="D367" s="8" t="s">
        <v>64</v>
      </c>
      <c r="E367" s="43"/>
      <c r="F367" s="51"/>
      <c r="G367" s="9"/>
      <c r="H367" s="129">
        <f>VLOOKUP($A367,'Model Inputs'!$A:$D,4)</f>
        <v>249</v>
      </c>
      <c r="I367" s="9">
        <f>J367/H367</f>
        <v>287</v>
      </c>
      <c r="J367" s="9">
        <f>SUBTOTAL(9,J368)</f>
        <v>71463</v>
      </c>
      <c r="K367" s="89"/>
      <c r="L367" s="89">
        <f>ROUNDUP(L368,0)</f>
        <v>1</v>
      </c>
      <c r="M367" s="9">
        <f>SUBTOTAL(9,M368)</f>
        <v>0</v>
      </c>
      <c r="N367" s="9">
        <f>SUBTOTAL(9,N368)</f>
        <v>0</v>
      </c>
      <c r="O367" s="9">
        <f>SUBTOTAL(9,O368)</f>
        <v>0</v>
      </c>
      <c r="P367" s="9">
        <f>SUBTOTAL(9,P368)</f>
        <v>71463</v>
      </c>
      <c r="Q367" s="10">
        <f>SUM(M367:P367)</f>
        <v>71463</v>
      </c>
      <c r="R367" s="117"/>
    </row>
    <row r="368" spans="1:18" outlineLevel="1" x14ac:dyDescent="0.5">
      <c r="A368" s="131" t="s">
        <v>448</v>
      </c>
      <c r="B368" s="14">
        <v>1</v>
      </c>
      <c r="C368" s="15" t="s">
        <v>908</v>
      </c>
      <c r="D368" s="44" t="str">
        <f>VLOOKUP(Estimate!$C368,Resources!$B$3:$G$336,4,FALSE)</f>
        <v>tonne</v>
      </c>
      <c r="E368" s="44" t="str">
        <f>VLOOKUP(Estimate!$C368,Resources!$B$3:$G$336,3,FALSE)</f>
        <v>S</v>
      </c>
      <c r="F368" s="52">
        <v>1</v>
      </c>
      <c r="G368" s="12">
        <v>1</v>
      </c>
      <c r="H368" s="12">
        <f>H367</f>
        <v>249</v>
      </c>
      <c r="I368" s="12">
        <f>VLOOKUP(C368,Resources!$B$3:$G$336,6,FALSE)</f>
        <v>287</v>
      </c>
      <c r="J368" s="12">
        <f>(H368/(G368/F368))*I368</f>
        <v>71463</v>
      </c>
      <c r="K368" s="90"/>
      <c r="L368" s="90">
        <v>1</v>
      </c>
      <c r="M368" s="16">
        <f>IF($E368="L",$J368,0)</f>
        <v>0</v>
      </c>
      <c r="N368" s="16">
        <f>IF($E368="M",$J368,0)</f>
        <v>0</v>
      </c>
      <c r="O368" s="16">
        <f>IF($E368="P",$J368,0)</f>
        <v>0</v>
      </c>
      <c r="P368" s="16">
        <f>IF($E368="S",$J368,0)</f>
        <v>71463</v>
      </c>
      <c r="Q368" s="16">
        <f>SUM(M368:P368)</f>
        <v>71463</v>
      </c>
      <c r="R368" s="118">
        <v>65</v>
      </c>
    </row>
    <row r="369" spans="1:18" outlineLevel="1" x14ac:dyDescent="0.5">
      <c r="A369" s="132" t="s">
        <v>448</v>
      </c>
      <c r="B369" s="1"/>
      <c r="C369" s="2"/>
      <c r="D369" s="1"/>
      <c r="E369" s="45"/>
      <c r="F369" s="53"/>
      <c r="G369" s="11"/>
      <c r="H369" s="11"/>
      <c r="I369" s="11"/>
      <c r="J369" s="11"/>
      <c r="K369" s="91"/>
      <c r="L369" s="91"/>
      <c r="M369" s="13"/>
      <c r="N369" s="13"/>
      <c r="O369" s="13"/>
      <c r="P369" s="13"/>
      <c r="Q369" s="13"/>
      <c r="R369" s="119"/>
    </row>
    <row r="370" spans="1:18" x14ac:dyDescent="0.5">
      <c r="A370" s="132">
        <v>74</v>
      </c>
      <c r="B370" s="1"/>
      <c r="C370" s="5" t="s">
        <v>631</v>
      </c>
      <c r="D370" s="1"/>
      <c r="E370" s="45"/>
      <c r="F370" s="53"/>
      <c r="G370" s="11"/>
      <c r="H370" s="11"/>
      <c r="I370" s="11"/>
      <c r="J370" s="11"/>
      <c r="K370" s="91"/>
      <c r="L370" s="91"/>
      <c r="M370" s="13"/>
      <c r="N370" s="13"/>
      <c r="O370" s="13"/>
      <c r="P370" s="13"/>
      <c r="Q370" s="13"/>
      <c r="R370" s="119"/>
    </row>
    <row r="371" spans="1:18" ht="21" x14ac:dyDescent="0.5">
      <c r="A371" s="130">
        <v>75</v>
      </c>
      <c r="B371" s="7" t="s">
        <v>167</v>
      </c>
      <c r="C371" s="7" t="s">
        <v>168</v>
      </c>
      <c r="D371" s="8" t="s">
        <v>54</v>
      </c>
      <c r="E371" s="43"/>
      <c r="F371" s="51"/>
      <c r="G371" s="9"/>
      <c r="H371" s="129">
        <f>VLOOKUP($A371,'Model Inputs'!$A:$D,4)</f>
        <v>10261</v>
      </c>
      <c r="I371" s="9">
        <f>J371/H371</f>
        <v>4.7145000000000001</v>
      </c>
      <c r="J371" s="9">
        <f>SUBTOTAL(9,J372)</f>
        <v>48375.484500000006</v>
      </c>
      <c r="K371" s="89"/>
      <c r="L371" s="89">
        <f>ROUNDUP(L372,0)</f>
        <v>1</v>
      </c>
      <c r="M371" s="9">
        <f>SUBTOTAL(9,M372)</f>
        <v>0</v>
      </c>
      <c r="N371" s="9">
        <f>SUBTOTAL(9,N372)</f>
        <v>0</v>
      </c>
      <c r="O371" s="9">
        <f>SUBTOTAL(9,O372)</f>
        <v>0</v>
      </c>
      <c r="P371" s="9">
        <f>SUBTOTAL(9,P372)</f>
        <v>48375.484500000006</v>
      </c>
      <c r="Q371" s="10">
        <f>SUM(M371:P371)</f>
        <v>48375.484500000006</v>
      </c>
      <c r="R371" s="117"/>
    </row>
    <row r="372" spans="1:18" outlineLevel="1" x14ac:dyDescent="0.5">
      <c r="A372" s="131" t="s">
        <v>448</v>
      </c>
      <c r="B372" s="14">
        <v>1</v>
      </c>
      <c r="C372" s="15" t="s">
        <v>587</v>
      </c>
      <c r="D372" s="44" t="str">
        <f>VLOOKUP(Estimate!$C372,Resources!$B$3:$G$336,4,FALSE)</f>
        <v xml:space="preserve">m²   </v>
      </c>
      <c r="E372" s="44" t="str">
        <f>VLOOKUP(Estimate!$C372,Resources!$B$3:$G$336,3,FALSE)</f>
        <v>S</v>
      </c>
      <c r="F372" s="52">
        <v>1</v>
      </c>
      <c r="G372" s="12">
        <v>1</v>
      </c>
      <c r="H372" s="12">
        <f>H371*1.05</f>
        <v>10774.050000000001</v>
      </c>
      <c r="I372" s="12">
        <f>VLOOKUP(C372,Resources!$B$3:$G$336,6,FALSE)</f>
        <v>4.49</v>
      </c>
      <c r="J372" s="12">
        <f>(H372/(G372/F372))*I372</f>
        <v>48375.484500000006</v>
      </c>
      <c r="K372" s="90"/>
      <c r="L372" s="90">
        <v>1</v>
      </c>
      <c r="M372" s="16">
        <f>IF($E372="L",$J372,0)</f>
        <v>0</v>
      </c>
      <c r="N372" s="16">
        <f>IF($E372="M",$J372,0)</f>
        <v>0</v>
      </c>
      <c r="O372" s="16">
        <f>IF($E372="P",$J372,0)</f>
        <v>0</v>
      </c>
      <c r="P372" s="16">
        <f>IF($E372="S",$J372,0)</f>
        <v>48375.484500000006</v>
      </c>
      <c r="Q372" s="16">
        <f>SUM(M372:P372)</f>
        <v>48375.484500000006</v>
      </c>
      <c r="R372" s="118">
        <v>64</v>
      </c>
    </row>
    <row r="373" spans="1:18" outlineLevel="1" x14ac:dyDescent="0.5">
      <c r="A373" s="132" t="s">
        <v>448</v>
      </c>
      <c r="B373" s="1"/>
      <c r="C373" s="2"/>
      <c r="D373" s="1"/>
      <c r="E373" s="45"/>
      <c r="F373" s="53"/>
      <c r="G373" s="11"/>
      <c r="H373" s="11"/>
      <c r="I373" s="11"/>
      <c r="J373" s="11"/>
      <c r="K373" s="91"/>
      <c r="L373" s="91"/>
      <c r="M373" s="13"/>
      <c r="N373" s="13"/>
      <c r="O373" s="13"/>
      <c r="P373" s="13"/>
      <c r="Q373" s="13"/>
      <c r="R373" s="119"/>
    </row>
    <row r="374" spans="1:18" ht="21" x14ac:dyDescent="0.5">
      <c r="A374" s="130">
        <v>76</v>
      </c>
      <c r="B374" s="7" t="s">
        <v>169</v>
      </c>
      <c r="C374" s="7" t="s">
        <v>166</v>
      </c>
      <c r="D374" s="8" t="s">
        <v>64</v>
      </c>
      <c r="E374" s="43"/>
      <c r="F374" s="51"/>
      <c r="G374" s="9"/>
      <c r="H374" s="129">
        <f>VLOOKUP($A374,'Model Inputs'!$A:$D,4)</f>
        <v>1026</v>
      </c>
      <c r="I374" s="9">
        <f>J374/H374</f>
        <v>287</v>
      </c>
      <c r="J374" s="9">
        <f>SUBTOTAL(9,J375)</f>
        <v>294462</v>
      </c>
      <c r="K374" s="89"/>
      <c r="L374" s="89">
        <f>ROUNDUP(L375,0)</f>
        <v>3</v>
      </c>
      <c r="M374" s="9">
        <f>SUBTOTAL(9,M375)</f>
        <v>0</v>
      </c>
      <c r="N374" s="9">
        <f>SUBTOTAL(9,N375)</f>
        <v>0</v>
      </c>
      <c r="O374" s="9">
        <f>SUBTOTAL(9,O375)</f>
        <v>0</v>
      </c>
      <c r="P374" s="9">
        <f>SUBTOTAL(9,P375)</f>
        <v>294462</v>
      </c>
      <c r="Q374" s="10">
        <f>SUM(M374:P374)</f>
        <v>294462</v>
      </c>
      <c r="R374" s="117"/>
    </row>
    <row r="375" spans="1:18" outlineLevel="1" x14ac:dyDescent="0.5">
      <c r="A375" s="131" t="s">
        <v>448</v>
      </c>
      <c r="B375" s="14">
        <v>1</v>
      </c>
      <c r="C375" s="15" t="s">
        <v>908</v>
      </c>
      <c r="D375" s="44" t="str">
        <f>VLOOKUP(Estimate!$C375,Resources!$B$3:$G$336,4,FALSE)</f>
        <v>tonne</v>
      </c>
      <c r="E375" s="44" t="str">
        <f>VLOOKUP(Estimate!$C375,Resources!$B$3:$G$336,3,FALSE)</f>
        <v>S</v>
      </c>
      <c r="F375" s="52">
        <v>1</v>
      </c>
      <c r="G375" s="12">
        <v>1</v>
      </c>
      <c r="H375" s="12">
        <f>H374</f>
        <v>1026</v>
      </c>
      <c r="I375" s="12">
        <f>VLOOKUP(C375,Resources!$B$3:$G$336,6,FALSE)</f>
        <v>287</v>
      </c>
      <c r="J375" s="12">
        <f>(H375/(G375/F375))*I375</f>
        <v>294462</v>
      </c>
      <c r="K375" s="90"/>
      <c r="L375" s="90">
        <v>3</v>
      </c>
      <c r="M375" s="16">
        <f>IF($E375="L",$J375,0)</f>
        <v>0</v>
      </c>
      <c r="N375" s="16">
        <f>IF($E375="M",$J375,0)</f>
        <v>0</v>
      </c>
      <c r="O375" s="16">
        <f>IF($E375="P",$J375,0)</f>
        <v>0</v>
      </c>
      <c r="P375" s="16">
        <f>IF($E375="S",$J375,0)</f>
        <v>294462</v>
      </c>
      <c r="Q375" s="16">
        <f>SUM(M375:P375)</f>
        <v>294462</v>
      </c>
      <c r="R375" s="118">
        <v>65</v>
      </c>
    </row>
    <row r="376" spans="1:18" outlineLevel="1" x14ac:dyDescent="0.5">
      <c r="A376" s="132" t="s">
        <v>448</v>
      </c>
      <c r="B376" s="1"/>
      <c r="C376" s="2"/>
      <c r="D376" s="1"/>
      <c r="E376" s="45"/>
      <c r="F376" s="53"/>
      <c r="G376" s="11"/>
      <c r="H376" s="11"/>
      <c r="I376" s="11"/>
      <c r="J376" s="11"/>
      <c r="K376" s="91"/>
      <c r="L376" s="91"/>
      <c r="M376" s="13"/>
      <c r="N376" s="13"/>
      <c r="O376" s="13"/>
      <c r="P376" s="13"/>
      <c r="Q376" s="13"/>
      <c r="R376" s="119"/>
    </row>
    <row r="377" spans="1:18" x14ac:dyDescent="0.5">
      <c r="A377" s="132">
        <v>77</v>
      </c>
      <c r="B377" s="1"/>
      <c r="C377" s="5" t="s">
        <v>632</v>
      </c>
      <c r="D377" s="1"/>
      <c r="E377" s="45"/>
      <c r="F377" s="53"/>
      <c r="G377" s="11"/>
      <c r="H377" s="11"/>
      <c r="I377" s="11"/>
      <c r="J377" s="11"/>
      <c r="K377" s="91"/>
      <c r="L377" s="91"/>
      <c r="M377" s="13"/>
      <c r="N377" s="13"/>
      <c r="O377" s="13"/>
      <c r="P377" s="13"/>
      <c r="Q377" s="13"/>
      <c r="R377" s="119"/>
    </row>
    <row r="378" spans="1:18" ht="31.5" x14ac:dyDescent="0.5">
      <c r="A378" s="130">
        <v>78</v>
      </c>
      <c r="B378" s="7" t="s">
        <v>170</v>
      </c>
      <c r="C378" s="7" t="s">
        <v>171</v>
      </c>
      <c r="D378" s="8" t="s">
        <v>14</v>
      </c>
      <c r="E378" s="43"/>
      <c r="F378" s="51"/>
      <c r="G378" s="9"/>
      <c r="H378" s="129">
        <f>VLOOKUP($A378,'Model Inputs'!$A:$D,4)</f>
        <v>1</v>
      </c>
      <c r="I378" s="9">
        <f>J378/H378</f>
        <v>7660</v>
      </c>
      <c r="J378" s="9">
        <f>SUBTOTAL(9,J379)</f>
        <v>7660</v>
      </c>
      <c r="K378" s="89"/>
      <c r="L378" s="89">
        <f>ROUNDUP(L379/workhrs,0)</f>
        <v>1</v>
      </c>
      <c r="M378" s="9">
        <f>SUBTOTAL(9,M379)</f>
        <v>0</v>
      </c>
      <c r="N378" s="9">
        <f>SUBTOTAL(9,N379)</f>
        <v>0</v>
      </c>
      <c r="O378" s="9">
        <f>SUBTOTAL(9,O379)</f>
        <v>0</v>
      </c>
      <c r="P378" s="9">
        <f>SUBTOTAL(9,P379)</f>
        <v>7660</v>
      </c>
      <c r="Q378" s="10">
        <f>SUM(M378:P378)</f>
        <v>7660</v>
      </c>
      <c r="R378" s="117"/>
    </row>
    <row r="379" spans="1:18" outlineLevel="1" x14ac:dyDescent="0.5">
      <c r="A379" s="131" t="s">
        <v>448</v>
      </c>
      <c r="B379" s="14">
        <v>1</v>
      </c>
      <c r="C379" s="15" t="s">
        <v>172</v>
      </c>
      <c r="D379" s="44" t="str">
        <f>VLOOKUP(Estimate!$C379,Resources!$B$3:$G$336,4,FALSE)</f>
        <v xml:space="preserve">m²   </v>
      </c>
      <c r="E379" s="44" t="str">
        <f>VLOOKUP(Estimate!$C379,Resources!$B$3:$G$336,3,FALSE)</f>
        <v>S</v>
      </c>
      <c r="F379" s="52">
        <v>1</v>
      </c>
      <c r="G379" s="12">
        <v>1</v>
      </c>
      <c r="H379" s="12">
        <v>1</v>
      </c>
      <c r="I379" s="12">
        <f>VLOOKUP(C379,Resources!$B$3:$G$336,6,FALSE)</f>
        <v>7660</v>
      </c>
      <c r="J379" s="12">
        <f>(H379/(G379/F379))*I379</f>
        <v>7660</v>
      </c>
      <c r="K379" s="90"/>
      <c r="L379" s="90">
        <f>IF(E379="M"," ",H379/G379)</f>
        <v>1</v>
      </c>
      <c r="M379" s="16">
        <f>IF($E379="L",$J379,0)</f>
        <v>0</v>
      </c>
      <c r="N379" s="16">
        <f>IF($E379="M",$J379,0)</f>
        <v>0</v>
      </c>
      <c r="O379" s="16">
        <f>IF($E379="P",$J379,0)</f>
        <v>0</v>
      </c>
      <c r="P379" s="16">
        <f>IF($E379="S",$J379,0)</f>
        <v>7660</v>
      </c>
      <c r="Q379" s="16">
        <f>SUM(M379:P379)</f>
        <v>7660</v>
      </c>
      <c r="R379" s="118">
        <v>66</v>
      </c>
    </row>
    <row r="380" spans="1:18" outlineLevel="1" x14ac:dyDescent="0.5">
      <c r="A380" s="132" t="s">
        <v>448</v>
      </c>
      <c r="B380" s="1"/>
      <c r="C380" s="2"/>
      <c r="D380" s="1"/>
      <c r="E380" s="45"/>
      <c r="F380" s="53"/>
      <c r="G380" s="11"/>
      <c r="H380" s="11"/>
      <c r="I380" s="11"/>
      <c r="J380" s="11"/>
      <c r="K380" s="91"/>
      <c r="L380" s="91"/>
      <c r="M380" s="13"/>
      <c r="N380" s="13"/>
      <c r="O380" s="13"/>
      <c r="P380" s="13"/>
      <c r="Q380" s="13"/>
      <c r="R380" s="119"/>
    </row>
    <row r="381" spans="1:18" ht="31.5" x14ac:dyDescent="0.5">
      <c r="A381" s="130">
        <v>79</v>
      </c>
      <c r="B381" s="7" t="s">
        <v>173</v>
      </c>
      <c r="C381" s="7" t="s">
        <v>174</v>
      </c>
      <c r="D381" s="8" t="s">
        <v>14</v>
      </c>
      <c r="E381" s="43"/>
      <c r="F381" s="51"/>
      <c r="G381" s="9"/>
      <c r="H381" s="129">
        <f>VLOOKUP($A381,'Model Inputs'!$A:$D,4)</f>
        <v>1</v>
      </c>
      <c r="I381" s="9">
        <f>J381/H381</f>
        <v>1682.1</v>
      </c>
      <c r="J381" s="9">
        <f>SUBTOTAL(9,J382:J385)</f>
        <v>1682.1</v>
      </c>
      <c r="K381" s="89"/>
      <c r="L381" s="89">
        <f>ROUNDUP(MAX(L384:L385)/workhrs,0)</f>
        <v>1</v>
      </c>
      <c r="M381" s="9">
        <f>SUBTOTAL(9,M382:M385)</f>
        <v>228</v>
      </c>
      <c r="N381" s="9">
        <f>SUBTOTAL(9,N382:N385)</f>
        <v>1314.6</v>
      </c>
      <c r="O381" s="9">
        <f>SUBTOTAL(9,O382:O385)</f>
        <v>139.5</v>
      </c>
      <c r="P381" s="9">
        <f>SUBTOTAL(9,P382:P385)</f>
        <v>0</v>
      </c>
      <c r="Q381" s="10">
        <f>SUM(M381:P381)</f>
        <v>1682.1</v>
      </c>
      <c r="R381" s="117"/>
    </row>
    <row r="382" spans="1:18" outlineLevel="1" x14ac:dyDescent="0.5">
      <c r="A382" s="131" t="s">
        <v>448</v>
      </c>
      <c r="B382" s="14">
        <v>1</v>
      </c>
      <c r="C382" s="15" t="s">
        <v>175</v>
      </c>
      <c r="D382" s="44" t="str">
        <f>VLOOKUP(Estimate!$C382,Resources!$B$3:$G$336,4,FALSE)</f>
        <v xml:space="preserve">each </v>
      </c>
      <c r="E382" s="44" t="str">
        <f>VLOOKUP(Estimate!$C382,Resources!$B$3:$G$336,3,FALSE)</f>
        <v>M</v>
      </c>
      <c r="F382" s="52"/>
      <c r="G382" s="12">
        <v>1</v>
      </c>
      <c r="H382" s="12">
        <v>6</v>
      </c>
      <c r="I382" s="12">
        <f>VLOOKUP(C382,Resources!$B$3:$G$336,6,FALSE)</f>
        <v>140</v>
      </c>
      <c r="J382" s="12">
        <f>H382*I382</f>
        <v>840</v>
      </c>
      <c r="K382" s="90"/>
      <c r="L382" s="90" t="str">
        <f>IF(E382="M"," ",H382/G382)</f>
        <v xml:space="preserve"> </v>
      </c>
      <c r="M382" s="16">
        <f>IF($E382="L",$J382,0)</f>
        <v>0</v>
      </c>
      <c r="N382" s="16">
        <f>IF($E382="M",$J382,0)</f>
        <v>840</v>
      </c>
      <c r="O382" s="16">
        <f>IF($E382="P",$J382,0)</f>
        <v>0</v>
      </c>
      <c r="P382" s="16">
        <f>IF($E382="S",$J382,0)</f>
        <v>0</v>
      </c>
      <c r="Q382" s="16">
        <f>SUM(M382:P382)</f>
        <v>840</v>
      </c>
      <c r="R382" s="118" t="s">
        <v>959</v>
      </c>
    </row>
    <row r="383" spans="1:18" outlineLevel="1" x14ac:dyDescent="0.5">
      <c r="A383" s="131" t="s">
        <v>448</v>
      </c>
      <c r="B383" s="14">
        <v>2</v>
      </c>
      <c r="C383" s="15" t="s">
        <v>145</v>
      </c>
      <c r="D383" s="44" t="str">
        <f>VLOOKUP(Estimate!$C383,Resources!$B$3:$G$336,4,FALSE)</f>
        <v xml:space="preserve">m³   </v>
      </c>
      <c r="E383" s="44" t="str">
        <f>VLOOKUP(Estimate!$C383,Resources!$B$3:$G$336,3,FALSE)</f>
        <v>M</v>
      </c>
      <c r="F383" s="52"/>
      <c r="G383" s="12">
        <v>1</v>
      </c>
      <c r="H383" s="12">
        <v>3</v>
      </c>
      <c r="I383" s="12">
        <f>VLOOKUP(C383,Resources!$B$3:$G$336,6,FALSE)</f>
        <v>158.19999999999999</v>
      </c>
      <c r="J383" s="12">
        <f>H383*I383</f>
        <v>474.59999999999997</v>
      </c>
      <c r="K383" s="90"/>
      <c r="L383" s="90" t="str">
        <f>IF(E383="M"," ",H383/G383)</f>
        <v xml:space="preserve"> </v>
      </c>
      <c r="M383" s="16">
        <f>IF($E383="L",$J383,0)</f>
        <v>0</v>
      </c>
      <c r="N383" s="16">
        <f>IF($E383="M",$J383,0)</f>
        <v>474.59999999999997</v>
      </c>
      <c r="O383" s="16">
        <f>IF($E383="P",$J383,0)</f>
        <v>0</v>
      </c>
      <c r="P383" s="16">
        <f>IF($E383="S",$J383,0)</f>
        <v>0</v>
      </c>
      <c r="Q383" s="16">
        <f>SUM(M383:P383)</f>
        <v>474.59999999999997</v>
      </c>
      <c r="R383" s="118" t="s">
        <v>946</v>
      </c>
    </row>
    <row r="384" spans="1:18" outlineLevel="1" x14ac:dyDescent="0.5">
      <c r="A384" s="131" t="s">
        <v>448</v>
      </c>
      <c r="B384" s="14">
        <v>3</v>
      </c>
      <c r="C384" s="15" t="s">
        <v>59</v>
      </c>
      <c r="D384" s="44" t="str">
        <f>VLOOKUP(Estimate!$C384,Resources!$B$3:$G$336,4,FALSE)</f>
        <v xml:space="preserve">hr   </v>
      </c>
      <c r="E384" s="44" t="str">
        <f>VLOOKUP(Estimate!$C384,Resources!$B$3:$G$336,3,FALSE)</f>
        <v>P</v>
      </c>
      <c r="F384" s="52"/>
      <c r="G384" s="12">
        <v>1</v>
      </c>
      <c r="H384" s="12">
        <v>3</v>
      </c>
      <c r="I384" s="12">
        <f>VLOOKUP(C384,Resources!$B$3:$G$336,6,FALSE)</f>
        <v>46.5</v>
      </c>
      <c r="J384" s="12">
        <f>H384*I384</f>
        <v>139.5</v>
      </c>
      <c r="K384" s="90">
        <f>L384*F384</f>
        <v>0</v>
      </c>
      <c r="L384" s="90">
        <f>IF(E384="M"," ",H384/G384)</f>
        <v>3</v>
      </c>
      <c r="M384" s="16">
        <f>IF($E384="L",$J384,0)</f>
        <v>0</v>
      </c>
      <c r="N384" s="16">
        <f>IF($E384="M",$J384,0)</f>
        <v>0</v>
      </c>
      <c r="O384" s="16">
        <f>IF($E384="P",$J384,0)</f>
        <v>139.5</v>
      </c>
      <c r="P384" s="16">
        <f>IF($E384="S",$J384,0)</f>
        <v>0</v>
      </c>
      <c r="Q384" s="16">
        <f>SUM(M384:P384)</f>
        <v>139.5</v>
      </c>
      <c r="R384" s="118">
        <v>67</v>
      </c>
    </row>
    <row r="385" spans="1:18" outlineLevel="1" x14ac:dyDescent="0.5">
      <c r="A385" s="131" t="s">
        <v>448</v>
      </c>
      <c r="B385" s="14">
        <v>4</v>
      </c>
      <c r="C385" s="15" t="s">
        <v>7</v>
      </c>
      <c r="D385" s="44" t="str">
        <f>VLOOKUP(Estimate!$C385,Resources!$B$3:$G$336,4,FALSE)</f>
        <v xml:space="preserve">hr   </v>
      </c>
      <c r="E385" s="44" t="str">
        <f>VLOOKUP(Estimate!$C385,Resources!$B$3:$G$336,3,FALSE)</f>
        <v>L</v>
      </c>
      <c r="F385" s="52"/>
      <c r="G385" s="12">
        <v>1</v>
      </c>
      <c r="H385" s="12">
        <v>6</v>
      </c>
      <c r="I385" s="12">
        <f>VLOOKUP(C385,Resources!$B$3:$G$336,6,FALSE)</f>
        <v>38</v>
      </c>
      <c r="J385" s="12">
        <f>H385*I385</f>
        <v>228</v>
      </c>
      <c r="K385" s="90">
        <f>L385*F385</f>
        <v>0</v>
      </c>
      <c r="L385" s="90">
        <f>IF(E385="M"," ",H385/G385)</f>
        <v>6</v>
      </c>
      <c r="M385" s="16">
        <f>IF($E385="L",$J385,0)</f>
        <v>228</v>
      </c>
      <c r="N385" s="16">
        <f>IF($E385="M",$J385,0)</f>
        <v>0</v>
      </c>
      <c r="O385" s="16">
        <f>IF($E385="P",$J385,0)</f>
        <v>0</v>
      </c>
      <c r="P385" s="16">
        <f>IF($E385="S",$J385,0)</f>
        <v>0</v>
      </c>
      <c r="Q385" s="16">
        <f>SUM(M385:P385)</f>
        <v>228</v>
      </c>
      <c r="R385" s="118">
        <v>67</v>
      </c>
    </row>
    <row r="386" spans="1:18" x14ac:dyDescent="0.5">
      <c r="A386" s="132" t="s">
        <v>448</v>
      </c>
      <c r="B386" s="1"/>
      <c r="C386" s="2"/>
      <c r="D386" s="1"/>
      <c r="E386" s="45"/>
      <c r="F386" s="53"/>
      <c r="G386" s="11"/>
      <c r="H386" s="11"/>
      <c r="I386" s="11"/>
      <c r="J386" s="11"/>
      <c r="K386" s="91"/>
      <c r="L386" s="91"/>
      <c r="M386" s="13"/>
      <c r="N386" s="13"/>
      <c r="O386" s="13"/>
      <c r="P386" s="13"/>
      <c r="Q386" s="13"/>
      <c r="R386" s="119"/>
    </row>
    <row r="387" spans="1:18" x14ac:dyDescent="0.5">
      <c r="A387" s="132">
        <v>80</v>
      </c>
      <c r="B387" s="1"/>
      <c r="C387" s="5" t="s">
        <v>633</v>
      </c>
      <c r="D387" s="1"/>
      <c r="E387" s="45"/>
      <c r="F387" s="53"/>
      <c r="G387" s="11"/>
      <c r="H387" s="11"/>
      <c r="I387" s="11"/>
      <c r="J387" s="11"/>
      <c r="K387" s="91"/>
      <c r="L387" s="91"/>
      <c r="M387" s="13"/>
      <c r="N387" s="13"/>
      <c r="O387" s="13"/>
      <c r="P387" s="13"/>
      <c r="Q387" s="13"/>
      <c r="R387" s="119"/>
    </row>
    <row r="388" spans="1:18" x14ac:dyDescent="0.5">
      <c r="A388" s="132">
        <v>81</v>
      </c>
      <c r="B388" s="1"/>
      <c r="C388" s="5" t="s">
        <v>634</v>
      </c>
      <c r="D388" s="1"/>
      <c r="E388" s="45"/>
      <c r="F388" s="53"/>
      <c r="G388" s="11"/>
      <c r="H388" s="11"/>
      <c r="I388" s="11"/>
      <c r="J388" s="11"/>
      <c r="K388" s="91"/>
      <c r="L388" s="91"/>
      <c r="M388" s="13"/>
      <c r="N388" s="13"/>
      <c r="O388" s="13"/>
      <c r="P388" s="13"/>
      <c r="Q388" s="13"/>
      <c r="R388" s="119"/>
    </row>
    <row r="389" spans="1:18" ht="21" x14ac:dyDescent="0.5">
      <c r="A389" s="130">
        <v>82</v>
      </c>
      <c r="B389" s="7" t="s">
        <v>176</v>
      </c>
      <c r="C389" s="7" t="s">
        <v>177</v>
      </c>
      <c r="D389" s="8" t="s">
        <v>25</v>
      </c>
      <c r="E389" s="43"/>
      <c r="F389" s="51"/>
      <c r="G389" s="9"/>
      <c r="H389" s="129">
        <f>VLOOKUP($A389,'Model Inputs'!$A:$D,4)</f>
        <v>82.8</v>
      </c>
      <c r="I389" s="9">
        <f>J389/H389</f>
        <v>123.27802009899504</v>
      </c>
      <c r="J389" s="9">
        <f>SUBTOTAL(9,J391:J396)</f>
        <v>10207.420064196789</v>
      </c>
      <c r="K389" s="89"/>
      <c r="L389" s="89">
        <f>ROUNDUP(MAX(L394:L396)/workhrs,0)</f>
        <v>2</v>
      </c>
      <c r="M389" s="9">
        <f>SUBTOTAL(9,M391:M396)</f>
        <v>1415.809209539523</v>
      </c>
      <c r="N389" s="9">
        <f>SUBTOTAL(9,N391:N396)</f>
        <v>6928.7039999999997</v>
      </c>
      <c r="O389" s="9">
        <f>SUBTOTAL(9,O391:O396)</f>
        <v>1862.9068546572671</v>
      </c>
      <c r="P389" s="9">
        <f>SUBTOTAL(9,P391:P396)</f>
        <v>0</v>
      </c>
      <c r="Q389" s="10">
        <f>SUM(M389:P389)</f>
        <v>10207.420064196789</v>
      </c>
      <c r="R389" s="117"/>
    </row>
    <row r="390" spans="1:18" outlineLevel="1" x14ac:dyDescent="0.5">
      <c r="A390" s="132" t="s">
        <v>448</v>
      </c>
      <c r="B390" s="1">
        <v>1</v>
      </c>
      <c r="C390" s="2" t="s">
        <v>635</v>
      </c>
      <c r="D390" s="1"/>
      <c r="E390" s="45"/>
      <c r="F390" s="53"/>
      <c r="G390" s="11"/>
      <c r="H390" s="11"/>
      <c r="I390" s="11"/>
      <c r="J390" s="11"/>
      <c r="K390" s="91"/>
      <c r="L390" s="91"/>
      <c r="M390" s="13"/>
      <c r="N390" s="13"/>
      <c r="O390" s="13"/>
      <c r="P390" s="13"/>
      <c r="Q390" s="13"/>
      <c r="R390" s="119"/>
    </row>
    <row r="391" spans="1:18" outlineLevel="1" x14ac:dyDescent="0.5">
      <c r="A391" s="131" t="s">
        <v>448</v>
      </c>
      <c r="B391" s="14">
        <v>2</v>
      </c>
      <c r="C391" s="15" t="s">
        <v>178</v>
      </c>
      <c r="D391" s="44" t="str">
        <f>VLOOKUP(Estimate!$C391,Resources!$B$3:$G$336,4,FALSE)</f>
        <v xml:space="preserve">m    </v>
      </c>
      <c r="E391" s="44" t="str">
        <f>VLOOKUP(Estimate!$C391,Resources!$B$3:$G$336,3,FALSE)</f>
        <v>M</v>
      </c>
      <c r="F391" s="52">
        <v>1</v>
      </c>
      <c r="G391" s="12">
        <v>1</v>
      </c>
      <c r="H391" s="12">
        <f>H389</f>
        <v>82.8</v>
      </c>
      <c r="I391" s="12">
        <f>VLOOKUP(C391,Resources!$B$3:$G$336,6,FALSE)</f>
        <v>58.55</v>
      </c>
      <c r="J391" s="12">
        <f>(H391/(G391/F391))*I391</f>
        <v>4847.9399999999996</v>
      </c>
      <c r="K391" s="90"/>
      <c r="L391" s="90" t="str">
        <f>IF(E391="M"," ",H391/G391)</f>
        <v xml:space="preserve"> </v>
      </c>
      <c r="M391" s="16">
        <f>IF($E391="L",$J391,0)</f>
        <v>0</v>
      </c>
      <c r="N391" s="16">
        <f>IF($E391="M",$J391,0)</f>
        <v>4847.9399999999996</v>
      </c>
      <c r="O391" s="16">
        <f>IF($E391="P",$J391,0)</f>
        <v>0</v>
      </c>
      <c r="P391" s="16">
        <f>IF($E391="S",$J391,0)</f>
        <v>0</v>
      </c>
      <c r="Q391" s="16">
        <f>SUM(M391:P391)</f>
        <v>4847.9399999999996</v>
      </c>
      <c r="R391" s="118" t="s">
        <v>960</v>
      </c>
    </row>
    <row r="392" spans="1:18" outlineLevel="1" x14ac:dyDescent="0.5">
      <c r="A392" s="131" t="s">
        <v>448</v>
      </c>
      <c r="B392" s="14">
        <v>3</v>
      </c>
      <c r="C392" s="15" t="s">
        <v>73</v>
      </c>
      <c r="D392" s="44" t="str">
        <f>VLOOKUP(Estimate!$C392,Resources!$B$3:$G$336,4,FALSE)</f>
        <v>tonne</v>
      </c>
      <c r="E392" s="44" t="str">
        <f>VLOOKUP(Estimate!$C392,Resources!$B$3:$G$336,3,FALSE)</f>
        <v>M</v>
      </c>
      <c r="F392" s="52">
        <v>1</v>
      </c>
      <c r="G392" s="12">
        <v>1</v>
      </c>
      <c r="H392" s="12">
        <f>H389*1.4</f>
        <v>115.91999999999999</v>
      </c>
      <c r="I392" s="12">
        <f>VLOOKUP(C392,Resources!$B$3:$G$336,6,FALSE)</f>
        <v>17.95</v>
      </c>
      <c r="J392" s="12">
        <f>(H392/(G392/F392))*I392</f>
        <v>2080.7639999999997</v>
      </c>
      <c r="K392" s="90"/>
      <c r="L392" s="90" t="str">
        <f>IF(E392="M"," ",H392/G392)</f>
        <v xml:space="preserve"> </v>
      </c>
      <c r="M392" s="16">
        <f>IF($E392="L",$J392,0)</f>
        <v>0</v>
      </c>
      <c r="N392" s="16">
        <f>IF($E392="M",$J392,0)</f>
        <v>2080.7639999999997</v>
      </c>
      <c r="O392" s="16">
        <f>IF($E392="P",$J392,0)</f>
        <v>0</v>
      </c>
      <c r="P392" s="16">
        <f>IF($E392="S",$J392,0)</f>
        <v>0</v>
      </c>
      <c r="Q392" s="16">
        <f>SUM(M392:P392)</f>
        <v>2080.7639999999997</v>
      </c>
      <c r="R392" s="118" t="s">
        <v>945</v>
      </c>
    </row>
    <row r="393" spans="1:18" outlineLevel="1" x14ac:dyDescent="0.5">
      <c r="A393" s="132" t="s">
        <v>448</v>
      </c>
      <c r="B393" s="1">
        <v>4</v>
      </c>
      <c r="C393" s="2" t="s">
        <v>639</v>
      </c>
      <c r="D393" s="1"/>
      <c r="E393" s="45"/>
      <c r="F393" s="53"/>
      <c r="G393" s="11"/>
      <c r="H393" s="11"/>
      <c r="I393" s="11"/>
      <c r="J393" s="11"/>
      <c r="K393" s="91"/>
      <c r="L393" s="91"/>
      <c r="M393" s="13"/>
      <c r="N393" s="13"/>
      <c r="O393" s="13"/>
      <c r="P393" s="13"/>
      <c r="Q393" s="13"/>
      <c r="R393" s="119"/>
    </row>
    <row r="394" spans="1:18" outlineLevel="1" x14ac:dyDescent="0.5">
      <c r="A394" s="131">
        <v>82.1</v>
      </c>
      <c r="B394" s="14">
        <v>5</v>
      </c>
      <c r="C394" s="15" t="s">
        <v>55</v>
      </c>
      <c r="D394" s="44" t="str">
        <f>VLOOKUP(Estimate!$C394,Resources!$B$3:$G$336,4,FALSE)</f>
        <v xml:space="preserve">hr   </v>
      </c>
      <c r="E394" s="44" t="str">
        <f>VLOOKUP(Estimate!$C394,Resources!$B$3:$G$336,3,FALSE)</f>
        <v>P</v>
      </c>
      <c r="F394" s="52">
        <v>1</v>
      </c>
      <c r="G394" s="129">
        <f>VLOOKUP($A394,'Model Inputs'!$A:$D,4)</f>
        <v>6.6669999999999998</v>
      </c>
      <c r="H394" s="12">
        <f>H389</f>
        <v>82.8</v>
      </c>
      <c r="I394" s="12">
        <f>VLOOKUP(C394,Resources!$B$3:$G$336,6,FALSE)</f>
        <v>135</v>
      </c>
      <c r="J394" s="12">
        <f>(H394/(G394/F394))*I394</f>
        <v>1676.6161691915404</v>
      </c>
      <c r="K394" s="90">
        <f>L394*F394</f>
        <v>12.419379031048447</v>
      </c>
      <c r="L394" s="90">
        <f>IF(E394="M"," ",H394/G394)</f>
        <v>12.419379031048447</v>
      </c>
      <c r="M394" s="16">
        <f>IF($E394="L",$J394,0)</f>
        <v>0</v>
      </c>
      <c r="N394" s="16">
        <f>IF($E394="M",$J394,0)</f>
        <v>0</v>
      </c>
      <c r="O394" s="16">
        <f>IF($E394="P",$J394,0)</f>
        <v>1676.6161691915404</v>
      </c>
      <c r="P394" s="16">
        <f>IF($E394="S",$J394,0)</f>
        <v>0</v>
      </c>
      <c r="Q394" s="16">
        <f>SUM(M394:P394)</f>
        <v>1676.6161691915404</v>
      </c>
      <c r="R394" s="118">
        <v>81</v>
      </c>
    </row>
    <row r="395" spans="1:18" outlineLevel="1" x14ac:dyDescent="0.5">
      <c r="A395" s="131" t="s">
        <v>448</v>
      </c>
      <c r="B395" s="14">
        <v>6</v>
      </c>
      <c r="C395" s="15" t="s">
        <v>7</v>
      </c>
      <c r="D395" s="44" t="str">
        <f>VLOOKUP(Estimate!$C395,Resources!$B$3:$G$336,4,FALSE)</f>
        <v xml:space="preserve">hr   </v>
      </c>
      <c r="E395" s="44" t="str">
        <f>VLOOKUP(Estimate!$C395,Resources!$B$3:$G$336,3,FALSE)</f>
        <v>L</v>
      </c>
      <c r="F395" s="52">
        <v>3</v>
      </c>
      <c r="G395" s="12">
        <f>G394</f>
        <v>6.6669999999999998</v>
      </c>
      <c r="H395" s="12">
        <f>H389</f>
        <v>82.8</v>
      </c>
      <c r="I395" s="12">
        <f>VLOOKUP(C395,Resources!$B$3:$G$336,6,FALSE)</f>
        <v>38</v>
      </c>
      <c r="J395" s="12">
        <f>(H395/(G395/F395))*I395</f>
        <v>1415.809209539523</v>
      </c>
      <c r="K395" s="90">
        <f>L395*F395</f>
        <v>37.258137093145336</v>
      </c>
      <c r="L395" s="90">
        <f>IF(E395="M"," ",H395/G395)</f>
        <v>12.419379031048447</v>
      </c>
      <c r="M395" s="16">
        <f>IF($E395="L",$J395,0)</f>
        <v>1415.809209539523</v>
      </c>
      <c r="N395" s="16">
        <f>IF($E395="M",$J395,0)</f>
        <v>0</v>
      </c>
      <c r="O395" s="16">
        <f>IF($E395="P",$J395,0)</f>
        <v>0</v>
      </c>
      <c r="P395" s="16">
        <f>IF($E395="S",$J395,0)</f>
        <v>0</v>
      </c>
      <c r="Q395" s="16">
        <f>SUM(M395:P395)</f>
        <v>1415.809209539523</v>
      </c>
      <c r="R395" s="118">
        <v>81</v>
      </c>
    </row>
    <row r="396" spans="1:18" outlineLevel="1" x14ac:dyDescent="0.5">
      <c r="A396" s="131" t="s">
        <v>448</v>
      </c>
      <c r="B396" s="14">
        <v>7</v>
      </c>
      <c r="C396" s="15" t="s">
        <v>179</v>
      </c>
      <c r="D396" s="44" t="str">
        <f>VLOOKUP(Estimate!$C396,Resources!$B$3:$G$336,4,FALSE)</f>
        <v xml:space="preserve">hr   </v>
      </c>
      <c r="E396" s="44" t="str">
        <f>VLOOKUP(Estimate!$C396,Resources!$B$3:$G$336,3,FALSE)</f>
        <v>P</v>
      </c>
      <c r="F396" s="52">
        <v>1</v>
      </c>
      <c r="G396" s="12">
        <f>G394</f>
        <v>6.6669999999999998</v>
      </c>
      <c r="H396" s="12">
        <f>H389</f>
        <v>82.8</v>
      </c>
      <c r="I396" s="12">
        <f>VLOOKUP(C396,Resources!$B$3:$G$336,6,FALSE)</f>
        <v>15</v>
      </c>
      <c r="J396" s="12">
        <f>(H396/(G396/F396))*I396</f>
        <v>186.29068546572671</v>
      </c>
      <c r="K396" s="90">
        <f>L396*F396</f>
        <v>12.419379031048447</v>
      </c>
      <c r="L396" s="90">
        <f>IF(E396="M"," ",H396/G396)</f>
        <v>12.419379031048447</v>
      </c>
      <c r="M396" s="16">
        <f>IF($E396="L",$J396,0)</f>
        <v>0</v>
      </c>
      <c r="N396" s="16">
        <f>IF($E396="M",$J396,0)</f>
        <v>0</v>
      </c>
      <c r="O396" s="16">
        <f>IF($E396="P",$J396,0)</f>
        <v>186.29068546572671</v>
      </c>
      <c r="P396" s="16">
        <f>IF($E396="S",$J396,0)</f>
        <v>0</v>
      </c>
      <c r="Q396" s="16">
        <f>SUM(M396:P396)</f>
        <v>186.29068546572671</v>
      </c>
      <c r="R396" s="118">
        <v>81</v>
      </c>
    </row>
    <row r="397" spans="1:18" outlineLevel="1" x14ac:dyDescent="0.5">
      <c r="A397" s="132" t="s">
        <v>448</v>
      </c>
      <c r="B397" s="1"/>
      <c r="C397" s="2"/>
      <c r="D397" s="1"/>
      <c r="E397" s="45"/>
      <c r="F397" s="53"/>
      <c r="G397" s="11"/>
      <c r="H397" s="11"/>
      <c r="I397" s="11"/>
      <c r="J397" s="11"/>
      <c r="K397" s="91"/>
      <c r="L397" s="91"/>
      <c r="M397" s="13"/>
      <c r="N397" s="13"/>
      <c r="O397" s="13"/>
      <c r="P397" s="13"/>
      <c r="Q397" s="13"/>
      <c r="R397" s="119"/>
    </row>
    <row r="398" spans="1:18" ht="21" x14ac:dyDescent="0.5">
      <c r="A398" s="130">
        <v>83</v>
      </c>
      <c r="B398" s="7" t="s">
        <v>180</v>
      </c>
      <c r="C398" s="7" t="s">
        <v>181</v>
      </c>
      <c r="D398" s="8" t="s">
        <v>25</v>
      </c>
      <c r="E398" s="43"/>
      <c r="F398" s="51"/>
      <c r="G398" s="9"/>
      <c r="H398" s="129">
        <f>VLOOKUP($A398,'Model Inputs'!$A:$D,4)</f>
        <v>46.8</v>
      </c>
      <c r="I398" s="9">
        <f>J398/H398</f>
        <v>136.64802009899506</v>
      </c>
      <c r="J398" s="9">
        <f>SUBTOTAL(9,J400:J405)</f>
        <v>6395.1273406329683</v>
      </c>
      <c r="K398" s="89"/>
      <c r="L398" s="89">
        <f>ROUNDUP(MAX(L403:L405)/workhrs,0)</f>
        <v>1</v>
      </c>
      <c r="M398" s="9">
        <f>SUBTOTAL(9,M400:M405)</f>
        <v>800.23998800059985</v>
      </c>
      <c r="N398" s="9">
        <f>SUBTOTAL(9,N400:N405)</f>
        <v>4541.9399999999996</v>
      </c>
      <c r="O398" s="9">
        <f>SUBTOTAL(9,O400:O405)</f>
        <v>1052.9473526323684</v>
      </c>
      <c r="P398" s="9">
        <f>SUBTOTAL(9,P400:P405)</f>
        <v>0</v>
      </c>
      <c r="Q398" s="10">
        <f>SUM(M398:P398)</f>
        <v>6395.1273406329674</v>
      </c>
      <c r="R398" s="117"/>
    </row>
    <row r="399" spans="1:18" outlineLevel="1" x14ac:dyDescent="0.5">
      <c r="A399" s="132" t="s">
        <v>448</v>
      </c>
      <c r="B399" s="1">
        <v>1</v>
      </c>
      <c r="C399" s="2" t="s">
        <v>635</v>
      </c>
      <c r="D399" s="1"/>
      <c r="E399" s="45"/>
      <c r="F399" s="53"/>
      <c r="G399" s="11"/>
      <c r="H399" s="11"/>
      <c r="I399" s="11"/>
      <c r="J399" s="11"/>
      <c r="K399" s="91"/>
      <c r="L399" s="91"/>
      <c r="M399" s="13"/>
      <c r="N399" s="13"/>
      <c r="O399" s="13"/>
      <c r="P399" s="13"/>
      <c r="Q399" s="13"/>
      <c r="R399" s="119"/>
    </row>
    <row r="400" spans="1:18" outlineLevel="1" x14ac:dyDescent="0.5">
      <c r="A400" s="131" t="s">
        <v>448</v>
      </c>
      <c r="B400" s="14">
        <v>2</v>
      </c>
      <c r="C400" s="15" t="s">
        <v>698</v>
      </c>
      <c r="D400" s="44" t="str">
        <f>VLOOKUP(Estimate!$C400,Resources!$B$3:$G$336,4,FALSE)</f>
        <v xml:space="preserve">m    </v>
      </c>
      <c r="E400" s="44" t="str">
        <f>VLOOKUP(Estimate!$C400,Resources!$B$3:$G$336,3,FALSE)</f>
        <v>M</v>
      </c>
      <c r="F400" s="52">
        <v>1</v>
      </c>
      <c r="G400" s="12">
        <v>1</v>
      </c>
      <c r="H400" s="12">
        <f>H398</f>
        <v>46.8</v>
      </c>
      <c r="I400" s="12">
        <f>VLOOKUP(C400,Resources!$B$3:$G$336,6,FALSE)</f>
        <v>71.92</v>
      </c>
      <c r="J400" s="12">
        <f>(H400/(G400/F400))*I400</f>
        <v>3365.8559999999998</v>
      </c>
      <c r="K400" s="90"/>
      <c r="L400" s="90" t="str">
        <f>IF(E400="M"," ",H400/G400)</f>
        <v xml:space="preserve"> </v>
      </c>
      <c r="M400" s="16">
        <f>IF($E400="L",$J400,0)</f>
        <v>0</v>
      </c>
      <c r="N400" s="16">
        <f>IF($E400="M",$J400,0)</f>
        <v>3365.8559999999998</v>
      </c>
      <c r="O400" s="16">
        <f>IF($E400="P",$J400,0)</f>
        <v>0</v>
      </c>
      <c r="P400" s="16">
        <f>IF($E400="S",$J400,0)</f>
        <v>0</v>
      </c>
      <c r="Q400" s="16">
        <f>SUM(M400:P400)</f>
        <v>3365.8559999999998</v>
      </c>
      <c r="R400" s="118" t="s">
        <v>960</v>
      </c>
    </row>
    <row r="401" spans="1:18" outlineLevel="1" x14ac:dyDescent="0.5">
      <c r="A401" s="131" t="s">
        <v>448</v>
      </c>
      <c r="B401" s="14">
        <v>3</v>
      </c>
      <c r="C401" s="15" t="s">
        <v>73</v>
      </c>
      <c r="D401" s="44" t="str">
        <f>VLOOKUP(Estimate!$C401,Resources!$B$3:$G$336,4,FALSE)</f>
        <v>tonne</v>
      </c>
      <c r="E401" s="44" t="str">
        <f>VLOOKUP(Estimate!$C401,Resources!$B$3:$G$336,3,FALSE)</f>
        <v>M</v>
      </c>
      <c r="F401" s="52">
        <v>1</v>
      </c>
      <c r="G401" s="12">
        <v>1</v>
      </c>
      <c r="H401" s="12">
        <f>H400*1.4</f>
        <v>65.52</v>
      </c>
      <c r="I401" s="12">
        <f>VLOOKUP(C401,Resources!$B$3:$G$336,6,FALSE)</f>
        <v>17.95</v>
      </c>
      <c r="J401" s="12">
        <f>(H401/(G401/F401))*I401</f>
        <v>1176.0839999999998</v>
      </c>
      <c r="K401" s="90"/>
      <c r="L401" s="90" t="str">
        <f>IF(E401="M"," ",H401/G401)</f>
        <v xml:space="preserve"> </v>
      </c>
      <c r="M401" s="16">
        <f>IF($E401="L",$J401,0)</f>
        <v>0</v>
      </c>
      <c r="N401" s="16">
        <f>IF($E401="M",$J401,0)</f>
        <v>1176.0839999999998</v>
      </c>
      <c r="O401" s="16">
        <f>IF($E401="P",$J401,0)</f>
        <v>0</v>
      </c>
      <c r="P401" s="16">
        <f>IF($E401="S",$J401,0)</f>
        <v>0</v>
      </c>
      <c r="Q401" s="16">
        <f>SUM(M401:P401)</f>
        <v>1176.0839999999998</v>
      </c>
      <c r="R401" s="118" t="s">
        <v>945</v>
      </c>
    </row>
    <row r="402" spans="1:18" outlineLevel="1" x14ac:dyDescent="0.5">
      <c r="A402" s="132" t="s">
        <v>448</v>
      </c>
      <c r="B402" s="1">
        <v>4</v>
      </c>
      <c r="C402" s="2" t="s">
        <v>639</v>
      </c>
      <c r="D402" s="1"/>
      <c r="E402" s="45"/>
      <c r="F402" s="53"/>
      <c r="G402" s="11"/>
      <c r="H402" s="11"/>
      <c r="I402" s="11"/>
      <c r="J402" s="11"/>
      <c r="K402" s="91"/>
      <c r="L402" s="91"/>
      <c r="M402" s="13"/>
      <c r="N402" s="13"/>
      <c r="O402" s="13"/>
      <c r="P402" s="13"/>
      <c r="Q402" s="13"/>
      <c r="R402" s="119"/>
    </row>
    <row r="403" spans="1:18" outlineLevel="1" x14ac:dyDescent="0.5">
      <c r="A403" s="131">
        <v>83.1</v>
      </c>
      <c r="B403" s="14">
        <v>5</v>
      </c>
      <c r="C403" s="15" t="s">
        <v>55</v>
      </c>
      <c r="D403" s="44" t="str">
        <f>VLOOKUP(Estimate!$C403,Resources!$B$3:$G$336,4,FALSE)</f>
        <v xml:space="preserve">hr   </v>
      </c>
      <c r="E403" s="44" t="str">
        <f>VLOOKUP(Estimate!$C403,Resources!$B$3:$G$336,3,FALSE)</f>
        <v>P</v>
      </c>
      <c r="F403" s="52">
        <v>1</v>
      </c>
      <c r="G403" s="129">
        <f>VLOOKUP($A403,'Model Inputs'!$A:$D,4)</f>
        <v>6.6669999999999998</v>
      </c>
      <c r="H403" s="12">
        <f>H398</f>
        <v>46.8</v>
      </c>
      <c r="I403" s="12">
        <f>VLOOKUP(C403,Resources!$B$3:$G$336,6,FALSE)</f>
        <v>135</v>
      </c>
      <c r="J403" s="12">
        <f>(H403/(G403/F403))*I403</f>
        <v>947.65261736913158</v>
      </c>
      <c r="K403" s="90">
        <f>L403*F403</f>
        <v>7.0196490175491224</v>
      </c>
      <c r="L403" s="90">
        <f>IF(E403="M"," ",H403/G403)</f>
        <v>7.0196490175491224</v>
      </c>
      <c r="M403" s="16">
        <f>IF($E403="L",$J403,0)</f>
        <v>0</v>
      </c>
      <c r="N403" s="16">
        <f>IF($E403="M",$J403,0)</f>
        <v>0</v>
      </c>
      <c r="O403" s="16">
        <f>IF($E403="P",$J403,0)</f>
        <v>947.65261736913158</v>
      </c>
      <c r="P403" s="16">
        <f>IF($E403="S",$J403,0)</f>
        <v>0</v>
      </c>
      <c r="Q403" s="16">
        <f>SUM(M403:P403)</f>
        <v>947.65261736913158</v>
      </c>
      <c r="R403" s="118">
        <v>81</v>
      </c>
    </row>
    <row r="404" spans="1:18" outlineLevel="1" x14ac:dyDescent="0.5">
      <c r="A404" s="131" t="s">
        <v>448</v>
      </c>
      <c r="B404" s="14">
        <v>6</v>
      </c>
      <c r="C404" s="15" t="s">
        <v>7</v>
      </c>
      <c r="D404" s="44" t="str">
        <f>VLOOKUP(Estimate!$C404,Resources!$B$3:$G$336,4,FALSE)</f>
        <v xml:space="preserve">hr   </v>
      </c>
      <c r="E404" s="44" t="str">
        <f>VLOOKUP(Estimate!$C404,Resources!$B$3:$G$336,3,FALSE)</f>
        <v>L</v>
      </c>
      <c r="F404" s="52">
        <v>3</v>
      </c>
      <c r="G404" s="12">
        <f>G403</f>
        <v>6.6669999999999998</v>
      </c>
      <c r="H404" s="12">
        <f>H398</f>
        <v>46.8</v>
      </c>
      <c r="I404" s="12">
        <f>VLOOKUP(C404,Resources!$B$3:$G$336,6,FALSE)</f>
        <v>38</v>
      </c>
      <c r="J404" s="12">
        <f>(H404/(G404/F404))*I404</f>
        <v>800.23998800059985</v>
      </c>
      <c r="K404" s="90">
        <f>L404*F404</f>
        <v>21.058947052647369</v>
      </c>
      <c r="L404" s="90">
        <f>IF(E404="M"," ",H404/G404)</f>
        <v>7.0196490175491224</v>
      </c>
      <c r="M404" s="16">
        <f>IF($E404="L",$J404,0)</f>
        <v>800.23998800059985</v>
      </c>
      <c r="N404" s="16">
        <f>IF($E404="M",$J404,0)</f>
        <v>0</v>
      </c>
      <c r="O404" s="16">
        <f>IF($E404="P",$J404,0)</f>
        <v>0</v>
      </c>
      <c r="P404" s="16">
        <f>IF($E404="S",$J404,0)</f>
        <v>0</v>
      </c>
      <c r="Q404" s="16">
        <f>SUM(M404:P404)</f>
        <v>800.23998800059985</v>
      </c>
      <c r="R404" s="118">
        <v>81</v>
      </c>
    </row>
    <row r="405" spans="1:18" outlineLevel="1" x14ac:dyDescent="0.5">
      <c r="A405" s="131" t="s">
        <v>448</v>
      </c>
      <c r="B405" s="14">
        <v>7</v>
      </c>
      <c r="C405" s="15" t="s">
        <v>179</v>
      </c>
      <c r="D405" s="44" t="str">
        <f>VLOOKUP(Estimate!$C405,Resources!$B$3:$G$336,4,FALSE)</f>
        <v xml:space="preserve">hr   </v>
      </c>
      <c r="E405" s="44" t="str">
        <f>VLOOKUP(Estimate!$C405,Resources!$B$3:$G$336,3,FALSE)</f>
        <v>P</v>
      </c>
      <c r="F405" s="52">
        <v>1</v>
      </c>
      <c r="G405" s="12">
        <f>G403</f>
        <v>6.6669999999999998</v>
      </c>
      <c r="H405" s="12">
        <f>H398</f>
        <v>46.8</v>
      </c>
      <c r="I405" s="12">
        <f>VLOOKUP(C405,Resources!$B$3:$G$336,6,FALSE)</f>
        <v>15</v>
      </c>
      <c r="J405" s="12">
        <f>(H405/(G405/F405))*I405</f>
        <v>105.29473526323683</v>
      </c>
      <c r="K405" s="90">
        <f>L405*F405</f>
        <v>7.0196490175491224</v>
      </c>
      <c r="L405" s="90">
        <f>IF(E405="M"," ",H405/G405)</f>
        <v>7.0196490175491224</v>
      </c>
      <c r="M405" s="16">
        <f>IF($E405="L",$J405,0)</f>
        <v>0</v>
      </c>
      <c r="N405" s="16">
        <f>IF($E405="M",$J405,0)</f>
        <v>0</v>
      </c>
      <c r="O405" s="16">
        <f>IF($E405="P",$J405,0)</f>
        <v>105.29473526323683</v>
      </c>
      <c r="P405" s="16">
        <f>IF($E405="S",$J405,0)</f>
        <v>0</v>
      </c>
      <c r="Q405" s="16">
        <f>SUM(M405:P405)</f>
        <v>105.29473526323683</v>
      </c>
      <c r="R405" s="118">
        <v>81</v>
      </c>
    </row>
    <row r="406" spans="1:18" outlineLevel="1" x14ac:dyDescent="0.5">
      <c r="A406" s="132" t="s">
        <v>448</v>
      </c>
      <c r="B406" s="1"/>
      <c r="C406" s="2"/>
      <c r="D406" s="1"/>
      <c r="E406" s="45"/>
      <c r="F406" s="53"/>
      <c r="G406" s="11"/>
      <c r="H406" s="11"/>
      <c r="I406" s="11"/>
      <c r="J406" s="11"/>
      <c r="K406" s="91"/>
      <c r="L406" s="91"/>
      <c r="M406" s="13"/>
      <c r="N406" s="13"/>
      <c r="O406" s="13"/>
      <c r="P406" s="13"/>
      <c r="Q406" s="13"/>
      <c r="R406" s="119"/>
    </row>
    <row r="407" spans="1:18" ht="21" x14ac:dyDescent="0.5">
      <c r="A407" s="130">
        <v>84</v>
      </c>
      <c r="B407" s="7" t="s">
        <v>182</v>
      </c>
      <c r="C407" s="7" t="s">
        <v>183</v>
      </c>
      <c r="D407" s="8" t="s">
        <v>25</v>
      </c>
      <c r="E407" s="43"/>
      <c r="F407" s="51"/>
      <c r="G407" s="9"/>
      <c r="H407" s="129">
        <f>VLOOKUP($A407,'Model Inputs'!$A:$D,4)</f>
        <v>20.399999999999999</v>
      </c>
      <c r="I407" s="9">
        <f>J407/H407</f>
        <v>141.65802009899505</v>
      </c>
      <c r="J407" s="9">
        <f>SUBTOTAL(9,J409:J414)</f>
        <v>2889.823610019499</v>
      </c>
      <c r="K407" s="89"/>
      <c r="L407" s="89">
        <f>ROUNDUP(MAX(L412:L414)/workhrs,0)</f>
        <v>1</v>
      </c>
      <c r="M407" s="9">
        <f>SUBTOTAL(9,M409:M414)</f>
        <v>348.82255887205639</v>
      </c>
      <c r="N407" s="9">
        <f>SUBTOTAL(9,N409:N414)</f>
        <v>2082.0239999999999</v>
      </c>
      <c r="O407" s="9">
        <f>SUBTOTAL(9,O409:O414)</f>
        <v>458.97705114744264</v>
      </c>
      <c r="P407" s="9">
        <f>SUBTOTAL(9,P409:P414)</f>
        <v>0</v>
      </c>
      <c r="Q407" s="10">
        <f>SUM(M407:P407)</f>
        <v>2889.823610019499</v>
      </c>
      <c r="R407" s="117"/>
    </row>
    <row r="408" spans="1:18" outlineLevel="1" x14ac:dyDescent="0.5">
      <c r="A408" s="132" t="s">
        <v>448</v>
      </c>
      <c r="B408" s="1">
        <v>1</v>
      </c>
      <c r="C408" s="2" t="s">
        <v>635</v>
      </c>
      <c r="D408" s="1"/>
      <c r="E408" s="45"/>
      <c r="F408" s="53"/>
      <c r="G408" s="11"/>
      <c r="H408" s="11"/>
      <c r="I408" s="11"/>
      <c r="J408" s="11"/>
      <c r="K408" s="91"/>
      <c r="L408" s="91"/>
      <c r="M408" s="13"/>
      <c r="N408" s="13"/>
      <c r="O408" s="13"/>
      <c r="P408" s="13"/>
      <c r="Q408" s="13"/>
      <c r="R408" s="119"/>
    </row>
    <row r="409" spans="1:18" outlineLevel="1" x14ac:dyDescent="0.5">
      <c r="A409" s="131" t="s">
        <v>448</v>
      </c>
      <c r="B409" s="14">
        <v>2</v>
      </c>
      <c r="C409" s="15" t="s">
        <v>184</v>
      </c>
      <c r="D409" s="44" t="str">
        <f>VLOOKUP(Estimate!$C409,Resources!$B$3:$G$336,4,FALSE)</f>
        <v xml:space="preserve">m    </v>
      </c>
      <c r="E409" s="44" t="str">
        <f>VLOOKUP(Estimate!$C409,Resources!$B$3:$G$336,3,FALSE)</f>
        <v>M</v>
      </c>
      <c r="F409" s="52">
        <v>1</v>
      </c>
      <c r="G409" s="12">
        <v>1</v>
      </c>
      <c r="H409" s="12">
        <f>H407</f>
        <v>20.399999999999999</v>
      </c>
      <c r="I409" s="12">
        <f>VLOOKUP(C409,Resources!$B$3:$G$336,6,FALSE)</f>
        <v>76.930000000000007</v>
      </c>
      <c r="J409" s="12">
        <f>(H409/(G409/F409))*I409</f>
        <v>1569.3720000000001</v>
      </c>
      <c r="K409" s="90"/>
      <c r="L409" s="90" t="str">
        <f>IF(E409="M"," ",H409/G409)</f>
        <v xml:space="preserve"> </v>
      </c>
      <c r="M409" s="16">
        <f>IF($E409="L",$J409,0)</f>
        <v>0</v>
      </c>
      <c r="N409" s="16">
        <f>IF($E409="M",$J409,0)</f>
        <v>1569.3720000000001</v>
      </c>
      <c r="O409" s="16">
        <f>IF($E409="P",$J409,0)</f>
        <v>0</v>
      </c>
      <c r="P409" s="16">
        <f>IF($E409="S",$J409,0)</f>
        <v>0</v>
      </c>
      <c r="Q409" s="16">
        <f>SUM(M409:P409)</f>
        <v>1569.3720000000001</v>
      </c>
      <c r="R409" s="118" t="s">
        <v>960</v>
      </c>
    </row>
    <row r="410" spans="1:18" outlineLevel="1" x14ac:dyDescent="0.5">
      <c r="A410" s="131" t="s">
        <v>448</v>
      </c>
      <c r="B410" s="14">
        <v>3</v>
      </c>
      <c r="C410" s="15" t="s">
        <v>73</v>
      </c>
      <c r="D410" s="44" t="str">
        <f>VLOOKUP(Estimate!$C410,Resources!$B$3:$G$336,4,FALSE)</f>
        <v>tonne</v>
      </c>
      <c r="E410" s="44" t="str">
        <f>VLOOKUP(Estimate!$C410,Resources!$B$3:$G$336,3,FALSE)</f>
        <v>M</v>
      </c>
      <c r="F410" s="52">
        <v>1</v>
      </c>
      <c r="G410" s="12">
        <v>1</v>
      </c>
      <c r="H410" s="12">
        <f>H407*1.4</f>
        <v>28.559999999999995</v>
      </c>
      <c r="I410" s="12">
        <f>VLOOKUP(C410,Resources!$B$3:$G$336,6,FALSE)</f>
        <v>17.95</v>
      </c>
      <c r="J410" s="12">
        <f>(H410/(G410/F410))*I410</f>
        <v>512.65199999999993</v>
      </c>
      <c r="K410" s="90"/>
      <c r="L410" s="90" t="str">
        <f>IF(E410="M"," ",H410/G410)</f>
        <v xml:space="preserve"> </v>
      </c>
      <c r="M410" s="16">
        <f>IF($E410="L",$J410,0)</f>
        <v>0</v>
      </c>
      <c r="N410" s="16">
        <f>IF($E410="M",$J410,0)</f>
        <v>512.65199999999993</v>
      </c>
      <c r="O410" s="16">
        <f>IF($E410="P",$J410,0)</f>
        <v>0</v>
      </c>
      <c r="P410" s="16">
        <f>IF($E410="S",$J410,0)</f>
        <v>0</v>
      </c>
      <c r="Q410" s="16">
        <f>SUM(M410:P410)</f>
        <v>512.65199999999993</v>
      </c>
      <c r="R410" s="118" t="s">
        <v>945</v>
      </c>
    </row>
    <row r="411" spans="1:18" outlineLevel="1" x14ac:dyDescent="0.5">
      <c r="A411" s="132" t="s">
        <v>448</v>
      </c>
      <c r="B411" s="1">
        <v>4</v>
      </c>
      <c r="C411" s="2" t="s">
        <v>639</v>
      </c>
      <c r="D411" s="1"/>
      <c r="E411" s="45"/>
      <c r="F411" s="53"/>
      <c r="G411" s="11"/>
      <c r="H411" s="11"/>
      <c r="I411" s="11"/>
      <c r="J411" s="11"/>
      <c r="K411" s="91"/>
      <c r="L411" s="91"/>
      <c r="M411" s="11"/>
      <c r="N411" s="13"/>
      <c r="O411" s="13"/>
      <c r="P411" s="13"/>
      <c r="Q411" s="13"/>
      <c r="R411" s="119"/>
    </row>
    <row r="412" spans="1:18" outlineLevel="1" x14ac:dyDescent="0.5">
      <c r="A412" s="131">
        <v>84.1</v>
      </c>
      <c r="B412" s="14">
        <v>5</v>
      </c>
      <c r="C412" s="15" t="s">
        <v>55</v>
      </c>
      <c r="D412" s="44" t="str">
        <f>VLOOKUP(Estimate!$C412,Resources!$B$3:$G$336,4,FALSE)</f>
        <v xml:space="preserve">hr   </v>
      </c>
      <c r="E412" s="44" t="str">
        <f>VLOOKUP(Estimate!$C412,Resources!$B$3:$G$336,3,FALSE)</f>
        <v>P</v>
      </c>
      <c r="F412" s="52">
        <v>1</v>
      </c>
      <c r="G412" s="129">
        <f>VLOOKUP($A412,'Model Inputs'!$A:$D,4)</f>
        <v>6.6669999999999998</v>
      </c>
      <c r="H412" s="12">
        <f>H407</f>
        <v>20.399999999999999</v>
      </c>
      <c r="I412" s="12">
        <f>VLOOKUP(C412,Resources!$B$3:$G$336,6,FALSE)</f>
        <v>135</v>
      </c>
      <c r="J412" s="12">
        <f>(H412/(G412/F412))*I412</f>
        <v>413.07934603269837</v>
      </c>
      <c r="K412" s="90">
        <f>L412*F412</f>
        <v>3.0598470076496174</v>
      </c>
      <c r="L412" s="90">
        <f>IF(E412="M"," ",H412/G412)</f>
        <v>3.0598470076496174</v>
      </c>
      <c r="M412" s="16">
        <f>IF($E412="L",$J412,0)</f>
        <v>0</v>
      </c>
      <c r="N412" s="16">
        <f>IF($E412="M",$J412,0)</f>
        <v>0</v>
      </c>
      <c r="O412" s="16">
        <f>IF($E412="P",$J412,0)</f>
        <v>413.07934603269837</v>
      </c>
      <c r="P412" s="16">
        <f>IF($E412="S",$J412,0)</f>
        <v>0</v>
      </c>
      <c r="Q412" s="16">
        <f>SUM(M412:P412)</f>
        <v>413.07934603269837</v>
      </c>
      <c r="R412" s="118">
        <v>81</v>
      </c>
    </row>
    <row r="413" spans="1:18" outlineLevel="1" x14ac:dyDescent="0.5">
      <c r="A413" s="131" t="s">
        <v>448</v>
      </c>
      <c r="B413" s="14">
        <v>6</v>
      </c>
      <c r="C413" s="15" t="s">
        <v>7</v>
      </c>
      <c r="D413" s="44" t="str">
        <f>VLOOKUP(Estimate!$C413,Resources!$B$3:$G$336,4,FALSE)</f>
        <v xml:space="preserve">hr   </v>
      </c>
      <c r="E413" s="44" t="str">
        <f>VLOOKUP(Estimate!$C413,Resources!$B$3:$G$336,3,FALSE)</f>
        <v>L</v>
      </c>
      <c r="F413" s="52">
        <v>3</v>
      </c>
      <c r="G413" s="12">
        <f>G412</f>
        <v>6.6669999999999998</v>
      </c>
      <c r="H413" s="12">
        <f>H407</f>
        <v>20.399999999999999</v>
      </c>
      <c r="I413" s="12">
        <f>VLOOKUP(C413,Resources!$B$3:$G$336,6,FALSE)</f>
        <v>38</v>
      </c>
      <c r="J413" s="12">
        <f>(H413/(G413/F413))*I413</f>
        <v>348.82255887205639</v>
      </c>
      <c r="K413" s="90">
        <f>L413*F413</f>
        <v>9.1795410229488521</v>
      </c>
      <c r="L413" s="90">
        <f>IF(E413="M"," ",H413/G413)</f>
        <v>3.0598470076496174</v>
      </c>
      <c r="M413" s="16">
        <f>IF($E413="L",$J413,0)</f>
        <v>348.82255887205639</v>
      </c>
      <c r="N413" s="16">
        <f>IF($E413="M",$J413,0)</f>
        <v>0</v>
      </c>
      <c r="O413" s="16">
        <f>IF($E413="P",$J413,0)</f>
        <v>0</v>
      </c>
      <c r="P413" s="16">
        <f>IF($E413="S",$J413,0)</f>
        <v>0</v>
      </c>
      <c r="Q413" s="16">
        <f>SUM(M413:P413)</f>
        <v>348.82255887205639</v>
      </c>
      <c r="R413" s="118">
        <v>81</v>
      </c>
    </row>
    <row r="414" spans="1:18" outlineLevel="1" x14ac:dyDescent="0.5">
      <c r="A414" s="131" t="s">
        <v>448</v>
      </c>
      <c r="B414" s="14">
        <v>7</v>
      </c>
      <c r="C414" s="15" t="s">
        <v>179</v>
      </c>
      <c r="D414" s="44" t="str">
        <f>VLOOKUP(Estimate!$C414,Resources!$B$3:$G$336,4,FALSE)</f>
        <v xml:space="preserve">hr   </v>
      </c>
      <c r="E414" s="44" t="str">
        <f>VLOOKUP(Estimate!$C414,Resources!$B$3:$G$336,3,FALSE)</f>
        <v>P</v>
      </c>
      <c r="F414" s="52">
        <v>1</v>
      </c>
      <c r="G414" s="12">
        <f>G412</f>
        <v>6.6669999999999998</v>
      </c>
      <c r="H414" s="12">
        <f>H407</f>
        <v>20.399999999999999</v>
      </c>
      <c r="I414" s="12">
        <f>VLOOKUP(C414,Resources!$B$3:$G$336,6,FALSE)</f>
        <v>15</v>
      </c>
      <c r="J414" s="12">
        <f>(H414/(G414/F414))*I414</f>
        <v>45.897705114744262</v>
      </c>
      <c r="K414" s="90">
        <f>L414*F414</f>
        <v>3.0598470076496174</v>
      </c>
      <c r="L414" s="90">
        <f>IF(E414="M"," ",H414/G414)</f>
        <v>3.0598470076496174</v>
      </c>
      <c r="M414" s="16">
        <f>IF($E414="L",$J414,0)</f>
        <v>0</v>
      </c>
      <c r="N414" s="16">
        <f>IF($E414="M",$J414,0)</f>
        <v>0</v>
      </c>
      <c r="O414" s="16">
        <f>IF($E414="P",$J414,0)</f>
        <v>45.897705114744262</v>
      </c>
      <c r="P414" s="16">
        <f>IF($E414="S",$J414,0)</f>
        <v>0</v>
      </c>
      <c r="Q414" s="16">
        <f>SUM(M414:P414)</f>
        <v>45.897705114744262</v>
      </c>
      <c r="R414" s="118">
        <v>81</v>
      </c>
    </row>
    <row r="415" spans="1:18" outlineLevel="1" x14ac:dyDescent="0.5">
      <c r="A415" s="132" t="s">
        <v>448</v>
      </c>
      <c r="B415" s="1"/>
      <c r="C415" s="2"/>
      <c r="D415" s="1"/>
      <c r="E415" s="45"/>
      <c r="F415" s="53"/>
      <c r="G415" s="11"/>
      <c r="H415" s="11"/>
      <c r="I415" s="11"/>
      <c r="J415" s="11"/>
      <c r="K415" s="91"/>
      <c r="L415" s="91"/>
      <c r="M415" s="13"/>
      <c r="N415" s="13"/>
      <c r="O415" s="13"/>
      <c r="P415" s="13"/>
      <c r="Q415" s="13"/>
      <c r="R415" s="119"/>
    </row>
    <row r="416" spans="1:18" ht="21" x14ac:dyDescent="0.5">
      <c r="A416" s="130">
        <v>85</v>
      </c>
      <c r="B416" s="7" t="s">
        <v>185</v>
      </c>
      <c r="C416" s="7" t="s">
        <v>186</v>
      </c>
      <c r="D416" s="8" t="s">
        <v>25</v>
      </c>
      <c r="E416" s="43"/>
      <c r="F416" s="51"/>
      <c r="G416" s="9"/>
      <c r="H416" s="129">
        <f>VLOOKUP($A416,'Model Inputs'!$A:$D,4)</f>
        <v>21.6</v>
      </c>
      <c r="I416" s="9">
        <f>J416/H416</f>
        <v>179.78802009899505</v>
      </c>
      <c r="J416" s="9">
        <f>SUBTOTAL(9,J418:J423)</f>
        <v>3883.4212341382936</v>
      </c>
      <c r="K416" s="89"/>
      <c r="L416" s="89">
        <f>ROUNDUP(MAX(L421:L423)/workhrs,0)</f>
        <v>1</v>
      </c>
      <c r="M416" s="9">
        <f>SUBTOTAL(9,M418:M423)</f>
        <v>369.34153292335384</v>
      </c>
      <c r="N416" s="9">
        <f>SUBTOTAL(9,N418:N423)</f>
        <v>3028.1040000000003</v>
      </c>
      <c r="O416" s="9">
        <f>SUBTOTAL(9,O418:O423)</f>
        <v>485.97570121493936</v>
      </c>
      <c r="P416" s="9">
        <f>SUBTOTAL(9,P418:P423)</f>
        <v>0</v>
      </c>
      <c r="Q416" s="10">
        <f>SUM(M416:P416)</f>
        <v>3883.4212341382936</v>
      </c>
      <c r="R416" s="117"/>
    </row>
    <row r="417" spans="1:18" outlineLevel="1" x14ac:dyDescent="0.5">
      <c r="A417" s="132" t="s">
        <v>448</v>
      </c>
      <c r="B417" s="1">
        <v>1</v>
      </c>
      <c r="C417" s="2" t="s">
        <v>635</v>
      </c>
      <c r="D417" s="1"/>
      <c r="E417" s="45"/>
      <c r="F417" s="53"/>
      <c r="G417" s="11"/>
      <c r="H417" s="11"/>
      <c r="I417" s="11"/>
      <c r="J417" s="11"/>
      <c r="K417" s="91"/>
      <c r="L417" s="91"/>
      <c r="M417" s="13"/>
      <c r="N417" s="13"/>
      <c r="O417" s="13"/>
      <c r="P417" s="13"/>
      <c r="Q417" s="13"/>
      <c r="R417" s="119"/>
    </row>
    <row r="418" spans="1:18" outlineLevel="1" x14ac:dyDescent="0.5">
      <c r="A418" s="131" t="s">
        <v>448</v>
      </c>
      <c r="B418" s="14">
        <v>2</v>
      </c>
      <c r="C418" s="15" t="s">
        <v>701</v>
      </c>
      <c r="D418" s="44" t="str">
        <f>VLOOKUP(Estimate!$C418,Resources!$B$3:$G$336,4,FALSE)</f>
        <v xml:space="preserve">m    </v>
      </c>
      <c r="E418" s="44" t="str">
        <f>VLOOKUP(Estimate!$C418,Resources!$B$3:$G$336,3,FALSE)</f>
        <v>M</v>
      </c>
      <c r="F418" s="52">
        <v>1</v>
      </c>
      <c r="G418" s="12">
        <v>1</v>
      </c>
      <c r="H418" s="12">
        <f>H416</f>
        <v>21.6</v>
      </c>
      <c r="I418" s="12">
        <f>VLOOKUP(C418,Resources!$B$3:$G$336,6,FALSE)</f>
        <v>115.06</v>
      </c>
      <c r="J418" s="12">
        <f>(H418/(G418/F418))*I418</f>
        <v>2485.2960000000003</v>
      </c>
      <c r="K418" s="90"/>
      <c r="L418" s="90" t="str">
        <f>IF(E418="M"," ",H418/G418)</f>
        <v xml:space="preserve"> </v>
      </c>
      <c r="M418" s="16">
        <f>IF($E418="L",$J418,0)</f>
        <v>0</v>
      </c>
      <c r="N418" s="16">
        <f>IF($E418="M",$J418,0)</f>
        <v>2485.2960000000003</v>
      </c>
      <c r="O418" s="16">
        <f>IF($E418="P",$J418,0)</f>
        <v>0</v>
      </c>
      <c r="P418" s="16">
        <f>IF($E418="S",$J418,0)</f>
        <v>0</v>
      </c>
      <c r="Q418" s="16">
        <f>SUM(M418:P418)</f>
        <v>2485.2960000000003</v>
      </c>
      <c r="R418" s="118" t="s">
        <v>960</v>
      </c>
    </row>
    <row r="419" spans="1:18" outlineLevel="1" x14ac:dyDescent="0.5">
      <c r="A419" s="131" t="s">
        <v>448</v>
      </c>
      <c r="B419" s="14">
        <v>3</v>
      </c>
      <c r="C419" s="15" t="s">
        <v>73</v>
      </c>
      <c r="D419" s="44" t="str">
        <f>VLOOKUP(Estimate!$C419,Resources!$B$3:$G$336,4,FALSE)</f>
        <v>tonne</v>
      </c>
      <c r="E419" s="44" t="str">
        <f>VLOOKUP(Estimate!$C419,Resources!$B$3:$G$336,3,FALSE)</f>
        <v>M</v>
      </c>
      <c r="F419" s="52">
        <v>1</v>
      </c>
      <c r="G419" s="12">
        <v>1</v>
      </c>
      <c r="H419" s="12">
        <f>H416*1.4</f>
        <v>30.24</v>
      </c>
      <c r="I419" s="12">
        <f>VLOOKUP(C419,Resources!$B$3:$G$336,6,FALSE)</f>
        <v>17.95</v>
      </c>
      <c r="J419" s="12">
        <f>(H419/(G419/F419))*I419</f>
        <v>542.80799999999999</v>
      </c>
      <c r="K419" s="90"/>
      <c r="L419" s="90" t="str">
        <f>IF(E419="M"," ",H419/G419)</f>
        <v xml:space="preserve"> </v>
      </c>
      <c r="M419" s="16">
        <f>IF($E419="L",$J419,0)</f>
        <v>0</v>
      </c>
      <c r="N419" s="16">
        <f>IF($E419="M",$J419,0)</f>
        <v>542.80799999999999</v>
      </c>
      <c r="O419" s="16">
        <f>IF($E419="P",$J419,0)</f>
        <v>0</v>
      </c>
      <c r="P419" s="16">
        <f>IF($E419="S",$J419,0)</f>
        <v>0</v>
      </c>
      <c r="Q419" s="16">
        <f>SUM(M419:P419)</f>
        <v>542.80799999999999</v>
      </c>
      <c r="R419" s="118" t="s">
        <v>945</v>
      </c>
    </row>
    <row r="420" spans="1:18" outlineLevel="1" x14ac:dyDescent="0.5">
      <c r="A420" s="132" t="s">
        <v>448</v>
      </c>
      <c r="B420" s="1">
        <v>4</v>
      </c>
      <c r="C420" s="2" t="s">
        <v>639</v>
      </c>
      <c r="D420" s="1"/>
      <c r="E420" s="45"/>
      <c r="F420" s="53"/>
      <c r="G420" s="11"/>
      <c r="H420" s="11"/>
      <c r="I420" s="11"/>
      <c r="J420" s="11"/>
      <c r="K420" s="91"/>
      <c r="L420" s="91"/>
      <c r="M420" s="13"/>
      <c r="N420" s="13"/>
      <c r="O420" s="13"/>
      <c r="P420" s="13"/>
      <c r="Q420" s="13"/>
      <c r="R420" s="119"/>
    </row>
    <row r="421" spans="1:18" outlineLevel="1" x14ac:dyDescent="0.5">
      <c r="A421" s="131">
        <v>85.1</v>
      </c>
      <c r="B421" s="14">
        <v>5</v>
      </c>
      <c r="C421" s="15" t="s">
        <v>55</v>
      </c>
      <c r="D421" s="44" t="str">
        <f>VLOOKUP(Estimate!$C421,Resources!$B$3:$G$336,4,FALSE)</f>
        <v xml:space="preserve">hr   </v>
      </c>
      <c r="E421" s="44" t="str">
        <f>VLOOKUP(Estimate!$C421,Resources!$B$3:$G$336,3,FALSE)</f>
        <v>P</v>
      </c>
      <c r="F421" s="52">
        <v>1</v>
      </c>
      <c r="G421" s="129">
        <f>VLOOKUP($A421,'Model Inputs'!$A:$D,4)</f>
        <v>6.6669999999999998</v>
      </c>
      <c r="H421" s="12">
        <f>H416</f>
        <v>21.6</v>
      </c>
      <c r="I421" s="12">
        <f>VLOOKUP(C421,Resources!$B$3:$G$336,6,FALSE)</f>
        <v>135</v>
      </c>
      <c r="J421" s="12">
        <f>(H421/(G421/F421))*I421</f>
        <v>437.3781310934454</v>
      </c>
      <c r="K421" s="90">
        <f>L421*F421</f>
        <v>3.2398380080995954</v>
      </c>
      <c r="L421" s="90">
        <f>IF(E421="M"," ",H421/G421)</f>
        <v>3.2398380080995954</v>
      </c>
      <c r="M421" s="16">
        <f>IF($E421="L",$J421,0)</f>
        <v>0</v>
      </c>
      <c r="N421" s="16">
        <f>IF($E421="M",$J421,0)</f>
        <v>0</v>
      </c>
      <c r="O421" s="16">
        <f>IF($E421="P",$J421,0)</f>
        <v>437.3781310934454</v>
      </c>
      <c r="P421" s="16">
        <f>IF($E421="S",$J421,0)</f>
        <v>0</v>
      </c>
      <c r="Q421" s="16">
        <f>SUM(M421:P421)</f>
        <v>437.3781310934454</v>
      </c>
      <c r="R421" s="118">
        <v>81</v>
      </c>
    </row>
    <row r="422" spans="1:18" outlineLevel="1" x14ac:dyDescent="0.5">
      <c r="A422" s="131" t="s">
        <v>448</v>
      </c>
      <c r="B422" s="14">
        <v>6</v>
      </c>
      <c r="C422" s="15" t="s">
        <v>7</v>
      </c>
      <c r="D422" s="44" t="str">
        <f>VLOOKUP(Estimate!$C422,Resources!$B$3:$G$336,4,FALSE)</f>
        <v xml:space="preserve">hr   </v>
      </c>
      <c r="E422" s="44" t="str">
        <f>VLOOKUP(Estimate!$C422,Resources!$B$3:$G$336,3,FALSE)</f>
        <v>L</v>
      </c>
      <c r="F422" s="52">
        <v>3</v>
      </c>
      <c r="G422" s="12">
        <f>G421</f>
        <v>6.6669999999999998</v>
      </c>
      <c r="H422" s="12">
        <f>H416</f>
        <v>21.6</v>
      </c>
      <c r="I422" s="12">
        <f>VLOOKUP(C422,Resources!$B$3:$G$336,6,FALSE)</f>
        <v>38</v>
      </c>
      <c r="J422" s="12">
        <f>(H422/(G422/F422))*I422</f>
        <v>369.34153292335384</v>
      </c>
      <c r="K422" s="90">
        <f>L422*F422</f>
        <v>9.7195140242987854</v>
      </c>
      <c r="L422" s="90">
        <f>IF(E422="M"," ",H422/G422)</f>
        <v>3.2398380080995954</v>
      </c>
      <c r="M422" s="16">
        <f>IF($E422="L",$J422,0)</f>
        <v>369.34153292335384</v>
      </c>
      <c r="N422" s="16">
        <f>IF($E422="M",$J422,0)</f>
        <v>0</v>
      </c>
      <c r="O422" s="16">
        <f>IF($E422="P",$J422,0)</f>
        <v>0</v>
      </c>
      <c r="P422" s="16">
        <f>IF($E422="S",$J422,0)</f>
        <v>0</v>
      </c>
      <c r="Q422" s="16">
        <f>SUM(M422:P422)</f>
        <v>369.34153292335384</v>
      </c>
      <c r="R422" s="118">
        <v>81</v>
      </c>
    </row>
    <row r="423" spans="1:18" outlineLevel="1" x14ac:dyDescent="0.5">
      <c r="A423" s="131" t="s">
        <v>448</v>
      </c>
      <c r="B423" s="14">
        <v>7</v>
      </c>
      <c r="C423" s="15" t="s">
        <v>179</v>
      </c>
      <c r="D423" s="44" t="str">
        <f>VLOOKUP(Estimate!$C423,Resources!$B$3:$G$336,4,FALSE)</f>
        <v xml:space="preserve">hr   </v>
      </c>
      <c r="E423" s="44" t="str">
        <f>VLOOKUP(Estimate!$C423,Resources!$B$3:$G$336,3,FALSE)</f>
        <v>P</v>
      </c>
      <c r="F423" s="52">
        <v>1</v>
      </c>
      <c r="G423" s="12">
        <f>G421</f>
        <v>6.6669999999999998</v>
      </c>
      <c r="H423" s="12">
        <f>H416</f>
        <v>21.6</v>
      </c>
      <c r="I423" s="12">
        <f>VLOOKUP(C423,Resources!$B$3:$G$336,6,FALSE)</f>
        <v>15</v>
      </c>
      <c r="J423" s="12">
        <f>(H423/(G423/F423))*I423</f>
        <v>48.597570121493931</v>
      </c>
      <c r="K423" s="90">
        <f>L423*F423</f>
        <v>3.2398380080995954</v>
      </c>
      <c r="L423" s="90">
        <f>IF(E423="M"," ",H423/G423)</f>
        <v>3.2398380080995954</v>
      </c>
      <c r="M423" s="16">
        <f>IF($E423="L",$J423,0)</f>
        <v>0</v>
      </c>
      <c r="N423" s="16">
        <f>IF($E423="M",$J423,0)</f>
        <v>0</v>
      </c>
      <c r="O423" s="16">
        <f>IF($E423="P",$J423,0)</f>
        <v>48.597570121493931</v>
      </c>
      <c r="P423" s="16">
        <f>IF($E423="S",$J423,0)</f>
        <v>0</v>
      </c>
      <c r="Q423" s="16">
        <f>SUM(M423:P423)</f>
        <v>48.597570121493931</v>
      </c>
      <c r="R423" s="118">
        <v>81</v>
      </c>
    </row>
    <row r="424" spans="1:18" outlineLevel="1" x14ac:dyDescent="0.5">
      <c r="A424" s="132" t="s">
        <v>448</v>
      </c>
      <c r="B424" s="1"/>
      <c r="C424" s="2"/>
      <c r="D424" s="1"/>
      <c r="E424" s="45"/>
      <c r="F424" s="53"/>
      <c r="G424" s="11"/>
      <c r="H424" s="11"/>
      <c r="I424" s="11"/>
      <c r="J424" s="11"/>
      <c r="K424" s="91"/>
      <c r="L424" s="91"/>
      <c r="M424" s="13"/>
      <c r="N424" s="13"/>
      <c r="O424" s="13"/>
      <c r="P424" s="13"/>
      <c r="Q424" s="13"/>
      <c r="R424" s="119"/>
    </row>
    <row r="425" spans="1:18" x14ac:dyDescent="0.5">
      <c r="A425" s="132">
        <v>86</v>
      </c>
      <c r="B425" s="1"/>
      <c r="C425" s="5" t="s">
        <v>640</v>
      </c>
      <c r="D425" s="1"/>
      <c r="E425" s="45"/>
      <c r="F425" s="53"/>
      <c r="G425" s="11"/>
      <c r="H425" s="11"/>
      <c r="I425" s="11"/>
      <c r="J425" s="11"/>
      <c r="K425" s="91"/>
      <c r="L425" s="91"/>
      <c r="M425" s="13"/>
      <c r="N425" s="13"/>
      <c r="O425" s="13"/>
      <c r="P425" s="13"/>
      <c r="Q425" s="13"/>
      <c r="R425" s="119"/>
    </row>
    <row r="426" spans="1:18" x14ac:dyDescent="0.5">
      <c r="A426" s="132">
        <v>87</v>
      </c>
      <c r="B426" s="1"/>
      <c r="C426" s="5" t="s">
        <v>641</v>
      </c>
      <c r="D426" s="1"/>
      <c r="E426" s="45"/>
      <c r="F426" s="53"/>
      <c r="G426" s="11"/>
      <c r="H426" s="11"/>
      <c r="I426" s="11"/>
      <c r="J426" s="11"/>
      <c r="K426" s="91"/>
      <c r="L426" s="91"/>
      <c r="M426" s="13"/>
      <c r="N426" s="13"/>
      <c r="O426" s="13"/>
      <c r="P426" s="13"/>
      <c r="Q426" s="13"/>
      <c r="R426" s="119"/>
    </row>
    <row r="427" spans="1:18" ht="21" x14ac:dyDescent="0.5">
      <c r="A427" s="130">
        <v>88</v>
      </c>
      <c r="B427" s="7" t="s">
        <v>187</v>
      </c>
      <c r="C427" s="7" t="s">
        <v>188</v>
      </c>
      <c r="D427" s="8" t="s">
        <v>144</v>
      </c>
      <c r="E427" s="43"/>
      <c r="F427" s="51"/>
      <c r="G427" s="9"/>
      <c r="H427" s="129">
        <f>VLOOKUP($A427,'Model Inputs'!$A:$D,4)</f>
        <v>4</v>
      </c>
      <c r="I427" s="9">
        <f>J427/H427</f>
        <v>2954.2</v>
      </c>
      <c r="J427" s="9">
        <f>SUBTOTAL(9,J428:J435)</f>
        <v>11816.8</v>
      </c>
      <c r="K427" s="89"/>
      <c r="L427" s="89">
        <f>ROUNDUP(SUM(L431:L434)*H427/workhrs,0)</f>
        <v>19</v>
      </c>
      <c r="M427" s="9">
        <f>SUBTOTAL(9,M428:M435)</f>
        <v>6384</v>
      </c>
      <c r="N427" s="9">
        <f>SUBTOTAL(9,N428:N435)</f>
        <v>3452.8</v>
      </c>
      <c r="O427" s="9">
        <f>SUBTOTAL(9,O428:O435)</f>
        <v>1980</v>
      </c>
      <c r="P427" s="9">
        <f>SUBTOTAL(9,P428:P435)</f>
        <v>0</v>
      </c>
      <c r="Q427" s="10">
        <f t="shared" ref="Q427:Q435" si="26">SUM(M427:P427)</f>
        <v>11816.8</v>
      </c>
      <c r="R427" s="117"/>
    </row>
    <row r="428" spans="1:18" outlineLevel="1" x14ac:dyDescent="0.5">
      <c r="A428" s="131" t="s">
        <v>448</v>
      </c>
      <c r="B428" s="14">
        <v>1</v>
      </c>
      <c r="C428" s="15" t="s">
        <v>148</v>
      </c>
      <c r="D428" s="44" t="str">
        <f>VLOOKUP(Estimate!$C428,Resources!$B$3:$G$336,4,FALSE)</f>
        <v xml:space="preserve">m³   </v>
      </c>
      <c r="E428" s="44" t="str">
        <f>VLOOKUP(Estimate!$C428,Resources!$B$3:$G$336,3,FALSE)</f>
        <v>M</v>
      </c>
      <c r="F428" s="52">
        <f>H427</f>
        <v>4</v>
      </c>
      <c r="G428" s="12">
        <v>1</v>
      </c>
      <c r="H428" s="12">
        <v>1</v>
      </c>
      <c r="I428" s="12">
        <f>VLOOKUP(C428,Resources!$B$3:$G$336,6,FALSE)</f>
        <v>167.2</v>
      </c>
      <c r="J428" s="12">
        <f>(H428/(G428/F428))*I428</f>
        <v>668.8</v>
      </c>
      <c r="K428" s="90"/>
      <c r="L428" s="90" t="str">
        <f t="shared" ref="L428:L435" si="27">IF(E428="M"," ",H428/G428)</f>
        <v xml:space="preserve"> </v>
      </c>
      <c r="M428" s="16">
        <f t="shared" ref="M428:M435" si="28">IF($E428="L",$J428,0)</f>
        <v>0</v>
      </c>
      <c r="N428" s="16">
        <f t="shared" ref="N428:N435" si="29">IF($E428="M",$J428,0)</f>
        <v>668.8</v>
      </c>
      <c r="O428" s="16">
        <f t="shared" ref="O428:O435" si="30">IF($E428="P",$J428,0)</f>
        <v>0</v>
      </c>
      <c r="P428" s="16">
        <f t="shared" ref="P428:P435" si="31">IF($E428="S",$J428,0)</f>
        <v>0</v>
      </c>
      <c r="Q428" s="16">
        <f t="shared" si="26"/>
        <v>668.8</v>
      </c>
      <c r="R428" s="118" t="s">
        <v>957</v>
      </c>
    </row>
    <row r="429" spans="1:18" outlineLevel="1" x14ac:dyDescent="0.5">
      <c r="A429" s="131" t="s">
        <v>448</v>
      </c>
      <c r="B429" s="14">
        <v>2</v>
      </c>
      <c r="C429" s="15" t="s">
        <v>828</v>
      </c>
      <c r="D429" s="44" t="str">
        <f>VLOOKUP(Estimate!$C429,Resources!$B$3:$G$336,4,FALSE)</f>
        <v xml:space="preserve">day  </v>
      </c>
      <c r="E429" s="44" t="str">
        <f>VLOOKUP(Estimate!$C429,Resources!$B$3:$G$336,3,FALSE)</f>
        <v>P</v>
      </c>
      <c r="F429" s="52">
        <f>F428</f>
        <v>4</v>
      </c>
      <c r="G429" s="12">
        <v>1</v>
      </c>
      <c r="H429" s="12">
        <v>3</v>
      </c>
      <c r="I429" s="12">
        <f>VLOOKUP(C429,Resources!$B$3:$G$336,6,FALSE)</f>
        <v>75</v>
      </c>
      <c r="J429" s="12">
        <f t="shared" ref="J429:J435" si="32">(H429/(G429/F429))*I429</f>
        <v>900</v>
      </c>
      <c r="K429" s="90"/>
      <c r="L429" s="90">
        <f t="shared" si="27"/>
        <v>3</v>
      </c>
      <c r="M429" s="16">
        <f t="shared" si="28"/>
        <v>0</v>
      </c>
      <c r="N429" s="16">
        <f t="shared" si="29"/>
        <v>0</v>
      </c>
      <c r="O429" s="16">
        <f t="shared" si="30"/>
        <v>900</v>
      </c>
      <c r="P429" s="16">
        <f t="shared" si="31"/>
        <v>0</v>
      </c>
      <c r="Q429" s="16">
        <f t="shared" si="26"/>
        <v>900</v>
      </c>
      <c r="R429" s="118">
        <v>85</v>
      </c>
    </row>
    <row r="430" spans="1:18" outlineLevel="1" x14ac:dyDescent="0.5">
      <c r="A430" s="131" t="s">
        <v>448</v>
      </c>
      <c r="B430" s="14">
        <v>3</v>
      </c>
      <c r="C430" s="15" t="s">
        <v>189</v>
      </c>
      <c r="D430" s="44" t="str">
        <f>VLOOKUP(Estimate!$C430,Resources!$B$3:$G$336,4,FALSE)</f>
        <v xml:space="preserve">each </v>
      </c>
      <c r="E430" s="44" t="str">
        <f>VLOOKUP(Estimate!$C430,Resources!$B$3:$G$336,3,FALSE)</f>
        <v>M</v>
      </c>
      <c r="F430" s="52">
        <f t="shared" ref="F430:F435" si="33">F429</f>
        <v>4</v>
      </c>
      <c r="G430" s="12">
        <v>1</v>
      </c>
      <c r="H430" s="12">
        <v>1</v>
      </c>
      <c r="I430" s="12">
        <f>VLOOKUP(C430,Resources!$B$3:$G$336,6,FALSE)</f>
        <v>696</v>
      </c>
      <c r="J430" s="12">
        <f t="shared" si="32"/>
        <v>2784</v>
      </c>
      <c r="K430" s="90"/>
      <c r="L430" s="90" t="str">
        <f t="shared" si="27"/>
        <v xml:space="preserve"> </v>
      </c>
      <c r="M430" s="16">
        <f t="shared" si="28"/>
        <v>0</v>
      </c>
      <c r="N430" s="16">
        <f t="shared" si="29"/>
        <v>2784</v>
      </c>
      <c r="O430" s="16">
        <f t="shared" si="30"/>
        <v>0</v>
      </c>
      <c r="P430" s="16">
        <f t="shared" si="31"/>
        <v>0</v>
      </c>
      <c r="Q430" s="16">
        <f t="shared" si="26"/>
        <v>2784</v>
      </c>
      <c r="R430" s="118" t="s">
        <v>961</v>
      </c>
    </row>
    <row r="431" spans="1:18" outlineLevel="1" x14ac:dyDescent="0.5">
      <c r="A431" s="131" t="s">
        <v>448</v>
      </c>
      <c r="B431" s="14">
        <v>4</v>
      </c>
      <c r="C431" s="15" t="s">
        <v>7</v>
      </c>
      <c r="D431" s="44" t="str">
        <f>VLOOKUP(Estimate!$C431,Resources!$B$3:$G$336,4,FALSE)</f>
        <v xml:space="preserve">hr   </v>
      </c>
      <c r="E431" s="44" t="str">
        <f>VLOOKUP(Estimate!$C431,Resources!$B$3:$G$336,3,FALSE)</f>
        <v>L</v>
      </c>
      <c r="F431" s="52">
        <f t="shared" si="33"/>
        <v>4</v>
      </c>
      <c r="G431" s="12">
        <v>1</v>
      </c>
      <c r="H431" s="12">
        <v>12</v>
      </c>
      <c r="I431" s="12">
        <f>VLOOKUP(C431,Resources!$B$3:$G$336,6,FALSE)</f>
        <v>38</v>
      </c>
      <c r="J431" s="12">
        <f t="shared" si="32"/>
        <v>1824</v>
      </c>
      <c r="K431" s="90">
        <f>L431*F431</f>
        <v>48</v>
      </c>
      <c r="L431" s="90">
        <f t="shared" si="27"/>
        <v>12</v>
      </c>
      <c r="M431" s="16">
        <f t="shared" si="28"/>
        <v>1824</v>
      </c>
      <c r="N431" s="16">
        <f t="shared" si="29"/>
        <v>0</v>
      </c>
      <c r="O431" s="16">
        <f t="shared" si="30"/>
        <v>0</v>
      </c>
      <c r="P431" s="16">
        <f t="shared" si="31"/>
        <v>0</v>
      </c>
      <c r="Q431" s="16">
        <f t="shared" si="26"/>
        <v>1824</v>
      </c>
      <c r="R431" s="118">
        <v>85</v>
      </c>
    </row>
    <row r="432" spans="1:18" outlineLevel="1" x14ac:dyDescent="0.5">
      <c r="A432" s="131" t="s">
        <v>448</v>
      </c>
      <c r="B432" s="14">
        <v>5</v>
      </c>
      <c r="C432" s="15" t="s">
        <v>7</v>
      </c>
      <c r="D432" s="44" t="str">
        <f>VLOOKUP(Estimate!$C432,Resources!$B$3:$G$336,4,FALSE)</f>
        <v xml:space="preserve">hr   </v>
      </c>
      <c r="E432" s="44" t="str">
        <f>VLOOKUP(Estimate!$C432,Resources!$B$3:$G$336,3,FALSE)</f>
        <v>L</v>
      </c>
      <c r="F432" s="52">
        <f t="shared" si="33"/>
        <v>4</v>
      </c>
      <c r="G432" s="12">
        <v>1</v>
      </c>
      <c r="H432" s="12">
        <v>6</v>
      </c>
      <c r="I432" s="12">
        <f>VLOOKUP(C432,Resources!$B$3:$G$336,6,FALSE)</f>
        <v>38</v>
      </c>
      <c r="J432" s="12">
        <f t="shared" si="32"/>
        <v>912</v>
      </c>
      <c r="K432" s="90">
        <f>L432*F432</f>
        <v>24</v>
      </c>
      <c r="L432" s="90">
        <f t="shared" si="27"/>
        <v>6</v>
      </c>
      <c r="M432" s="16">
        <f t="shared" si="28"/>
        <v>912</v>
      </c>
      <c r="N432" s="16">
        <f t="shared" si="29"/>
        <v>0</v>
      </c>
      <c r="O432" s="16">
        <f t="shared" si="30"/>
        <v>0</v>
      </c>
      <c r="P432" s="16">
        <f t="shared" si="31"/>
        <v>0</v>
      </c>
      <c r="Q432" s="16">
        <f t="shared" si="26"/>
        <v>912</v>
      </c>
      <c r="R432" s="118">
        <v>85</v>
      </c>
    </row>
    <row r="433" spans="1:18" outlineLevel="1" x14ac:dyDescent="0.5">
      <c r="A433" s="131" t="s">
        <v>448</v>
      </c>
      <c r="B433" s="14">
        <v>6</v>
      </c>
      <c r="C433" s="15" t="s">
        <v>7</v>
      </c>
      <c r="D433" s="44" t="str">
        <f>VLOOKUP(Estimate!$C433,Resources!$B$3:$G$336,4,FALSE)</f>
        <v xml:space="preserve">hr   </v>
      </c>
      <c r="E433" s="44" t="str">
        <f>VLOOKUP(Estimate!$C433,Resources!$B$3:$G$336,3,FALSE)</f>
        <v>L</v>
      </c>
      <c r="F433" s="52">
        <f t="shared" si="33"/>
        <v>4</v>
      </c>
      <c r="G433" s="12">
        <v>1</v>
      </c>
      <c r="H433" s="12">
        <v>6</v>
      </c>
      <c r="I433" s="12">
        <f>VLOOKUP(C433,Resources!$B$3:$G$336,6,FALSE)</f>
        <v>38</v>
      </c>
      <c r="J433" s="12">
        <f t="shared" si="32"/>
        <v>912</v>
      </c>
      <c r="K433" s="90">
        <f>L433*F433</f>
        <v>24</v>
      </c>
      <c r="L433" s="90">
        <f t="shared" si="27"/>
        <v>6</v>
      </c>
      <c r="M433" s="16">
        <f t="shared" si="28"/>
        <v>912</v>
      </c>
      <c r="N433" s="16">
        <f t="shared" si="29"/>
        <v>0</v>
      </c>
      <c r="O433" s="16">
        <f t="shared" si="30"/>
        <v>0</v>
      </c>
      <c r="P433" s="16">
        <f t="shared" si="31"/>
        <v>0</v>
      </c>
      <c r="Q433" s="16">
        <f t="shared" si="26"/>
        <v>912</v>
      </c>
      <c r="R433" s="118">
        <v>85</v>
      </c>
    </row>
    <row r="434" spans="1:18" outlineLevel="1" x14ac:dyDescent="0.5">
      <c r="A434" s="131" t="s">
        <v>448</v>
      </c>
      <c r="B434" s="14">
        <v>7</v>
      </c>
      <c r="C434" s="15" t="s">
        <v>7</v>
      </c>
      <c r="D434" s="44" t="str">
        <f>VLOOKUP(Estimate!$C434,Resources!$B$3:$G$336,4,FALSE)</f>
        <v xml:space="preserve">hr   </v>
      </c>
      <c r="E434" s="44" t="str">
        <f>VLOOKUP(Estimate!$C434,Resources!$B$3:$G$336,3,FALSE)</f>
        <v>L</v>
      </c>
      <c r="F434" s="52">
        <f t="shared" si="33"/>
        <v>4</v>
      </c>
      <c r="G434" s="12">
        <v>1</v>
      </c>
      <c r="H434" s="12">
        <v>18</v>
      </c>
      <c r="I434" s="12">
        <f>VLOOKUP(C434,Resources!$B$3:$G$336,6,FALSE)</f>
        <v>38</v>
      </c>
      <c r="J434" s="12">
        <f t="shared" si="32"/>
        <v>2736</v>
      </c>
      <c r="K434" s="90">
        <f>L434*F434</f>
        <v>72</v>
      </c>
      <c r="L434" s="90">
        <f t="shared" si="27"/>
        <v>18</v>
      </c>
      <c r="M434" s="16">
        <f t="shared" si="28"/>
        <v>2736</v>
      </c>
      <c r="N434" s="16">
        <f t="shared" si="29"/>
        <v>0</v>
      </c>
      <c r="O434" s="16">
        <f t="shared" si="30"/>
        <v>0</v>
      </c>
      <c r="P434" s="16">
        <f t="shared" si="31"/>
        <v>0</v>
      </c>
      <c r="Q434" s="16">
        <f t="shared" si="26"/>
        <v>2736</v>
      </c>
      <c r="R434" s="118">
        <v>85</v>
      </c>
    </row>
    <row r="435" spans="1:18" outlineLevel="1" x14ac:dyDescent="0.5">
      <c r="A435" s="131" t="s">
        <v>448</v>
      </c>
      <c r="B435" s="14">
        <v>8</v>
      </c>
      <c r="C435" s="15" t="s">
        <v>55</v>
      </c>
      <c r="D435" s="44" t="str">
        <f>VLOOKUP(Estimate!$C435,Resources!$B$3:$G$336,4,FALSE)</f>
        <v xml:space="preserve">hr   </v>
      </c>
      <c r="E435" s="44" t="str">
        <f>VLOOKUP(Estimate!$C435,Resources!$B$3:$G$336,3,FALSE)</f>
        <v>P</v>
      </c>
      <c r="F435" s="52">
        <f t="shared" si="33"/>
        <v>4</v>
      </c>
      <c r="G435" s="12">
        <v>1</v>
      </c>
      <c r="H435" s="12">
        <v>2</v>
      </c>
      <c r="I435" s="12">
        <f>VLOOKUP(C435,Resources!$B$3:$G$336,6,FALSE)</f>
        <v>135</v>
      </c>
      <c r="J435" s="12">
        <f t="shared" si="32"/>
        <v>1080</v>
      </c>
      <c r="K435" s="90">
        <f>L435*F435</f>
        <v>8</v>
      </c>
      <c r="L435" s="90">
        <f t="shared" si="27"/>
        <v>2</v>
      </c>
      <c r="M435" s="16">
        <f t="shared" si="28"/>
        <v>0</v>
      </c>
      <c r="N435" s="16">
        <f t="shared" si="29"/>
        <v>0</v>
      </c>
      <c r="O435" s="16">
        <f t="shared" si="30"/>
        <v>1080</v>
      </c>
      <c r="P435" s="16">
        <f t="shared" si="31"/>
        <v>0</v>
      </c>
      <c r="Q435" s="16">
        <f t="shared" si="26"/>
        <v>1080</v>
      </c>
      <c r="R435" s="118">
        <v>85</v>
      </c>
    </row>
    <row r="436" spans="1:18" outlineLevel="1" x14ac:dyDescent="0.5">
      <c r="A436" s="132" t="s">
        <v>448</v>
      </c>
      <c r="B436" s="1"/>
      <c r="C436" s="2"/>
      <c r="D436" s="1"/>
      <c r="E436" s="45"/>
      <c r="F436" s="53"/>
      <c r="G436" s="11"/>
      <c r="H436" s="11"/>
      <c r="I436" s="11"/>
      <c r="J436" s="11"/>
      <c r="K436" s="91"/>
      <c r="L436" s="91"/>
      <c r="M436" s="13"/>
      <c r="N436" s="13"/>
      <c r="O436" s="13"/>
      <c r="P436" s="13"/>
      <c r="Q436" s="13"/>
      <c r="R436" s="119"/>
    </row>
    <row r="437" spans="1:18" ht="21" x14ac:dyDescent="0.5">
      <c r="A437" s="130">
        <v>89</v>
      </c>
      <c r="B437" s="7" t="s">
        <v>190</v>
      </c>
      <c r="C437" s="7" t="s">
        <v>191</v>
      </c>
      <c r="D437" s="8" t="s">
        <v>144</v>
      </c>
      <c r="E437" s="43"/>
      <c r="F437" s="51"/>
      <c r="G437" s="9"/>
      <c r="H437" s="129">
        <f>VLOOKUP($A437,'Model Inputs'!$A:$D,4)</f>
        <v>9</v>
      </c>
      <c r="I437" s="9">
        <f>J437/H437</f>
        <v>1086.076</v>
      </c>
      <c r="J437" s="9">
        <f>SUBTOTAL(9,J438:J444)</f>
        <v>9774.6840000000011</v>
      </c>
      <c r="K437" s="89"/>
      <c r="L437" s="89">
        <f>ROUNDUP(SUM(L442:L444)*H437/workhrs,0)</f>
        <v>18</v>
      </c>
      <c r="M437" s="9">
        <f>SUBTOTAL(9,M438:M444)</f>
        <v>6156</v>
      </c>
      <c r="N437" s="9">
        <f>SUBTOTAL(9,N438:N444)</f>
        <v>3618.6840000000002</v>
      </c>
      <c r="O437" s="9">
        <f>SUBTOTAL(9,O438:O444)</f>
        <v>0</v>
      </c>
      <c r="P437" s="9">
        <f>SUBTOTAL(9,P438:P444)</f>
        <v>0</v>
      </c>
      <c r="Q437" s="10">
        <f t="shared" ref="Q437:Q444" si="34">SUM(M437:P437)</f>
        <v>9774.6840000000011</v>
      </c>
      <c r="R437" s="117"/>
    </row>
    <row r="438" spans="1:18" outlineLevel="1" x14ac:dyDescent="0.5">
      <c r="A438" s="131" t="s">
        <v>448</v>
      </c>
      <c r="B438" s="14">
        <v>1</v>
      </c>
      <c r="C438" s="15" t="s">
        <v>148</v>
      </c>
      <c r="D438" s="44" t="str">
        <f>VLOOKUP(Estimate!$C438,Resources!$B$3:$G$336,4,FALSE)</f>
        <v xml:space="preserve">m³   </v>
      </c>
      <c r="E438" s="44" t="str">
        <f>VLOOKUP(Estimate!$C438,Resources!$B$3:$G$336,3,FALSE)</f>
        <v>M</v>
      </c>
      <c r="F438" s="52">
        <f>H437</f>
        <v>9</v>
      </c>
      <c r="G438" s="12">
        <v>1</v>
      </c>
      <c r="H438" s="12">
        <v>1.23</v>
      </c>
      <c r="I438" s="12">
        <f>VLOOKUP(C438,Resources!$B$3:$G$336,6,FALSE)</f>
        <v>167.2</v>
      </c>
      <c r="J438" s="12">
        <f>(H438/(G438/F438))*I438</f>
        <v>1850.904</v>
      </c>
      <c r="K438" s="90"/>
      <c r="L438" s="90" t="str">
        <f t="shared" ref="L438:L444" si="35">IF(E438="M"," ",H438/G438)</f>
        <v xml:space="preserve"> </v>
      </c>
      <c r="M438" s="16">
        <f t="shared" ref="M438:M444" si="36">IF($E438="L",$J438,0)</f>
        <v>0</v>
      </c>
      <c r="N438" s="16">
        <f t="shared" ref="N438:N444" si="37">IF($E438="M",$J438,0)</f>
        <v>1850.904</v>
      </c>
      <c r="O438" s="16">
        <f t="shared" ref="O438:O444" si="38">IF($E438="P",$J438,0)</f>
        <v>0</v>
      </c>
      <c r="P438" s="16">
        <f t="shared" ref="P438:P444" si="39">IF($E438="S",$J438,0)</f>
        <v>0</v>
      </c>
      <c r="Q438" s="16">
        <f t="shared" si="34"/>
        <v>1850.904</v>
      </c>
      <c r="R438" s="118" t="s">
        <v>957</v>
      </c>
    </row>
    <row r="439" spans="1:18" outlineLevel="1" x14ac:dyDescent="0.5">
      <c r="A439" s="131" t="s">
        <v>448</v>
      </c>
      <c r="B439" s="14">
        <v>2</v>
      </c>
      <c r="C439" s="15" t="s">
        <v>149</v>
      </c>
      <c r="D439" s="44" t="str">
        <f>VLOOKUP(Estimate!$C439,Resources!$B$3:$G$336,4,FALSE)</f>
        <v xml:space="preserve">m²   </v>
      </c>
      <c r="E439" s="44" t="str">
        <f>VLOOKUP(Estimate!$C439,Resources!$B$3:$G$336,3,FALSE)</f>
        <v>M</v>
      </c>
      <c r="F439" s="52">
        <f t="shared" ref="F439:F444" si="40">F438</f>
        <v>9</v>
      </c>
      <c r="G439" s="12">
        <v>1</v>
      </c>
      <c r="H439" s="12">
        <v>7</v>
      </c>
      <c r="I439" s="12">
        <f>VLOOKUP(C439,Resources!$B$3:$G$336,6,FALSE)</f>
        <v>5.76</v>
      </c>
      <c r="J439" s="12">
        <f t="shared" ref="J439:J444" si="41">(H439/(G439/F439))*I439</f>
        <v>362.88</v>
      </c>
      <c r="K439" s="90"/>
      <c r="L439" s="90" t="str">
        <f t="shared" si="35"/>
        <v xml:space="preserve"> </v>
      </c>
      <c r="M439" s="16">
        <f t="shared" si="36"/>
        <v>0</v>
      </c>
      <c r="N439" s="16">
        <f t="shared" si="37"/>
        <v>362.88</v>
      </c>
      <c r="O439" s="16">
        <f t="shared" si="38"/>
        <v>0</v>
      </c>
      <c r="P439" s="16">
        <f t="shared" si="39"/>
        <v>0</v>
      </c>
      <c r="Q439" s="16">
        <f t="shared" si="34"/>
        <v>362.88</v>
      </c>
      <c r="R439" s="118" t="s">
        <v>944</v>
      </c>
    </row>
    <row r="440" spans="1:18" outlineLevel="1" x14ac:dyDescent="0.5">
      <c r="A440" s="131" t="s">
        <v>448</v>
      </c>
      <c r="B440" s="14">
        <v>3</v>
      </c>
      <c r="C440" s="15" t="s">
        <v>192</v>
      </c>
      <c r="D440" s="44" t="str">
        <f>VLOOKUP(Estimate!$C440,Resources!$B$3:$G$336,4,FALSE)</f>
        <v xml:space="preserve">m    </v>
      </c>
      <c r="E440" s="44" t="str">
        <f>VLOOKUP(Estimate!$C440,Resources!$B$3:$G$336,3,FALSE)</f>
        <v>M</v>
      </c>
      <c r="F440" s="52">
        <f t="shared" si="40"/>
        <v>9</v>
      </c>
      <c r="G440" s="12">
        <v>1</v>
      </c>
      <c r="H440" s="12">
        <v>30</v>
      </c>
      <c r="I440" s="12">
        <f>VLOOKUP(C440,Resources!$B$3:$G$336,6,FALSE)</f>
        <v>1.87</v>
      </c>
      <c r="J440" s="12">
        <f t="shared" si="41"/>
        <v>504.90000000000003</v>
      </c>
      <c r="K440" s="90"/>
      <c r="L440" s="90" t="str">
        <f t="shared" si="35"/>
        <v xml:space="preserve"> </v>
      </c>
      <c r="M440" s="16">
        <f t="shared" si="36"/>
        <v>0</v>
      </c>
      <c r="N440" s="16">
        <f t="shared" si="37"/>
        <v>504.90000000000003</v>
      </c>
      <c r="O440" s="16">
        <f t="shared" si="38"/>
        <v>0</v>
      </c>
      <c r="P440" s="16">
        <f t="shared" si="39"/>
        <v>0</v>
      </c>
      <c r="Q440" s="16">
        <f t="shared" si="34"/>
        <v>504.90000000000003</v>
      </c>
      <c r="R440" s="118" t="s">
        <v>958</v>
      </c>
    </row>
    <row r="441" spans="1:18" outlineLevel="1" x14ac:dyDescent="0.5">
      <c r="A441" s="131" t="s">
        <v>448</v>
      </c>
      <c r="B441" s="14">
        <v>4</v>
      </c>
      <c r="C441" s="15" t="s">
        <v>193</v>
      </c>
      <c r="D441" s="44" t="str">
        <f>VLOOKUP(Estimate!$C441,Resources!$B$3:$G$336,4,FALSE)</f>
        <v xml:space="preserve">m²   </v>
      </c>
      <c r="E441" s="44" t="str">
        <f>VLOOKUP(Estimate!$C441,Resources!$B$3:$G$336,3,FALSE)</f>
        <v>M</v>
      </c>
      <c r="F441" s="52">
        <f t="shared" si="40"/>
        <v>9</v>
      </c>
      <c r="G441" s="12">
        <v>1</v>
      </c>
      <c r="H441" s="12">
        <v>10</v>
      </c>
      <c r="I441" s="12">
        <f>VLOOKUP(C441,Resources!$B$3:$G$336,6,FALSE)</f>
        <v>10</v>
      </c>
      <c r="J441" s="12">
        <f t="shared" si="41"/>
        <v>900</v>
      </c>
      <c r="K441" s="90"/>
      <c r="L441" s="90" t="str">
        <f t="shared" si="35"/>
        <v xml:space="preserve"> </v>
      </c>
      <c r="M441" s="16">
        <f t="shared" si="36"/>
        <v>0</v>
      </c>
      <c r="N441" s="16">
        <f t="shared" si="37"/>
        <v>900</v>
      </c>
      <c r="O441" s="16">
        <f t="shared" si="38"/>
        <v>0</v>
      </c>
      <c r="P441" s="16">
        <f t="shared" si="39"/>
        <v>0</v>
      </c>
      <c r="Q441" s="16">
        <f t="shared" si="34"/>
        <v>900</v>
      </c>
      <c r="R441" s="118">
        <v>905</v>
      </c>
    </row>
    <row r="442" spans="1:18" outlineLevel="1" x14ac:dyDescent="0.5">
      <c r="A442" s="131" t="s">
        <v>448</v>
      </c>
      <c r="B442" s="14">
        <v>5</v>
      </c>
      <c r="C442" s="15" t="s">
        <v>7</v>
      </c>
      <c r="D442" s="44" t="str">
        <f>VLOOKUP(Estimate!$C442,Resources!$B$3:$G$336,4,FALSE)</f>
        <v xml:space="preserve">hr   </v>
      </c>
      <c r="E442" s="44" t="str">
        <f>VLOOKUP(Estimate!$C442,Resources!$B$3:$G$336,3,FALSE)</f>
        <v>L</v>
      </c>
      <c r="F442" s="52">
        <f t="shared" si="40"/>
        <v>9</v>
      </c>
      <c r="G442" s="12">
        <v>1</v>
      </c>
      <c r="H442" s="12">
        <v>12</v>
      </c>
      <c r="I442" s="12">
        <f>VLOOKUP(C442,Resources!$B$3:$G$336,6,FALSE)</f>
        <v>38</v>
      </c>
      <c r="J442" s="12">
        <f t="shared" si="41"/>
        <v>4104</v>
      </c>
      <c r="K442" s="90">
        <f>L442*F442</f>
        <v>108</v>
      </c>
      <c r="L442" s="90">
        <f t="shared" si="35"/>
        <v>12</v>
      </c>
      <c r="M442" s="16">
        <f t="shared" si="36"/>
        <v>4104</v>
      </c>
      <c r="N442" s="16">
        <f t="shared" si="37"/>
        <v>0</v>
      </c>
      <c r="O442" s="16">
        <f t="shared" si="38"/>
        <v>0</v>
      </c>
      <c r="P442" s="16">
        <f t="shared" si="39"/>
        <v>0</v>
      </c>
      <c r="Q442" s="16">
        <f t="shared" si="34"/>
        <v>4104</v>
      </c>
      <c r="R442" s="118">
        <v>85</v>
      </c>
    </row>
    <row r="443" spans="1:18" outlineLevel="1" x14ac:dyDescent="0.5">
      <c r="A443" s="131" t="s">
        <v>448</v>
      </c>
      <c r="B443" s="14">
        <v>6</v>
      </c>
      <c r="C443" s="15" t="s">
        <v>7</v>
      </c>
      <c r="D443" s="44" t="str">
        <f>VLOOKUP(Estimate!$C443,Resources!$B$3:$G$336,4,FALSE)</f>
        <v xml:space="preserve">hr   </v>
      </c>
      <c r="E443" s="44" t="str">
        <f>VLOOKUP(Estimate!$C443,Resources!$B$3:$G$336,3,FALSE)</f>
        <v>L</v>
      </c>
      <c r="F443" s="52">
        <f t="shared" si="40"/>
        <v>9</v>
      </c>
      <c r="G443" s="12">
        <v>1</v>
      </c>
      <c r="H443" s="12">
        <v>4</v>
      </c>
      <c r="I443" s="12">
        <f>VLOOKUP(C443,Resources!$B$3:$G$336,6,FALSE)</f>
        <v>38</v>
      </c>
      <c r="J443" s="12">
        <f t="shared" si="41"/>
        <v>1368</v>
      </c>
      <c r="K443" s="90">
        <f>L443*F443</f>
        <v>36</v>
      </c>
      <c r="L443" s="90">
        <f t="shared" si="35"/>
        <v>4</v>
      </c>
      <c r="M443" s="16">
        <f t="shared" si="36"/>
        <v>1368</v>
      </c>
      <c r="N443" s="16">
        <f t="shared" si="37"/>
        <v>0</v>
      </c>
      <c r="O443" s="16">
        <f t="shared" si="38"/>
        <v>0</v>
      </c>
      <c r="P443" s="16">
        <f t="shared" si="39"/>
        <v>0</v>
      </c>
      <c r="Q443" s="16">
        <f t="shared" si="34"/>
        <v>1368</v>
      </c>
      <c r="R443" s="118">
        <v>85</v>
      </c>
    </row>
    <row r="444" spans="1:18" outlineLevel="1" x14ac:dyDescent="0.5">
      <c r="A444" s="131" t="s">
        <v>448</v>
      </c>
      <c r="B444" s="14">
        <v>7</v>
      </c>
      <c r="C444" s="15" t="s">
        <v>7</v>
      </c>
      <c r="D444" s="44" t="str">
        <f>VLOOKUP(Estimate!$C444,Resources!$B$3:$G$336,4,FALSE)</f>
        <v xml:space="preserve">hr   </v>
      </c>
      <c r="E444" s="44" t="str">
        <f>VLOOKUP(Estimate!$C444,Resources!$B$3:$G$336,3,FALSE)</f>
        <v>L</v>
      </c>
      <c r="F444" s="52">
        <f t="shared" si="40"/>
        <v>9</v>
      </c>
      <c r="G444" s="12">
        <v>1</v>
      </c>
      <c r="H444" s="12">
        <v>2</v>
      </c>
      <c r="I444" s="12">
        <f>VLOOKUP(C444,Resources!$B$3:$G$336,6,FALSE)</f>
        <v>38</v>
      </c>
      <c r="J444" s="12">
        <f t="shared" si="41"/>
        <v>684</v>
      </c>
      <c r="K444" s="90">
        <f>L444*F444</f>
        <v>18</v>
      </c>
      <c r="L444" s="90">
        <f t="shared" si="35"/>
        <v>2</v>
      </c>
      <c r="M444" s="16">
        <f t="shared" si="36"/>
        <v>684</v>
      </c>
      <c r="N444" s="16">
        <f t="shared" si="37"/>
        <v>0</v>
      </c>
      <c r="O444" s="16">
        <f t="shared" si="38"/>
        <v>0</v>
      </c>
      <c r="P444" s="16">
        <f t="shared" si="39"/>
        <v>0</v>
      </c>
      <c r="Q444" s="16">
        <f t="shared" si="34"/>
        <v>684</v>
      </c>
      <c r="R444" s="118">
        <v>85</v>
      </c>
    </row>
    <row r="445" spans="1:18" outlineLevel="1" x14ac:dyDescent="0.5">
      <c r="A445" s="132" t="s">
        <v>448</v>
      </c>
      <c r="B445" s="1"/>
      <c r="C445" s="2"/>
      <c r="D445" s="1"/>
      <c r="E445" s="45"/>
      <c r="F445" s="53"/>
      <c r="G445" s="11"/>
      <c r="H445" s="11"/>
      <c r="I445" s="11"/>
      <c r="J445" s="11"/>
      <c r="K445" s="91"/>
      <c r="L445" s="91"/>
      <c r="M445" s="13"/>
      <c r="N445" s="13"/>
      <c r="O445" s="13"/>
      <c r="P445" s="13"/>
      <c r="Q445" s="13"/>
      <c r="R445" s="119"/>
    </row>
    <row r="446" spans="1:18" ht="21" x14ac:dyDescent="0.5">
      <c r="A446" s="130">
        <v>90</v>
      </c>
      <c r="B446" s="7" t="s">
        <v>194</v>
      </c>
      <c r="C446" s="7" t="s">
        <v>195</v>
      </c>
      <c r="D446" s="8" t="s">
        <v>14</v>
      </c>
      <c r="E446" s="43"/>
      <c r="F446" s="51"/>
      <c r="G446" s="9"/>
      <c r="H446" s="129">
        <f>VLOOKUP($A446,'Model Inputs'!$A:$D,4)</f>
        <v>1</v>
      </c>
      <c r="I446" s="9">
        <f>J446/H446</f>
        <v>2920.76</v>
      </c>
      <c r="J446" s="9">
        <f>SUBTOTAL(9,J447:J454)</f>
        <v>2920.76</v>
      </c>
      <c r="K446" s="89"/>
      <c r="L446" s="89">
        <f>ROUNDUP(SUM(L450:L453)*H446/workhrs,0)</f>
        <v>5</v>
      </c>
      <c r="M446" s="9">
        <f>SUBTOTAL(9,M447:M454)</f>
        <v>1596</v>
      </c>
      <c r="N446" s="9">
        <f>SUBTOTAL(9,N447:N454)</f>
        <v>829.76</v>
      </c>
      <c r="O446" s="9">
        <f>SUBTOTAL(9,O447:O454)</f>
        <v>495</v>
      </c>
      <c r="P446" s="9">
        <f>SUBTOTAL(9,P447:P454)</f>
        <v>0</v>
      </c>
      <c r="Q446" s="10">
        <f t="shared" ref="Q446:Q454" si="42">SUM(M446:P446)</f>
        <v>2920.76</v>
      </c>
      <c r="R446" s="117"/>
    </row>
    <row r="447" spans="1:18" outlineLevel="1" x14ac:dyDescent="0.5">
      <c r="A447" s="131" t="s">
        <v>448</v>
      </c>
      <c r="B447" s="14">
        <v>1</v>
      </c>
      <c r="C447" s="15" t="s">
        <v>148</v>
      </c>
      <c r="D447" s="44" t="str">
        <f>VLOOKUP(Estimate!$C447,Resources!$B$3:$G$336,4,FALSE)</f>
        <v xml:space="preserve">m³   </v>
      </c>
      <c r="E447" s="44" t="str">
        <f>VLOOKUP(Estimate!$C447,Resources!$B$3:$G$336,3,FALSE)</f>
        <v>M</v>
      </c>
      <c r="F447" s="52">
        <f>H446</f>
        <v>1</v>
      </c>
      <c r="G447" s="12">
        <v>1</v>
      </c>
      <c r="H447" s="12">
        <v>0.8</v>
      </c>
      <c r="I447" s="12">
        <f>VLOOKUP(C447,Resources!$B$3:$G$336,6,FALSE)</f>
        <v>167.2</v>
      </c>
      <c r="J447" s="12">
        <f>(H447/(G447/F447))*I447</f>
        <v>133.76</v>
      </c>
      <c r="K447" s="90"/>
      <c r="L447" s="90" t="str">
        <f t="shared" ref="L447:L454" si="43">IF(E447="M"," ",H447/G447)</f>
        <v xml:space="preserve"> </v>
      </c>
      <c r="M447" s="16">
        <f t="shared" ref="M447:M454" si="44">IF($E447="L",$J447,0)</f>
        <v>0</v>
      </c>
      <c r="N447" s="16">
        <f t="shared" ref="N447:N454" si="45">IF($E447="M",$J447,0)</f>
        <v>133.76</v>
      </c>
      <c r="O447" s="16">
        <f t="shared" ref="O447:O454" si="46">IF($E447="P",$J447,0)</f>
        <v>0</v>
      </c>
      <c r="P447" s="16">
        <f t="shared" ref="P447:P454" si="47">IF($E447="S",$J447,0)</f>
        <v>0</v>
      </c>
      <c r="Q447" s="16">
        <f t="shared" si="42"/>
        <v>133.76</v>
      </c>
      <c r="R447" s="118" t="s">
        <v>957</v>
      </c>
    </row>
    <row r="448" spans="1:18" outlineLevel="1" x14ac:dyDescent="0.5">
      <c r="A448" s="131" t="s">
        <v>448</v>
      </c>
      <c r="B448" s="14">
        <v>2</v>
      </c>
      <c r="C448" s="15" t="s">
        <v>828</v>
      </c>
      <c r="D448" s="44" t="str">
        <f>VLOOKUP(Estimate!$C448,Resources!$B$3:$G$336,4,FALSE)</f>
        <v xml:space="preserve">day  </v>
      </c>
      <c r="E448" s="44" t="str">
        <f>VLOOKUP(Estimate!$C448,Resources!$B$3:$G$336,3,FALSE)</f>
        <v>P</v>
      </c>
      <c r="F448" s="52">
        <f>F447</f>
        <v>1</v>
      </c>
      <c r="G448" s="12">
        <v>1</v>
      </c>
      <c r="H448" s="12">
        <v>3</v>
      </c>
      <c r="I448" s="12">
        <f>VLOOKUP(C448,Resources!$B$3:$G$336,6,FALSE)</f>
        <v>75</v>
      </c>
      <c r="J448" s="12">
        <f t="shared" ref="J448:J454" si="48">(H448/(G448/F448))*I448</f>
        <v>225</v>
      </c>
      <c r="K448" s="90"/>
      <c r="L448" s="90">
        <f t="shared" si="43"/>
        <v>3</v>
      </c>
      <c r="M448" s="16">
        <f t="shared" si="44"/>
        <v>0</v>
      </c>
      <c r="N448" s="16">
        <f t="shared" si="45"/>
        <v>0</v>
      </c>
      <c r="O448" s="16">
        <f t="shared" si="46"/>
        <v>225</v>
      </c>
      <c r="P448" s="16">
        <f t="shared" si="47"/>
        <v>0</v>
      </c>
      <c r="Q448" s="16">
        <f t="shared" si="42"/>
        <v>225</v>
      </c>
      <c r="R448" s="118">
        <v>85</v>
      </c>
    </row>
    <row r="449" spans="1:18" outlineLevel="1" x14ac:dyDescent="0.5">
      <c r="A449" s="131" t="s">
        <v>448</v>
      </c>
      <c r="B449" s="14">
        <v>3</v>
      </c>
      <c r="C449" s="15" t="s">
        <v>189</v>
      </c>
      <c r="D449" s="44" t="str">
        <f>VLOOKUP(Estimate!$C449,Resources!$B$3:$G$336,4,FALSE)</f>
        <v xml:space="preserve">each </v>
      </c>
      <c r="E449" s="44" t="str">
        <f>VLOOKUP(Estimate!$C449,Resources!$B$3:$G$336,3,FALSE)</f>
        <v>M</v>
      </c>
      <c r="F449" s="52">
        <f t="shared" ref="F449:F454" si="49">F448</f>
        <v>1</v>
      </c>
      <c r="G449" s="12">
        <v>1</v>
      </c>
      <c r="H449" s="12">
        <v>1</v>
      </c>
      <c r="I449" s="12">
        <f>VLOOKUP(C449,Resources!$B$3:$G$336,6,FALSE)</f>
        <v>696</v>
      </c>
      <c r="J449" s="12">
        <f t="shared" si="48"/>
        <v>696</v>
      </c>
      <c r="K449" s="90"/>
      <c r="L449" s="90" t="str">
        <f t="shared" si="43"/>
        <v xml:space="preserve"> </v>
      </c>
      <c r="M449" s="16">
        <f t="shared" si="44"/>
        <v>0</v>
      </c>
      <c r="N449" s="16">
        <f t="shared" si="45"/>
        <v>696</v>
      </c>
      <c r="O449" s="16">
        <f t="shared" si="46"/>
        <v>0</v>
      </c>
      <c r="P449" s="16">
        <f t="shared" si="47"/>
        <v>0</v>
      </c>
      <c r="Q449" s="16">
        <f t="shared" si="42"/>
        <v>696</v>
      </c>
      <c r="R449" s="118">
        <v>85</v>
      </c>
    </row>
    <row r="450" spans="1:18" outlineLevel="1" x14ac:dyDescent="0.5">
      <c r="A450" s="131" t="s">
        <v>448</v>
      </c>
      <c r="B450" s="14">
        <v>4</v>
      </c>
      <c r="C450" s="15" t="s">
        <v>7</v>
      </c>
      <c r="D450" s="44" t="str">
        <f>VLOOKUP(Estimate!$C450,Resources!$B$3:$G$336,4,FALSE)</f>
        <v xml:space="preserve">hr   </v>
      </c>
      <c r="E450" s="44" t="str">
        <f>VLOOKUP(Estimate!$C450,Resources!$B$3:$G$336,3,FALSE)</f>
        <v>L</v>
      </c>
      <c r="F450" s="52">
        <f t="shared" si="49"/>
        <v>1</v>
      </c>
      <c r="G450" s="12">
        <v>1</v>
      </c>
      <c r="H450" s="12">
        <v>12</v>
      </c>
      <c r="I450" s="12">
        <f>VLOOKUP(C450,Resources!$B$3:$G$336,6,FALSE)</f>
        <v>38</v>
      </c>
      <c r="J450" s="12">
        <f t="shared" si="48"/>
        <v>456</v>
      </c>
      <c r="K450" s="90">
        <f>L450*F450</f>
        <v>12</v>
      </c>
      <c r="L450" s="90">
        <f t="shared" si="43"/>
        <v>12</v>
      </c>
      <c r="M450" s="16">
        <f t="shared" si="44"/>
        <v>456</v>
      </c>
      <c r="N450" s="16">
        <f t="shared" si="45"/>
        <v>0</v>
      </c>
      <c r="O450" s="16">
        <f t="shared" si="46"/>
        <v>0</v>
      </c>
      <c r="P450" s="16">
        <f t="shared" si="47"/>
        <v>0</v>
      </c>
      <c r="Q450" s="16">
        <f t="shared" si="42"/>
        <v>456</v>
      </c>
      <c r="R450" s="118">
        <v>85</v>
      </c>
    </row>
    <row r="451" spans="1:18" outlineLevel="1" x14ac:dyDescent="0.5">
      <c r="A451" s="131" t="s">
        <v>448</v>
      </c>
      <c r="B451" s="14">
        <v>5</v>
      </c>
      <c r="C451" s="15" t="s">
        <v>7</v>
      </c>
      <c r="D451" s="44" t="str">
        <f>VLOOKUP(Estimate!$C451,Resources!$B$3:$G$336,4,FALSE)</f>
        <v xml:space="preserve">hr   </v>
      </c>
      <c r="E451" s="44" t="str">
        <f>VLOOKUP(Estimate!$C451,Resources!$B$3:$G$336,3,FALSE)</f>
        <v>L</v>
      </c>
      <c r="F451" s="52">
        <f t="shared" si="49"/>
        <v>1</v>
      </c>
      <c r="G451" s="12">
        <v>1</v>
      </c>
      <c r="H451" s="12">
        <v>6</v>
      </c>
      <c r="I451" s="12">
        <f>VLOOKUP(C451,Resources!$B$3:$G$336,6,FALSE)</f>
        <v>38</v>
      </c>
      <c r="J451" s="12">
        <f t="shared" si="48"/>
        <v>228</v>
      </c>
      <c r="K451" s="90">
        <f>L451*F451</f>
        <v>6</v>
      </c>
      <c r="L451" s="90">
        <f t="shared" si="43"/>
        <v>6</v>
      </c>
      <c r="M451" s="16">
        <f t="shared" si="44"/>
        <v>228</v>
      </c>
      <c r="N451" s="16">
        <f t="shared" si="45"/>
        <v>0</v>
      </c>
      <c r="O451" s="16">
        <f t="shared" si="46"/>
        <v>0</v>
      </c>
      <c r="P451" s="16">
        <f t="shared" si="47"/>
        <v>0</v>
      </c>
      <c r="Q451" s="16">
        <f t="shared" si="42"/>
        <v>228</v>
      </c>
      <c r="R451" s="118">
        <v>85</v>
      </c>
    </row>
    <row r="452" spans="1:18" outlineLevel="1" x14ac:dyDescent="0.5">
      <c r="A452" s="131" t="s">
        <v>448</v>
      </c>
      <c r="B452" s="14">
        <v>6</v>
      </c>
      <c r="C452" s="15" t="s">
        <v>7</v>
      </c>
      <c r="D452" s="44" t="str">
        <f>VLOOKUP(Estimate!$C452,Resources!$B$3:$G$336,4,FALSE)</f>
        <v xml:space="preserve">hr   </v>
      </c>
      <c r="E452" s="44" t="str">
        <f>VLOOKUP(Estimate!$C452,Resources!$B$3:$G$336,3,FALSE)</f>
        <v>L</v>
      </c>
      <c r="F452" s="52">
        <f t="shared" si="49"/>
        <v>1</v>
      </c>
      <c r="G452" s="12">
        <v>1</v>
      </c>
      <c r="H452" s="12">
        <v>6</v>
      </c>
      <c r="I452" s="12">
        <f>VLOOKUP(C452,Resources!$B$3:$G$336,6,FALSE)</f>
        <v>38</v>
      </c>
      <c r="J452" s="12">
        <f t="shared" si="48"/>
        <v>228</v>
      </c>
      <c r="K452" s="90">
        <f>L452*F452</f>
        <v>6</v>
      </c>
      <c r="L452" s="90">
        <f t="shared" si="43"/>
        <v>6</v>
      </c>
      <c r="M452" s="16">
        <f t="shared" si="44"/>
        <v>228</v>
      </c>
      <c r="N452" s="16">
        <f t="shared" si="45"/>
        <v>0</v>
      </c>
      <c r="O452" s="16">
        <f t="shared" si="46"/>
        <v>0</v>
      </c>
      <c r="P452" s="16">
        <f t="shared" si="47"/>
        <v>0</v>
      </c>
      <c r="Q452" s="16">
        <f t="shared" si="42"/>
        <v>228</v>
      </c>
      <c r="R452" s="118">
        <v>85</v>
      </c>
    </row>
    <row r="453" spans="1:18" outlineLevel="1" x14ac:dyDescent="0.5">
      <c r="A453" s="131" t="s">
        <v>448</v>
      </c>
      <c r="B453" s="14">
        <v>7</v>
      </c>
      <c r="C453" s="15" t="s">
        <v>7</v>
      </c>
      <c r="D453" s="44" t="str">
        <f>VLOOKUP(Estimate!$C453,Resources!$B$3:$G$336,4,FALSE)</f>
        <v xml:space="preserve">hr   </v>
      </c>
      <c r="E453" s="44" t="str">
        <f>VLOOKUP(Estimate!$C453,Resources!$B$3:$G$336,3,FALSE)</f>
        <v>L</v>
      </c>
      <c r="F453" s="52">
        <f t="shared" si="49"/>
        <v>1</v>
      </c>
      <c r="G453" s="12">
        <v>1</v>
      </c>
      <c r="H453" s="12">
        <v>18</v>
      </c>
      <c r="I453" s="12">
        <f>VLOOKUP(C453,Resources!$B$3:$G$336,6,FALSE)</f>
        <v>38</v>
      </c>
      <c r="J453" s="12">
        <f t="shared" si="48"/>
        <v>684</v>
      </c>
      <c r="K453" s="90">
        <f>L453*F453</f>
        <v>18</v>
      </c>
      <c r="L453" s="90">
        <f t="shared" si="43"/>
        <v>18</v>
      </c>
      <c r="M453" s="16">
        <f t="shared" si="44"/>
        <v>684</v>
      </c>
      <c r="N453" s="16">
        <f t="shared" si="45"/>
        <v>0</v>
      </c>
      <c r="O453" s="16">
        <f t="shared" si="46"/>
        <v>0</v>
      </c>
      <c r="P453" s="16">
        <f t="shared" si="47"/>
        <v>0</v>
      </c>
      <c r="Q453" s="16">
        <f t="shared" si="42"/>
        <v>684</v>
      </c>
      <c r="R453" s="118">
        <v>85</v>
      </c>
    </row>
    <row r="454" spans="1:18" outlineLevel="1" x14ac:dyDescent="0.5">
      <c r="A454" s="131" t="s">
        <v>448</v>
      </c>
      <c r="B454" s="14">
        <v>8</v>
      </c>
      <c r="C454" s="15" t="s">
        <v>55</v>
      </c>
      <c r="D454" s="44" t="str">
        <f>VLOOKUP(Estimate!$C454,Resources!$B$3:$G$336,4,FALSE)</f>
        <v xml:space="preserve">hr   </v>
      </c>
      <c r="E454" s="44" t="str">
        <f>VLOOKUP(Estimate!$C454,Resources!$B$3:$G$336,3,FALSE)</f>
        <v>P</v>
      </c>
      <c r="F454" s="52">
        <f t="shared" si="49"/>
        <v>1</v>
      </c>
      <c r="G454" s="12">
        <v>1</v>
      </c>
      <c r="H454" s="12">
        <v>2</v>
      </c>
      <c r="I454" s="12">
        <f>VLOOKUP(C454,Resources!$B$3:$G$336,6,FALSE)</f>
        <v>135</v>
      </c>
      <c r="J454" s="12">
        <f t="shared" si="48"/>
        <v>270</v>
      </c>
      <c r="K454" s="90">
        <f>L454*F454</f>
        <v>2</v>
      </c>
      <c r="L454" s="90">
        <f t="shared" si="43"/>
        <v>2</v>
      </c>
      <c r="M454" s="16">
        <f t="shared" si="44"/>
        <v>0</v>
      </c>
      <c r="N454" s="16">
        <f t="shared" si="45"/>
        <v>0</v>
      </c>
      <c r="O454" s="16">
        <f t="shared" si="46"/>
        <v>270</v>
      </c>
      <c r="P454" s="16">
        <f t="shared" si="47"/>
        <v>0</v>
      </c>
      <c r="Q454" s="16">
        <f t="shared" si="42"/>
        <v>270</v>
      </c>
      <c r="R454" s="118">
        <v>85</v>
      </c>
    </row>
    <row r="455" spans="1:18" outlineLevel="1" x14ac:dyDescent="0.5">
      <c r="A455" s="132" t="s">
        <v>448</v>
      </c>
      <c r="B455" s="1"/>
      <c r="C455" s="2"/>
      <c r="D455" s="1"/>
      <c r="E455" s="45"/>
      <c r="F455" s="53"/>
      <c r="G455" s="11"/>
      <c r="H455" s="11"/>
      <c r="I455" s="11"/>
      <c r="J455" s="11"/>
      <c r="K455" s="91"/>
      <c r="L455" s="91"/>
      <c r="M455" s="13"/>
      <c r="N455" s="13"/>
      <c r="O455" s="13"/>
      <c r="P455" s="13"/>
      <c r="Q455" s="13"/>
      <c r="R455" s="119"/>
    </row>
    <row r="456" spans="1:18" x14ac:dyDescent="0.5">
      <c r="A456" s="132">
        <v>91</v>
      </c>
      <c r="B456" s="1"/>
      <c r="C456" s="5" t="s">
        <v>642</v>
      </c>
      <c r="D456" s="1"/>
      <c r="E456" s="45"/>
      <c r="F456" s="53"/>
      <c r="G456" s="11"/>
      <c r="H456" s="11"/>
      <c r="I456" s="11"/>
      <c r="J456" s="11"/>
      <c r="K456" s="91"/>
      <c r="L456" s="91"/>
      <c r="M456" s="13"/>
      <c r="N456" s="13"/>
      <c r="O456" s="13"/>
      <c r="P456" s="13"/>
      <c r="Q456" s="13"/>
      <c r="R456" s="119"/>
    </row>
    <row r="457" spans="1:18" x14ac:dyDescent="0.5">
      <c r="A457" s="132">
        <v>92</v>
      </c>
      <c r="B457" s="1"/>
      <c r="C457" s="5" t="s">
        <v>643</v>
      </c>
      <c r="D457" s="1"/>
      <c r="E457" s="45"/>
      <c r="F457" s="53"/>
      <c r="G457" s="11"/>
      <c r="H457" s="11"/>
      <c r="I457" s="11"/>
      <c r="J457" s="11"/>
      <c r="K457" s="91"/>
      <c r="L457" s="91"/>
      <c r="M457" s="13"/>
      <c r="N457" s="13"/>
      <c r="O457" s="13"/>
      <c r="P457" s="13"/>
      <c r="Q457" s="13"/>
      <c r="R457" s="119"/>
    </row>
    <row r="458" spans="1:18" ht="21" x14ac:dyDescent="0.5">
      <c r="A458" s="130">
        <v>93</v>
      </c>
      <c r="B458" s="7" t="s">
        <v>196</v>
      </c>
      <c r="C458" s="7" t="s">
        <v>197</v>
      </c>
      <c r="D458" s="8" t="s">
        <v>144</v>
      </c>
      <c r="E458" s="43"/>
      <c r="F458" s="51"/>
      <c r="G458" s="9"/>
      <c r="H458" s="129">
        <f>VLOOKUP($A458,'Model Inputs'!$A:$D,4)</f>
        <v>4</v>
      </c>
      <c r="I458" s="9">
        <f>J458/H458</f>
        <v>2107.1999999999998</v>
      </c>
      <c r="J458" s="9">
        <f>SUBTOTAL(9,J459:J461)</f>
        <v>8428.7999999999993</v>
      </c>
      <c r="K458" s="89"/>
      <c r="L458" s="89">
        <f>ROUNDUP(L461*H458/workhrs,0)</f>
        <v>6</v>
      </c>
      <c r="M458" s="9">
        <f>SUBTOTAL(9,M459:M461)</f>
        <v>1824</v>
      </c>
      <c r="N458" s="9">
        <f>SUBTOTAL(9,N459:N461)</f>
        <v>6604.8</v>
      </c>
      <c r="O458" s="9">
        <f>SUBTOTAL(9,O459:O461)</f>
        <v>0</v>
      </c>
      <c r="P458" s="9">
        <f>SUBTOTAL(9,P459:P461)</f>
        <v>0</v>
      </c>
      <c r="Q458" s="10">
        <f>SUM(M458:P458)</f>
        <v>8428.7999999999993</v>
      </c>
      <c r="R458" s="117"/>
    </row>
    <row r="459" spans="1:18" outlineLevel="1" x14ac:dyDescent="0.5">
      <c r="A459" s="131" t="s">
        <v>448</v>
      </c>
      <c r="B459" s="14">
        <v>1</v>
      </c>
      <c r="C459" s="15" t="s">
        <v>198</v>
      </c>
      <c r="D459" s="44" t="str">
        <f>VLOOKUP(Estimate!$C459,Resources!$B$3:$G$336,4,FALSE)</f>
        <v xml:space="preserve">Item </v>
      </c>
      <c r="E459" s="44" t="str">
        <f>VLOOKUP(Estimate!$C459,Resources!$B$3:$G$336,3,FALSE)</f>
        <v>M</v>
      </c>
      <c r="F459" s="52">
        <f>H458</f>
        <v>4</v>
      </c>
      <c r="G459" s="12">
        <v>1</v>
      </c>
      <c r="H459" s="12">
        <v>1</v>
      </c>
      <c r="I459" s="12">
        <f>VLOOKUP(C459,Resources!$B$3:$G$336,6,FALSE)</f>
        <v>1484</v>
      </c>
      <c r="J459" s="12">
        <f>(H459/(G459/F459))*I459</f>
        <v>5936</v>
      </c>
      <c r="K459" s="90"/>
      <c r="L459" s="90" t="str">
        <f>IF(E459="M"," ",H459/G459)</f>
        <v xml:space="preserve"> </v>
      </c>
      <c r="M459" s="16">
        <f>IF($E459="L",$J459,0)</f>
        <v>0</v>
      </c>
      <c r="N459" s="16">
        <f>IF($E459="M",$J459,0)</f>
        <v>5936</v>
      </c>
      <c r="O459" s="16">
        <f>IF($E459="P",$J459,0)</f>
        <v>0</v>
      </c>
      <c r="P459" s="16">
        <f>IF($E459="S",$J459,0)</f>
        <v>0</v>
      </c>
      <c r="Q459" s="16">
        <f>SUM(M459:P459)</f>
        <v>5936</v>
      </c>
      <c r="R459" s="118" t="s">
        <v>961</v>
      </c>
    </row>
    <row r="460" spans="1:18" outlineLevel="1" x14ac:dyDescent="0.5">
      <c r="A460" s="131" t="s">
        <v>448</v>
      </c>
      <c r="B460" s="14">
        <v>2</v>
      </c>
      <c r="C460" s="15" t="s">
        <v>148</v>
      </c>
      <c r="D460" s="44" t="str">
        <f>VLOOKUP(Estimate!$C460,Resources!$B$3:$G$336,4,FALSE)</f>
        <v xml:space="preserve">m³   </v>
      </c>
      <c r="E460" s="44" t="str">
        <f>VLOOKUP(Estimate!$C460,Resources!$B$3:$G$336,3,FALSE)</f>
        <v>M</v>
      </c>
      <c r="F460" s="52">
        <f>F459</f>
        <v>4</v>
      </c>
      <c r="G460" s="12">
        <v>1</v>
      </c>
      <c r="H460" s="12">
        <v>1</v>
      </c>
      <c r="I460" s="12">
        <f>VLOOKUP(C460,Resources!$B$3:$G$336,6,FALSE)</f>
        <v>167.2</v>
      </c>
      <c r="J460" s="12">
        <f>(H460/(G460/F460))*I460</f>
        <v>668.8</v>
      </c>
      <c r="K460" s="90"/>
      <c r="L460" s="90" t="str">
        <f>IF(E460="M"," ",H460/G460)</f>
        <v xml:space="preserve"> </v>
      </c>
      <c r="M460" s="16">
        <f>IF($E460="L",$J460,0)</f>
        <v>0</v>
      </c>
      <c r="N460" s="16">
        <f>IF($E460="M",$J460,0)</f>
        <v>668.8</v>
      </c>
      <c r="O460" s="16">
        <f>IF($E460="P",$J460,0)</f>
        <v>0</v>
      </c>
      <c r="P460" s="16">
        <f>IF($E460="S",$J460,0)</f>
        <v>0</v>
      </c>
      <c r="Q460" s="16">
        <f>SUM(M460:P460)</f>
        <v>668.8</v>
      </c>
      <c r="R460" s="118" t="s">
        <v>957</v>
      </c>
    </row>
    <row r="461" spans="1:18" outlineLevel="1" x14ac:dyDescent="0.5">
      <c r="A461" s="131" t="s">
        <v>448</v>
      </c>
      <c r="B461" s="14">
        <v>3</v>
      </c>
      <c r="C461" s="15" t="s">
        <v>7</v>
      </c>
      <c r="D461" s="44" t="str">
        <f>VLOOKUP(Estimate!$C461,Resources!$B$3:$G$336,4,FALSE)</f>
        <v xml:space="preserve">hr   </v>
      </c>
      <c r="E461" s="44" t="str">
        <f>VLOOKUP(Estimate!$C461,Resources!$B$3:$G$336,3,FALSE)</f>
        <v>L</v>
      </c>
      <c r="F461" s="52">
        <f>F460</f>
        <v>4</v>
      </c>
      <c r="G461" s="12">
        <v>1</v>
      </c>
      <c r="H461" s="12">
        <v>12</v>
      </c>
      <c r="I461" s="12">
        <f>VLOOKUP(C461,Resources!$B$3:$G$336,6,FALSE)</f>
        <v>38</v>
      </c>
      <c r="J461" s="12">
        <f>(H461/(G461/F461))*I461</f>
        <v>1824</v>
      </c>
      <c r="K461" s="90">
        <f>L461*F461</f>
        <v>48</v>
      </c>
      <c r="L461" s="90">
        <f>IF(E461="M"," ",H461/G461)</f>
        <v>12</v>
      </c>
      <c r="M461" s="16">
        <f>IF($E461="L",$J461,0)</f>
        <v>1824</v>
      </c>
      <c r="N461" s="16">
        <f>IF($E461="M",$J461,0)</f>
        <v>0</v>
      </c>
      <c r="O461" s="16">
        <f>IF($E461="P",$J461,0)</f>
        <v>0</v>
      </c>
      <c r="P461" s="16">
        <f>IF($E461="S",$J461,0)</f>
        <v>0</v>
      </c>
      <c r="Q461" s="16">
        <f>SUM(M461:P461)</f>
        <v>1824</v>
      </c>
      <c r="R461" s="118">
        <v>85</v>
      </c>
    </row>
    <row r="462" spans="1:18" outlineLevel="1" x14ac:dyDescent="0.5">
      <c r="A462" s="132" t="s">
        <v>448</v>
      </c>
      <c r="B462" s="1"/>
      <c r="C462" s="2"/>
      <c r="D462" s="1"/>
      <c r="E462" s="45"/>
      <c r="F462" s="53"/>
      <c r="G462" s="11"/>
      <c r="H462" s="11"/>
      <c r="I462" s="11"/>
      <c r="J462" s="11"/>
      <c r="K462" s="91"/>
      <c r="L462" s="91"/>
      <c r="M462" s="13"/>
      <c r="N462" s="13"/>
      <c r="O462" s="13"/>
      <c r="P462" s="13"/>
      <c r="Q462" s="13"/>
      <c r="R462" s="119"/>
    </row>
    <row r="463" spans="1:18" x14ac:dyDescent="0.5">
      <c r="A463" s="132">
        <v>94</v>
      </c>
      <c r="B463" s="1"/>
      <c r="C463" s="5" t="s">
        <v>644</v>
      </c>
      <c r="D463" s="1"/>
      <c r="E463" s="45"/>
      <c r="F463" s="53"/>
      <c r="G463" s="11"/>
      <c r="H463" s="11"/>
      <c r="I463" s="11"/>
      <c r="J463" s="11"/>
      <c r="K463" s="91"/>
      <c r="L463" s="91"/>
      <c r="M463" s="13"/>
      <c r="N463" s="13"/>
      <c r="O463" s="13"/>
      <c r="P463" s="13"/>
      <c r="Q463" s="13"/>
      <c r="R463" s="119"/>
    </row>
    <row r="464" spans="1:18" ht="21" x14ac:dyDescent="0.5">
      <c r="A464" s="130">
        <v>95</v>
      </c>
      <c r="B464" s="7" t="s">
        <v>199</v>
      </c>
      <c r="C464" s="7" t="s">
        <v>197</v>
      </c>
      <c r="D464" s="8" t="s">
        <v>144</v>
      </c>
      <c r="E464" s="43"/>
      <c r="F464" s="51"/>
      <c r="G464" s="9"/>
      <c r="H464" s="129">
        <f>VLOOKUP($A464,'Model Inputs'!$A:$D,4)</f>
        <v>5</v>
      </c>
      <c r="I464" s="9">
        <f>J464/H464</f>
        <v>2107.1999999999998</v>
      </c>
      <c r="J464" s="9">
        <f>SUBTOTAL(9,J465:J467)</f>
        <v>10536</v>
      </c>
      <c r="K464" s="89"/>
      <c r="L464" s="89">
        <f>ROUNDUP(L467*H464/workhrs,0)</f>
        <v>7</v>
      </c>
      <c r="M464" s="9">
        <f>SUBTOTAL(9,M465:M467)</f>
        <v>2280</v>
      </c>
      <c r="N464" s="9">
        <f>SUBTOTAL(9,N465:N467)</f>
        <v>8256</v>
      </c>
      <c r="O464" s="9">
        <f>SUBTOTAL(9,O465:O467)</f>
        <v>0</v>
      </c>
      <c r="P464" s="9">
        <f>SUBTOTAL(9,P465:P467)</f>
        <v>0</v>
      </c>
      <c r="Q464" s="10">
        <f>SUM(M464:P464)</f>
        <v>10536</v>
      </c>
      <c r="R464" s="117"/>
    </row>
    <row r="465" spans="1:18" outlineLevel="1" x14ac:dyDescent="0.5">
      <c r="A465" s="131" t="s">
        <v>448</v>
      </c>
      <c r="B465" s="14">
        <v>1</v>
      </c>
      <c r="C465" s="15" t="s">
        <v>198</v>
      </c>
      <c r="D465" s="44" t="str">
        <f>VLOOKUP(Estimate!$C465,Resources!$B$3:$G$336,4,FALSE)</f>
        <v xml:space="preserve">Item </v>
      </c>
      <c r="E465" s="44" t="str">
        <f>VLOOKUP(Estimate!$C465,Resources!$B$3:$G$336,3,FALSE)</f>
        <v>M</v>
      </c>
      <c r="F465" s="52">
        <f>H464</f>
        <v>5</v>
      </c>
      <c r="G465" s="12">
        <v>1</v>
      </c>
      <c r="H465" s="12">
        <v>1</v>
      </c>
      <c r="I465" s="12">
        <f>VLOOKUP(C465,Resources!$B$3:$G$336,6,FALSE)</f>
        <v>1484</v>
      </c>
      <c r="J465" s="12">
        <f>(H465/(G465/F465))*I465</f>
        <v>7420</v>
      </c>
      <c r="K465" s="90"/>
      <c r="L465" s="90" t="str">
        <f>IF(E465="M"," ",H465/G465)</f>
        <v xml:space="preserve"> </v>
      </c>
      <c r="M465" s="16">
        <f>IF($E465="L",$J465,0)</f>
        <v>0</v>
      </c>
      <c r="N465" s="16">
        <f>IF($E465="M",$J465,0)</f>
        <v>7420</v>
      </c>
      <c r="O465" s="16">
        <f>IF($E465="P",$J465,0)</f>
        <v>0</v>
      </c>
      <c r="P465" s="16">
        <f>IF($E465="S",$J465,0)</f>
        <v>0</v>
      </c>
      <c r="Q465" s="16">
        <f>SUM(M465:P465)</f>
        <v>7420</v>
      </c>
      <c r="R465" s="118" t="s">
        <v>961</v>
      </c>
    </row>
    <row r="466" spans="1:18" outlineLevel="1" x14ac:dyDescent="0.5">
      <c r="A466" s="131" t="s">
        <v>448</v>
      </c>
      <c r="B466" s="14">
        <v>2</v>
      </c>
      <c r="C466" s="15" t="s">
        <v>148</v>
      </c>
      <c r="D466" s="44" t="str">
        <f>VLOOKUP(Estimate!$C466,Resources!$B$3:$G$336,4,FALSE)</f>
        <v xml:space="preserve">m³   </v>
      </c>
      <c r="E466" s="44" t="str">
        <f>VLOOKUP(Estimate!$C466,Resources!$B$3:$G$336,3,FALSE)</f>
        <v>M</v>
      </c>
      <c r="F466" s="52">
        <f>F465</f>
        <v>5</v>
      </c>
      <c r="G466" s="12">
        <v>1</v>
      </c>
      <c r="H466" s="12">
        <v>1</v>
      </c>
      <c r="I466" s="12">
        <f>VLOOKUP(C466,Resources!$B$3:$G$336,6,FALSE)</f>
        <v>167.2</v>
      </c>
      <c r="J466" s="12">
        <f>(H466/(G466/F466))*I466</f>
        <v>836</v>
      </c>
      <c r="K466" s="90"/>
      <c r="L466" s="90" t="str">
        <f>IF(E466="M"," ",H466/G466)</f>
        <v xml:space="preserve"> </v>
      </c>
      <c r="M466" s="16">
        <f>IF($E466="L",$J466,0)</f>
        <v>0</v>
      </c>
      <c r="N466" s="16">
        <f>IF($E466="M",$J466,0)</f>
        <v>836</v>
      </c>
      <c r="O466" s="16">
        <f>IF($E466="P",$J466,0)</f>
        <v>0</v>
      </c>
      <c r="P466" s="16">
        <f>IF($E466="S",$J466,0)</f>
        <v>0</v>
      </c>
      <c r="Q466" s="16">
        <f>SUM(M466:P466)</f>
        <v>836</v>
      </c>
      <c r="R466" s="118" t="s">
        <v>957</v>
      </c>
    </row>
    <row r="467" spans="1:18" outlineLevel="1" x14ac:dyDescent="0.5">
      <c r="A467" s="131" t="s">
        <v>448</v>
      </c>
      <c r="B467" s="14">
        <v>3</v>
      </c>
      <c r="C467" s="15" t="s">
        <v>7</v>
      </c>
      <c r="D467" s="44" t="str">
        <f>VLOOKUP(Estimate!$C467,Resources!$B$3:$G$336,4,FALSE)</f>
        <v xml:space="preserve">hr   </v>
      </c>
      <c r="E467" s="44" t="str">
        <f>VLOOKUP(Estimate!$C467,Resources!$B$3:$G$336,3,FALSE)</f>
        <v>L</v>
      </c>
      <c r="F467" s="52">
        <f>F466</f>
        <v>5</v>
      </c>
      <c r="G467" s="12">
        <v>1</v>
      </c>
      <c r="H467" s="12">
        <v>12</v>
      </c>
      <c r="I467" s="12">
        <f>VLOOKUP(C467,Resources!$B$3:$G$336,6,FALSE)</f>
        <v>38</v>
      </c>
      <c r="J467" s="12">
        <f>(H467/(G467/F467))*I467</f>
        <v>2280</v>
      </c>
      <c r="K467" s="90">
        <f>L467*F467</f>
        <v>60</v>
      </c>
      <c r="L467" s="90">
        <f>IF(E467="M"," ",H467/G467)</f>
        <v>12</v>
      </c>
      <c r="M467" s="16">
        <f>IF($E467="L",$J467,0)</f>
        <v>2280</v>
      </c>
      <c r="N467" s="16">
        <f>IF($E467="M",$J467,0)</f>
        <v>0</v>
      </c>
      <c r="O467" s="16">
        <f>IF($E467="P",$J467,0)</f>
        <v>0</v>
      </c>
      <c r="P467" s="16">
        <f>IF($E467="S",$J467,0)</f>
        <v>0</v>
      </c>
      <c r="Q467" s="16">
        <f>SUM(M467:P467)</f>
        <v>2280</v>
      </c>
      <c r="R467" s="118">
        <v>85</v>
      </c>
    </row>
    <row r="468" spans="1:18" outlineLevel="1" x14ac:dyDescent="0.5">
      <c r="A468" s="132" t="s">
        <v>448</v>
      </c>
      <c r="B468" s="1"/>
      <c r="C468" s="2"/>
      <c r="D468" s="1"/>
      <c r="E468" s="45"/>
      <c r="F468" s="53"/>
      <c r="G468" s="11"/>
      <c r="H468" s="11"/>
      <c r="I468" s="11"/>
      <c r="J468" s="11"/>
      <c r="K468" s="91"/>
      <c r="L468" s="91"/>
      <c r="M468" s="13"/>
      <c r="N468" s="13"/>
      <c r="O468" s="13"/>
      <c r="P468" s="13"/>
      <c r="Q468" s="13"/>
      <c r="R468" s="119"/>
    </row>
    <row r="469" spans="1:18" x14ac:dyDescent="0.5">
      <c r="A469" s="132">
        <v>96</v>
      </c>
      <c r="B469" s="1"/>
      <c r="C469" s="5" t="s">
        <v>645</v>
      </c>
      <c r="D469" s="1"/>
      <c r="E469" s="45"/>
      <c r="F469" s="53"/>
      <c r="G469" s="11"/>
      <c r="H469" s="11"/>
      <c r="I469" s="11"/>
      <c r="J469" s="11"/>
      <c r="K469" s="91"/>
      <c r="L469" s="91"/>
      <c r="M469" s="13"/>
      <c r="N469" s="13"/>
      <c r="O469" s="13"/>
      <c r="P469" s="13"/>
      <c r="Q469" s="13"/>
      <c r="R469" s="119"/>
    </row>
    <row r="470" spans="1:18" ht="21" x14ac:dyDescent="0.5">
      <c r="A470" s="130">
        <v>97</v>
      </c>
      <c r="B470" s="7" t="s">
        <v>200</v>
      </c>
      <c r="C470" s="7" t="s">
        <v>201</v>
      </c>
      <c r="D470" s="8" t="s">
        <v>144</v>
      </c>
      <c r="E470" s="43"/>
      <c r="F470" s="51"/>
      <c r="G470" s="9"/>
      <c r="H470" s="129">
        <f>VLOOKUP($A470,'Model Inputs'!$A:$D,4)</f>
        <v>2</v>
      </c>
      <c r="I470" s="9">
        <f>J470/H470</f>
        <v>847</v>
      </c>
      <c r="J470" s="9">
        <f>SUBTOTAL(9,J471:J473)</f>
        <v>1694</v>
      </c>
      <c r="K470" s="89"/>
      <c r="L470" s="89">
        <f>ROUNDUP(MAX(L472:L473)*H470/workhrs,0)</f>
        <v>2</v>
      </c>
      <c r="M470" s="9">
        <f>SUBTOTAL(9,M471:M473)</f>
        <v>608</v>
      </c>
      <c r="N470" s="9">
        <f>SUBTOTAL(9,N471:N473)</f>
        <v>546</v>
      </c>
      <c r="O470" s="9">
        <f>SUBTOTAL(9,O471:O473)</f>
        <v>540</v>
      </c>
      <c r="P470" s="9">
        <f>SUBTOTAL(9,P471:P473)</f>
        <v>0</v>
      </c>
      <c r="Q470" s="10">
        <f>SUM(M470:P470)</f>
        <v>1694</v>
      </c>
      <c r="R470" s="117"/>
    </row>
    <row r="471" spans="1:18" outlineLevel="1" x14ac:dyDescent="0.5">
      <c r="A471" s="131" t="s">
        <v>448</v>
      </c>
      <c r="B471" s="14">
        <v>1</v>
      </c>
      <c r="C471" s="15" t="s">
        <v>202</v>
      </c>
      <c r="D471" s="44" t="str">
        <f>VLOOKUP(Estimate!$C471,Resources!$B$3:$G$336,4,FALSE)</f>
        <v xml:space="preserve">each </v>
      </c>
      <c r="E471" s="44" t="str">
        <f>VLOOKUP(Estimate!$C471,Resources!$B$3:$G$336,3,FALSE)</f>
        <v>M</v>
      </c>
      <c r="F471" s="52">
        <v>1</v>
      </c>
      <c r="G471" s="12">
        <v>1</v>
      </c>
      <c r="H471" s="12">
        <f>H470</f>
        <v>2</v>
      </c>
      <c r="I471" s="12">
        <f>VLOOKUP(C471,Resources!$B$3:$G$336,6,FALSE)</f>
        <v>273</v>
      </c>
      <c r="J471" s="12">
        <f>(H471/(G471/F471))*I471</f>
        <v>546</v>
      </c>
      <c r="K471" s="90"/>
      <c r="L471" s="90" t="str">
        <f>IF(E471="M"," ",H471/G471)</f>
        <v xml:space="preserve"> </v>
      </c>
      <c r="M471" s="16">
        <f>IF($E471="L",$J471,0)</f>
        <v>0</v>
      </c>
      <c r="N471" s="16">
        <f>IF($E471="M",$J471,0)</f>
        <v>546</v>
      </c>
      <c r="O471" s="16">
        <f>IF($E471="P",$J471,0)</f>
        <v>0</v>
      </c>
      <c r="P471" s="16">
        <f>IF($E471="S",$J471,0)</f>
        <v>0</v>
      </c>
      <c r="Q471" s="16">
        <f>SUM(M471:P471)</f>
        <v>546</v>
      </c>
      <c r="R471" s="118" t="s">
        <v>962</v>
      </c>
    </row>
    <row r="472" spans="1:18" outlineLevel="1" x14ac:dyDescent="0.5">
      <c r="A472" s="131">
        <v>97.1</v>
      </c>
      <c r="B472" s="14">
        <v>2</v>
      </c>
      <c r="C472" s="15" t="s">
        <v>55</v>
      </c>
      <c r="D472" s="44" t="str">
        <f>VLOOKUP(Estimate!$C472,Resources!$B$3:$G$336,4,FALSE)</f>
        <v xml:space="preserve">hr   </v>
      </c>
      <c r="E472" s="44" t="str">
        <f>VLOOKUP(Estimate!$C472,Resources!$B$3:$G$336,3,FALSE)</f>
        <v>P</v>
      </c>
      <c r="F472" s="52">
        <v>1</v>
      </c>
      <c r="G472" s="129">
        <f>VLOOKUP($A472,'Model Inputs'!$A:$D,4)</f>
        <v>1</v>
      </c>
      <c r="H472" s="12">
        <f>H471*2</f>
        <v>4</v>
      </c>
      <c r="I472" s="12">
        <f>VLOOKUP(C472,Resources!$B$3:$G$336,6,FALSE)</f>
        <v>135</v>
      </c>
      <c r="J472" s="12">
        <f>(H472/(G472/F472))*I472</f>
        <v>540</v>
      </c>
      <c r="K472" s="90">
        <f>L472*F472</f>
        <v>4</v>
      </c>
      <c r="L472" s="90">
        <f>IF(E472="M"," ",H472/G472)</f>
        <v>4</v>
      </c>
      <c r="M472" s="16">
        <f>IF($E472="L",$J472,0)</f>
        <v>0</v>
      </c>
      <c r="N472" s="16">
        <f>IF($E472="M",$J472,0)</f>
        <v>0</v>
      </c>
      <c r="O472" s="16">
        <f>IF($E472="P",$J472,0)</f>
        <v>540</v>
      </c>
      <c r="P472" s="16">
        <f>IF($E472="S",$J472,0)</f>
        <v>0</v>
      </c>
      <c r="Q472" s="16">
        <f>SUM(M472:P472)</f>
        <v>540</v>
      </c>
      <c r="R472" s="118">
        <v>81</v>
      </c>
    </row>
    <row r="473" spans="1:18" outlineLevel="1" x14ac:dyDescent="0.5">
      <c r="A473" s="131" t="s">
        <v>448</v>
      </c>
      <c r="B473" s="14">
        <v>3</v>
      </c>
      <c r="C473" s="15" t="s">
        <v>7</v>
      </c>
      <c r="D473" s="44" t="str">
        <f>VLOOKUP(Estimate!$C473,Resources!$B$3:$G$336,4,FALSE)</f>
        <v xml:space="preserve">hr   </v>
      </c>
      <c r="E473" s="44" t="str">
        <f>VLOOKUP(Estimate!$C473,Resources!$B$3:$G$336,3,FALSE)</f>
        <v>L</v>
      </c>
      <c r="F473" s="52">
        <v>2</v>
      </c>
      <c r="G473" s="12">
        <f>G472</f>
        <v>1</v>
      </c>
      <c r="H473" s="12">
        <f>H470*4</f>
        <v>8</v>
      </c>
      <c r="I473" s="12">
        <f>VLOOKUP(C473,Resources!$B$3:$G$336,6,FALSE)</f>
        <v>38</v>
      </c>
      <c r="J473" s="12">
        <f>(H473/(G473/F473))*I473</f>
        <v>608</v>
      </c>
      <c r="K473" s="90">
        <f>L473*F473</f>
        <v>16</v>
      </c>
      <c r="L473" s="90">
        <f>IF(E473="M"," ",H473/G473)</f>
        <v>8</v>
      </c>
      <c r="M473" s="16">
        <f>IF($E473="L",$J473,0)</f>
        <v>608</v>
      </c>
      <c r="N473" s="16">
        <f>IF($E473="M",$J473,0)</f>
        <v>0</v>
      </c>
      <c r="O473" s="16">
        <f>IF($E473="P",$J473,0)</f>
        <v>0</v>
      </c>
      <c r="P473" s="16">
        <f>IF($E473="S",$J473,0)</f>
        <v>0</v>
      </c>
      <c r="Q473" s="16">
        <f>SUM(M473:P473)</f>
        <v>608</v>
      </c>
      <c r="R473" s="118">
        <v>81</v>
      </c>
    </row>
    <row r="474" spans="1:18" outlineLevel="1" x14ac:dyDescent="0.5">
      <c r="A474" s="132" t="s">
        <v>448</v>
      </c>
      <c r="B474" s="1"/>
      <c r="C474" s="2"/>
      <c r="D474" s="1"/>
      <c r="E474" s="45"/>
      <c r="F474" s="53"/>
      <c r="G474" s="11"/>
      <c r="H474" s="11"/>
      <c r="I474" s="11"/>
      <c r="J474" s="11"/>
      <c r="K474" s="91"/>
      <c r="L474" s="91"/>
      <c r="M474" s="13"/>
      <c r="N474" s="13"/>
      <c r="O474" s="13"/>
      <c r="P474" s="13"/>
      <c r="Q474" s="13"/>
      <c r="R474" s="119"/>
    </row>
    <row r="475" spans="1:18" ht="21" x14ac:dyDescent="0.5">
      <c r="A475" s="130">
        <v>98</v>
      </c>
      <c r="B475" s="7" t="s">
        <v>203</v>
      </c>
      <c r="C475" s="7" t="s">
        <v>204</v>
      </c>
      <c r="D475" s="8" t="s">
        <v>144</v>
      </c>
      <c r="E475" s="43"/>
      <c r="F475" s="51"/>
      <c r="G475" s="9"/>
      <c r="H475" s="129">
        <f>VLOOKUP($A475,'Model Inputs'!$A:$D,4)</f>
        <v>2</v>
      </c>
      <c r="I475" s="9">
        <f>J475/H475</f>
        <v>990</v>
      </c>
      <c r="J475" s="9">
        <f>SUBTOTAL(9,J476:J478)</f>
        <v>1980</v>
      </c>
      <c r="K475" s="89"/>
      <c r="L475" s="89">
        <f>ROUNDUP(MAX(L477:L478)*H475/workhrs,0)</f>
        <v>2</v>
      </c>
      <c r="M475" s="9">
        <f>SUBTOTAL(9,M476:M478)</f>
        <v>608</v>
      </c>
      <c r="N475" s="9">
        <f>SUBTOTAL(9,N476:N478)</f>
        <v>832</v>
      </c>
      <c r="O475" s="9">
        <f>SUBTOTAL(9,O476:O478)</f>
        <v>540</v>
      </c>
      <c r="P475" s="9">
        <f>SUBTOTAL(9,P476:P478)</f>
        <v>0</v>
      </c>
      <c r="Q475" s="10">
        <f>SUM(M475:P475)</f>
        <v>1980</v>
      </c>
      <c r="R475" s="117"/>
    </row>
    <row r="476" spans="1:18" outlineLevel="1" x14ac:dyDescent="0.5">
      <c r="A476" s="131" t="s">
        <v>448</v>
      </c>
      <c r="B476" s="14">
        <v>1</v>
      </c>
      <c r="C476" s="15" t="s">
        <v>205</v>
      </c>
      <c r="D476" s="44" t="str">
        <f>VLOOKUP(Estimate!$C476,Resources!$B$3:$G$336,4,FALSE)</f>
        <v xml:space="preserve">each </v>
      </c>
      <c r="E476" s="44" t="str">
        <f>VLOOKUP(Estimate!$C476,Resources!$B$3:$G$336,3,FALSE)</f>
        <v>M</v>
      </c>
      <c r="F476" s="52">
        <v>1</v>
      </c>
      <c r="G476" s="12">
        <v>1</v>
      </c>
      <c r="H476" s="12">
        <f>H475</f>
        <v>2</v>
      </c>
      <c r="I476" s="12">
        <f>VLOOKUP(C476,Resources!$B$3:$G$336,6,FALSE)</f>
        <v>416</v>
      </c>
      <c r="J476" s="12">
        <f>(H476/(G476/F476))*I476</f>
        <v>832</v>
      </c>
      <c r="K476" s="90"/>
      <c r="L476" s="90" t="str">
        <f>IF(E476="M"," ",H476/G476)</f>
        <v xml:space="preserve"> </v>
      </c>
      <c r="M476" s="16">
        <f>IF($E476="L",$J476,0)</f>
        <v>0</v>
      </c>
      <c r="N476" s="16">
        <f>IF($E476="M",$J476,0)</f>
        <v>832</v>
      </c>
      <c r="O476" s="16">
        <f>IF($E476="P",$J476,0)</f>
        <v>0</v>
      </c>
      <c r="P476" s="16">
        <f>IF($E476="S",$J476,0)</f>
        <v>0</v>
      </c>
      <c r="Q476" s="16">
        <f>SUM(M476:P476)</f>
        <v>832</v>
      </c>
      <c r="R476" s="118" t="s">
        <v>962</v>
      </c>
    </row>
    <row r="477" spans="1:18" outlineLevel="1" x14ac:dyDescent="0.5">
      <c r="A477" s="131">
        <v>98.1</v>
      </c>
      <c r="B477" s="14">
        <v>2</v>
      </c>
      <c r="C477" s="15" t="s">
        <v>55</v>
      </c>
      <c r="D477" s="44" t="str">
        <f>VLOOKUP(Estimate!$C477,Resources!$B$3:$G$336,4,FALSE)</f>
        <v xml:space="preserve">hr   </v>
      </c>
      <c r="E477" s="44" t="str">
        <f>VLOOKUP(Estimate!$C477,Resources!$B$3:$G$336,3,FALSE)</f>
        <v>P</v>
      </c>
      <c r="F477" s="52">
        <v>1</v>
      </c>
      <c r="G477" s="129">
        <f>VLOOKUP($A477,'Model Inputs'!$A:$D,4)</f>
        <v>1</v>
      </c>
      <c r="H477" s="12">
        <f>H476*2</f>
        <v>4</v>
      </c>
      <c r="I477" s="12">
        <f>VLOOKUP(C477,Resources!$B$3:$G$336,6,FALSE)</f>
        <v>135</v>
      </c>
      <c r="J477" s="12">
        <f>(H477/(G477/F477))*I477</f>
        <v>540</v>
      </c>
      <c r="K477" s="90">
        <f>L477*F477</f>
        <v>4</v>
      </c>
      <c r="L477" s="90">
        <f>IF(E477="M"," ",H477/G477)</f>
        <v>4</v>
      </c>
      <c r="M477" s="16">
        <f>IF($E477="L",$J477,0)</f>
        <v>0</v>
      </c>
      <c r="N477" s="16">
        <f>IF($E477="M",$J477,0)</f>
        <v>0</v>
      </c>
      <c r="O477" s="16">
        <f>IF($E477="P",$J477,0)</f>
        <v>540</v>
      </c>
      <c r="P477" s="16">
        <f>IF($E477="S",$J477,0)</f>
        <v>0</v>
      </c>
      <c r="Q477" s="16">
        <f>SUM(M477:P477)</f>
        <v>540</v>
      </c>
      <c r="R477" s="118">
        <v>81</v>
      </c>
    </row>
    <row r="478" spans="1:18" outlineLevel="1" x14ac:dyDescent="0.5">
      <c r="A478" s="131" t="s">
        <v>448</v>
      </c>
      <c r="B478" s="14">
        <v>3</v>
      </c>
      <c r="C478" s="15" t="s">
        <v>7</v>
      </c>
      <c r="D478" s="44" t="str">
        <f>VLOOKUP(Estimate!$C478,Resources!$B$3:$G$336,4,FALSE)</f>
        <v xml:space="preserve">hr   </v>
      </c>
      <c r="E478" s="44" t="str">
        <f>VLOOKUP(Estimate!$C478,Resources!$B$3:$G$336,3,FALSE)</f>
        <v>L</v>
      </c>
      <c r="F478" s="52">
        <v>2</v>
      </c>
      <c r="G478" s="12">
        <f>G477</f>
        <v>1</v>
      </c>
      <c r="H478" s="12">
        <f>H475*4</f>
        <v>8</v>
      </c>
      <c r="I478" s="12">
        <f>VLOOKUP(C478,Resources!$B$3:$G$336,6,FALSE)</f>
        <v>38</v>
      </c>
      <c r="J478" s="12">
        <f>(H478/(G478/F478))*I478</f>
        <v>608</v>
      </c>
      <c r="K478" s="90">
        <f>L478*F478</f>
        <v>16</v>
      </c>
      <c r="L478" s="90">
        <f>IF(E478="M"," ",H478/G478)</f>
        <v>8</v>
      </c>
      <c r="M478" s="16">
        <f>IF($E478="L",$J478,0)</f>
        <v>608</v>
      </c>
      <c r="N478" s="16">
        <f>IF($E478="M",$J478,0)</f>
        <v>0</v>
      </c>
      <c r="O478" s="16">
        <f>IF($E478="P",$J478,0)</f>
        <v>0</v>
      </c>
      <c r="P478" s="16">
        <f>IF($E478="S",$J478,0)</f>
        <v>0</v>
      </c>
      <c r="Q478" s="16">
        <f>SUM(M478:P478)</f>
        <v>608</v>
      </c>
      <c r="R478" s="118">
        <v>81</v>
      </c>
    </row>
    <row r="479" spans="1:18" outlineLevel="1" x14ac:dyDescent="0.5">
      <c r="A479" s="132" t="s">
        <v>448</v>
      </c>
      <c r="B479" s="1"/>
      <c r="C479" s="2"/>
      <c r="D479" s="1"/>
      <c r="E479" s="45"/>
      <c r="F479" s="53"/>
      <c r="G479" s="11"/>
      <c r="H479" s="11"/>
      <c r="I479" s="11"/>
      <c r="J479" s="11"/>
      <c r="K479" s="91"/>
      <c r="L479" s="91"/>
      <c r="M479" s="13"/>
      <c r="N479" s="13"/>
      <c r="O479" s="13"/>
      <c r="P479" s="13"/>
      <c r="Q479" s="13"/>
      <c r="R479" s="119"/>
    </row>
    <row r="480" spans="1:18" ht="21" x14ac:dyDescent="0.5">
      <c r="A480" s="130">
        <v>99</v>
      </c>
      <c r="B480" s="7" t="s">
        <v>206</v>
      </c>
      <c r="C480" s="7" t="s">
        <v>207</v>
      </c>
      <c r="D480" s="8" t="s">
        <v>88</v>
      </c>
      <c r="E480" s="43"/>
      <c r="F480" s="51"/>
      <c r="G480" s="9"/>
      <c r="H480" s="129">
        <f>VLOOKUP($A480,'Model Inputs'!$A:$D,4)</f>
        <v>4.7</v>
      </c>
      <c r="I480" s="9">
        <f>J480/H480</f>
        <v>151.20000000000002</v>
      </c>
      <c r="J480" s="9">
        <f>SUBTOTAL(9,J481:J483)</f>
        <v>710.6400000000001</v>
      </c>
      <c r="K480" s="89"/>
      <c r="L480" s="89">
        <f>ROUNDUP(MAX(L482:L483)*H480/workhrs,0)</f>
        <v>1</v>
      </c>
      <c r="M480" s="9">
        <f>SUBTOTAL(9,M481:M483)</f>
        <v>71.44</v>
      </c>
      <c r="N480" s="9">
        <f>SUBTOTAL(9,N481:N483)</f>
        <v>385.40000000000003</v>
      </c>
      <c r="O480" s="9">
        <f>SUBTOTAL(9,O481:O483)</f>
        <v>253.8</v>
      </c>
      <c r="P480" s="9">
        <f>SUBTOTAL(9,P481:P483)</f>
        <v>0</v>
      </c>
      <c r="Q480" s="10">
        <f>SUM(M480:P480)</f>
        <v>710.6400000000001</v>
      </c>
      <c r="R480" s="117"/>
    </row>
    <row r="481" spans="1:18" outlineLevel="1" x14ac:dyDescent="0.5">
      <c r="A481" s="131" t="s">
        <v>448</v>
      </c>
      <c r="B481" s="14">
        <v>1</v>
      </c>
      <c r="C481" s="15" t="s">
        <v>208</v>
      </c>
      <c r="D481" s="44" t="str">
        <f>VLOOKUP(Estimate!$C481,Resources!$B$3:$G$336,4,FALSE)</f>
        <v>tonne</v>
      </c>
      <c r="E481" s="44" t="str">
        <f>VLOOKUP(Estimate!$C481,Resources!$B$3:$G$336,3,FALSE)</f>
        <v>M</v>
      </c>
      <c r="F481" s="52">
        <v>1</v>
      </c>
      <c r="G481" s="12">
        <v>1</v>
      </c>
      <c r="H481" s="12">
        <f>H480*2</f>
        <v>9.4</v>
      </c>
      <c r="I481" s="12">
        <f>VLOOKUP(C481,Resources!$B$3:$G$336,6,FALSE)</f>
        <v>41</v>
      </c>
      <c r="J481" s="12">
        <f>(H481/(G481/F481))*I481</f>
        <v>385.40000000000003</v>
      </c>
      <c r="K481" s="90"/>
      <c r="L481" s="90" t="str">
        <f>IF(E481="M"," ",H481/G481)</f>
        <v xml:space="preserve"> </v>
      </c>
      <c r="M481" s="16">
        <f>IF($E481="L",$J481,0)</f>
        <v>0</v>
      </c>
      <c r="N481" s="16">
        <f>IF($E481="M",$J481,0)</f>
        <v>385.40000000000003</v>
      </c>
      <c r="O481" s="16">
        <f>IF($E481="P",$J481,0)</f>
        <v>0</v>
      </c>
      <c r="P481" s="16">
        <f>IF($E481="S",$J481,0)</f>
        <v>0</v>
      </c>
      <c r="Q481" s="16">
        <f>SUM(M481:P481)</f>
        <v>385.40000000000003</v>
      </c>
      <c r="R481" s="118" t="s">
        <v>963</v>
      </c>
    </row>
    <row r="482" spans="1:18" outlineLevel="1" x14ac:dyDescent="0.5">
      <c r="A482" s="131">
        <v>99.1</v>
      </c>
      <c r="B482" s="14">
        <v>2</v>
      </c>
      <c r="C482" s="15" t="s">
        <v>55</v>
      </c>
      <c r="D482" s="44" t="str">
        <f>VLOOKUP(Estimate!$C482,Resources!$B$3:$G$336,4,FALSE)</f>
        <v xml:space="preserve">hr   </v>
      </c>
      <c r="E482" s="44" t="str">
        <f>VLOOKUP(Estimate!$C482,Resources!$B$3:$G$336,3,FALSE)</f>
        <v>P</v>
      </c>
      <c r="F482" s="52">
        <v>1</v>
      </c>
      <c r="G482" s="129">
        <f>VLOOKUP($A482,'Model Inputs'!$A:$D,4)</f>
        <v>5</v>
      </c>
      <c r="H482" s="12">
        <f>H481</f>
        <v>9.4</v>
      </c>
      <c r="I482" s="12">
        <f>VLOOKUP(C482,Resources!$B$3:$G$336,6,FALSE)</f>
        <v>135</v>
      </c>
      <c r="J482" s="12">
        <f>(H482/(G482/F482))*I482</f>
        <v>253.8</v>
      </c>
      <c r="K482" s="90">
        <f>L482*F482</f>
        <v>1.8800000000000001</v>
      </c>
      <c r="L482" s="90">
        <f>IF(E482="M"," ",H482/G482)</f>
        <v>1.8800000000000001</v>
      </c>
      <c r="M482" s="16">
        <f>IF($E482="L",$J482,0)</f>
        <v>0</v>
      </c>
      <c r="N482" s="16">
        <f>IF($E482="M",$J482,0)</f>
        <v>0</v>
      </c>
      <c r="O482" s="16">
        <f>IF($E482="P",$J482,0)</f>
        <v>253.8</v>
      </c>
      <c r="P482" s="16">
        <f>IF($E482="S",$J482,0)</f>
        <v>0</v>
      </c>
      <c r="Q482" s="16">
        <f>SUM(M482:P482)</f>
        <v>253.8</v>
      </c>
      <c r="R482" s="118">
        <v>221</v>
      </c>
    </row>
    <row r="483" spans="1:18" outlineLevel="1" x14ac:dyDescent="0.5">
      <c r="A483" s="131" t="s">
        <v>448</v>
      </c>
      <c r="B483" s="14">
        <v>3</v>
      </c>
      <c r="C483" s="15" t="s">
        <v>7</v>
      </c>
      <c r="D483" s="44" t="str">
        <f>VLOOKUP(Estimate!$C483,Resources!$B$3:$G$336,4,FALSE)</f>
        <v xml:space="preserve">hr   </v>
      </c>
      <c r="E483" s="44" t="str">
        <f>VLOOKUP(Estimate!$C483,Resources!$B$3:$G$336,3,FALSE)</f>
        <v>L</v>
      </c>
      <c r="F483" s="52">
        <v>1</v>
      </c>
      <c r="G483" s="12">
        <f>G482</f>
        <v>5</v>
      </c>
      <c r="H483" s="12">
        <f>H482</f>
        <v>9.4</v>
      </c>
      <c r="I483" s="12">
        <f>VLOOKUP(C483,Resources!$B$3:$G$336,6,FALSE)</f>
        <v>38</v>
      </c>
      <c r="J483" s="12">
        <f>(H483/(G483/F483))*I483</f>
        <v>71.44</v>
      </c>
      <c r="K483" s="90">
        <f>L483*F483</f>
        <v>1.8800000000000001</v>
      </c>
      <c r="L483" s="90">
        <f>IF(E483="M"," ",H483/G483)</f>
        <v>1.8800000000000001</v>
      </c>
      <c r="M483" s="16">
        <f>IF($E483="L",$J483,0)</f>
        <v>71.44</v>
      </c>
      <c r="N483" s="16">
        <f>IF($E483="M",$J483,0)</f>
        <v>0</v>
      </c>
      <c r="O483" s="16">
        <f>IF($E483="P",$J483,0)</f>
        <v>0</v>
      </c>
      <c r="P483" s="16">
        <f>IF($E483="S",$J483,0)</f>
        <v>0</v>
      </c>
      <c r="Q483" s="16">
        <f>SUM(M483:P483)</f>
        <v>71.44</v>
      </c>
      <c r="R483" s="118">
        <v>221</v>
      </c>
    </row>
    <row r="484" spans="1:18" outlineLevel="1" x14ac:dyDescent="0.5">
      <c r="A484" s="132" t="s">
        <v>448</v>
      </c>
      <c r="B484" s="1"/>
      <c r="C484" s="2"/>
      <c r="D484" s="1"/>
      <c r="E484" s="45"/>
      <c r="F484" s="53"/>
      <c r="G484" s="11"/>
      <c r="H484" s="11"/>
      <c r="I484" s="11"/>
      <c r="J484" s="11"/>
      <c r="K484" s="91"/>
      <c r="L484" s="91"/>
      <c r="M484" s="13"/>
      <c r="N484" s="13"/>
      <c r="O484" s="13"/>
      <c r="P484" s="13"/>
      <c r="Q484" s="13"/>
      <c r="R484" s="119"/>
    </row>
    <row r="485" spans="1:18" x14ac:dyDescent="0.5">
      <c r="A485" s="132" t="s">
        <v>448</v>
      </c>
      <c r="B485" s="1"/>
      <c r="C485" s="2"/>
      <c r="D485" s="1"/>
      <c r="E485" s="45"/>
      <c r="F485" s="53"/>
      <c r="G485" s="11"/>
      <c r="H485" s="11"/>
      <c r="I485" s="11"/>
      <c r="J485" s="11"/>
      <c r="K485" s="91"/>
      <c r="L485" s="91"/>
      <c r="M485" s="13"/>
      <c r="N485" s="13"/>
      <c r="O485" s="13"/>
      <c r="P485" s="13"/>
      <c r="Q485" s="13"/>
      <c r="R485" s="119"/>
    </row>
    <row r="486" spans="1:18" x14ac:dyDescent="0.5">
      <c r="A486" s="132">
        <v>100</v>
      </c>
      <c r="B486" s="1"/>
      <c r="C486" s="5" t="s">
        <v>646</v>
      </c>
      <c r="D486" s="1"/>
      <c r="E486" s="45"/>
      <c r="F486" s="53"/>
      <c r="G486" s="11"/>
      <c r="H486" s="11"/>
      <c r="I486" s="11"/>
      <c r="J486" s="11"/>
      <c r="K486" s="91"/>
      <c r="L486" s="91"/>
      <c r="M486" s="13"/>
      <c r="N486" s="13"/>
      <c r="O486" s="13"/>
      <c r="P486" s="13"/>
      <c r="Q486" s="13"/>
      <c r="R486" s="119"/>
    </row>
    <row r="487" spans="1:18" ht="42" x14ac:dyDescent="0.5">
      <c r="A487" s="130">
        <v>101</v>
      </c>
      <c r="B487" s="7" t="s">
        <v>209</v>
      </c>
      <c r="C487" s="7" t="s">
        <v>210</v>
      </c>
      <c r="D487" s="8" t="s">
        <v>25</v>
      </c>
      <c r="E487" s="43"/>
      <c r="F487" s="51"/>
      <c r="G487" s="9"/>
      <c r="H487" s="129">
        <f>VLOOKUP($A487,'Model Inputs'!$A:$D,4)</f>
        <v>940</v>
      </c>
      <c r="I487" s="9">
        <f>J487/H487</f>
        <v>34.671364012719735</v>
      </c>
      <c r="J487" s="9">
        <f>SUBTOTAL(9,J488:J496)</f>
        <v>32591.082171956554</v>
      </c>
      <c r="K487" s="89"/>
      <c r="L487" s="89">
        <f>ROUNDUP(MAX(L489:L496)/workhrs,0)</f>
        <v>7</v>
      </c>
      <c r="M487" s="9">
        <f>SUBTOTAL(9,M488:M496)</f>
        <v>10715.785684286315</v>
      </c>
      <c r="N487" s="9">
        <f t="shared" ref="N487:P487" si="50">SUBTOTAL(9,N488:N496)</f>
        <v>2699.68</v>
      </c>
      <c r="O487" s="9">
        <f t="shared" si="50"/>
        <v>19175.616487670242</v>
      </c>
      <c r="P487" s="9">
        <f t="shared" si="50"/>
        <v>0</v>
      </c>
      <c r="Q487" s="10">
        <f>SUM(M487:P487)</f>
        <v>32591.082171956557</v>
      </c>
      <c r="R487" s="117"/>
    </row>
    <row r="488" spans="1:18" outlineLevel="1" x14ac:dyDescent="0.5">
      <c r="A488" s="132" t="s">
        <v>448</v>
      </c>
      <c r="B488" s="1">
        <v>1</v>
      </c>
      <c r="C488" s="2" t="s">
        <v>916</v>
      </c>
      <c r="D488" s="1"/>
      <c r="E488" s="45"/>
      <c r="F488" s="53"/>
      <c r="G488" s="11"/>
      <c r="H488" s="11"/>
      <c r="I488" s="11"/>
      <c r="J488" s="11"/>
      <c r="K488" s="91"/>
      <c r="L488" s="91"/>
      <c r="M488" s="13"/>
      <c r="N488" s="13"/>
      <c r="O488" s="13"/>
      <c r="P488" s="13"/>
      <c r="Q488" s="13"/>
      <c r="R488" s="119"/>
    </row>
    <row r="489" spans="1:18" outlineLevel="1" x14ac:dyDescent="0.5">
      <c r="A489" s="131">
        <v>101.1</v>
      </c>
      <c r="B489" s="14">
        <v>2</v>
      </c>
      <c r="C489" s="15" t="s">
        <v>55</v>
      </c>
      <c r="D489" s="44" t="str">
        <f>VLOOKUP(Estimate!$C489,Resources!$B$3:$G$336,4,FALSE)</f>
        <v xml:space="preserve">hr   </v>
      </c>
      <c r="E489" s="44" t="str">
        <f>VLOOKUP(Estimate!$C489,Resources!$B$3:$G$336,3,FALSE)</f>
        <v>P</v>
      </c>
      <c r="F489" s="52">
        <v>1</v>
      </c>
      <c r="G489" s="129">
        <f>VLOOKUP($A489,'Model Inputs'!$A:$D,4)</f>
        <v>16.667000000000002</v>
      </c>
      <c r="H489" s="12">
        <f>H487</f>
        <v>940</v>
      </c>
      <c r="I489" s="12">
        <f>VLOOKUP(C489,Resources!$B$3:$G$336,6,FALSE)</f>
        <v>135</v>
      </c>
      <c r="J489" s="12">
        <f>(H489/(G489/F489))*I489</f>
        <v>7613.8477230455383</v>
      </c>
      <c r="K489" s="90">
        <f>L489*F489</f>
        <v>56.398872022559544</v>
      </c>
      <c r="L489" s="90">
        <f>IF(E489="M"," ",H489/G489)</f>
        <v>56.398872022559544</v>
      </c>
      <c r="M489" s="16">
        <f>IF($E489="L",$J489,0)</f>
        <v>0</v>
      </c>
      <c r="N489" s="16">
        <f>IF($E489="M",$J489,0)</f>
        <v>0</v>
      </c>
      <c r="O489" s="16">
        <f>IF($E489="P",$J489,0)</f>
        <v>7613.8477230455383</v>
      </c>
      <c r="P489" s="16">
        <f>IF($E489="S",$J489,0)</f>
        <v>0</v>
      </c>
      <c r="Q489" s="16">
        <f>SUM(M489:P489)</f>
        <v>7613.8477230455383</v>
      </c>
      <c r="R489" s="118">
        <v>111</v>
      </c>
    </row>
    <row r="490" spans="1:18" outlineLevel="1" x14ac:dyDescent="0.5">
      <c r="A490" s="131" t="s">
        <v>448</v>
      </c>
      <c r="B490" s="14">
        <v>3</v>
      </c>
      <c r="C490" s="15" t="s">
        <v>7</v>
      </c>
      <c r="D490" s="44" t="str">
        <f>VLOOKUP(Estimate!$C490,Resources!$B$3:$G$336,4,FALSE)</f>
        <v xml:space="preserve">hr   </v>
      </c>
      <c r="E490" s="44" t="str">
        <f>VLOOKUP(Estimate!$C490,Resources!$B$3:$G$336,3,FALSE)</f>
        <v>L</v>
      </c>
      <c r="F490" s="52">
        <v>3</v>
      </c>
      <c r="G490" s="12">
        <f>G489</f>
        <v>16.667000000000002</v>
      </c>
      <c r="H490" s="12">
        <f>H487</f>
        <v>940</v>
      </c>
      <c r="I490" s="12">
        <f>VLOOKUP(C490,Resources!$B$3:$G$336,6,FALSE)</f>
        <v>38</v>
      </c>
      <c r="J490" s="12">
        <f>(H490/(G490/F490))*I490</f>
        <v>6429.4714105717885</v>
      </c>
      <c r="K490" s="90">
        <f>L490*F490</f>
        <v>169.19661606767863</v>
      </c>
      <c r="L490" s="90">
        <f>IF(E490="M"," ",H490/G490)</f>
        <v>56.398872022559544</v>
      </c>
      <c r="M490" s="16">
        <f>IF($E490="L",$J490,0)</f>
        <v>6429.4714105717885</v>
      </c>
      <c r="N490" s="16">
        <f>IF($E490="M",$J490,0)</f>
        <v>0</v>
      </c>
      <c r="O490" s="16">
        <f>IF($E490="P",$J490,0)</f>
        <v>0</v>
      </c>
      <c r="P490" s="16">
        <f>IF($E490="S",$J490,0)</f>
        <v>0</v>
      </c>
      <c r="Q490" s="16">
        <f>SUM(M490:P490)</f>
        <v>6429.4714105717885</v>
      </c>
      <c r="R490" s="118">
        <v>111</v>
      </c>
    </row>
    <row r="491" spans="1:18" outlineLevel="1" x14ac:dyDescent="0.5">
      <c r="A491" s="131" t="s">
        <v>448</v>
      </c>
      <c r="B491" s="14">
        <v>4</v>
      </c>
      <c r="C491" s="15" t="s">
        <v>73</v>
      </c>
      <c r="D491" s="44" t="str">
        <f>VLOOKUP(Estimate!$C491,Resources!$B$3:$G$336,4,FALSE)</f>
        <v>tonne</v>
      </c>
      <c r="E491" s="44" t="str">
        <f>VLOOKUP(Estimate!$C491,Resources!$B$3:$G$336,3,FALSE)</f>
        <v>M</v>
      </c>
      <c r="F491" s="52">
        <v>1</v>
      </c>
      <c r="G491" s="12">
        <v>1</v>
      </c>
      <c r="H491" s="12">
        <f>H487/6.25</f>
        <v>150.4</v>
      </c>
      <c r="I491" s="12">
        <f>VLOOKUP(C491,Resources!$B$3:$G$336,6,FALSE)</f>
        <v>17.95</v>
      </c>
      <c r="J491" s="12">
        <f>(H491/(G491/F491))*I491</f>
        <v>2699.68</v>
      </c>
      <c r="K491" s="90"/>
      <c r="L491" s="90" t="str">
        <f>IF(E491="M"," ",H491/G491)</f>
        <v xml:space="preserve"> </v>
      </c>
      <c r="M491" s="16">
        <f>IF($E491="L",$J491,0)</f>
        <v>0</v>
      </c>
      <c r="N491" s="16">
        <f>IF($E491="M",$J491,0)</f>
        <v>2699.68</v>
      </c>
      <c r="O491" s="16">
        <f>IF($E491="P",$J491,0)</f>
        <v>0</v>
      </c>
      <c r="P491" s="16">
        <f>IF($E491="S",$J491,0)</f>
        <v>0</v>
      </c>
      <c r="Q491" s="16">
        <f>SUM(M491:P491)</f>
        <v>2699.68</v>
      </c>
      <c r="R491" s="118" t="s">
        <v>945</v>
      </c>
    </row>
    <row r="492" spans="1:18" outlineLevel="1" x14ac:dyDescent="0.5">
      <c r="A492" s="132" t="s">
        <v>448</v>
      </c>
      <c r="B492" s="1">
        <v>5</v>
      </c>
      <c r="C492" s="2" t="s">
        <v>917</v>
      </c>
      <c r="D492" s="1"/>
      <c r="E492" s="45"/>
      <c r="F492" s="53"/>
      <c r="G492" s="11"/>
      <c r="H492" s="11"/>
      <c r="I492" s="11"/>
      <c r="J492" s="11"/>
      <c r="K492" s="91"/>
      <c r="L492" s="91"/>
      <c r="M492" s="13"/>
      <c r="N492" s="13"/>
      <c r="O492" s="13"/>
      <c r="P492" s="13"/>
      <c r="Q492" s="13"/>
      <c r="R492" s="119"/>
    </row>
    <row r="493" spans="1:18" outlineLevel="1" x14ac:dyDescent="0.5">
      <c r="A493" s="131" t="s">
        <v>448</v>
      </c>
      <c r="B493" s="14">
        <v>6</v>
      </c>
      <c r="C493" s="15" t="s">
        <v>49</v>
      </c>
      <c r="D493" s="44" t="str">
        <f>VLOOKUP(Estimate!$C493,Resources!$B$3:$G$336,4,FALSE)</f>
        <v xml:space="preserve">hr   </v>
      </c>
      <c r="E493" s="44" t="str">
        <f>VLOOKUP(Estimate!$C493,Resources!$B$3:$G$336,3,FALSE)</f>
        <v>P</v>
      </c>
      <c r="F493" s="52">
        <v>1</v>
      </c>
      <c r="G493" s="12">
        <f>G489</f>
        <v>16.667000000000002</v>
      </c>
      <c r="H493" s="12">
        <f>H487</f>
        <v>940</v>
      </c>
      <c r="I493" s="12">
        <f>VLOOKUP(C493,Resources!$B$3:$G$336,6,FALSE)</f>
        <v>95</v>
      </c>
      <c r="J493" s="12">
        <f>(H493/(G493/F493))*I493</f>
        <v>5357.8928421431565</v>
      </c>
      <c r="K493" s="90">
        <f>L493*F493</f>
        <v>56.398872022559544</v>
      </c>
      <c r="L493" s="90">
        <f>IF(E493="M"," ",H493/G493)</f>
        <v>56.398872022559544</v>
      </c>
      <c r="M493" s="16">
        <f>IF($E493="L",$J493,0)</f>
        <v>0</v>
      </c>
      <c r="N493" s="16">
        <f>IF($E493="M",$J493,0)</f>
        <v>0</v>
      </c>
      <c r="O493" s="16">
        <f>IF($E493="P",$J493,0)</f>
        <v>5357.8928421431565</v>
      </c>
      <c r="P493" s="16">
        <f>IF($E493="S",$J493,0)</f>
        <v>0</v>
      </c>
      <c r="Q493" s="16">
        <f>SUM(M493:P493)</f>
        <v>5357.8928421431565</v>
      </c>
      <c r="R493" s="118">
        <v>111</v>
      </c>
    </row>
    <row r="494" spans="1:18" outlineLevel="1" x14ac:dyDescent="0.5">
      <c r="A494" s="131" t="s">
        <v>448</v>
      </c>
      <c r="B494" s="14">
        <v>7</v>
      </c>
      <c r="C494" s="15" t="s">
        <v>60</v>
      </c>
      <c r="D494" s="44" t="str">
        <f>VLOOKUP(Estimate!$C494,Resources!$B$3:$G$336,4,FALSE)</f>
        <v xml:space="preserve">hr   </v>
      </c>
      <c r="E494" s="44" t="str">
        <f>VLOOKUP(Estimate!$C494,Resources!$B$3:$G$336,3,FALSE)</f>
        <v>P</v>
      </c>
      <c r="F494" s="52">
        <v>1</v>
      </c>
      <c r="G494" s="12">
        <f>G489</f>
        <v>16.667000000000002</v>
      </c>
      <c r="H494" s="12">
        <f>H487</f>
        <v>940</v>
      </c>
      <c r="I494" s="12">
        <f>VLOOKUP(C494,Resources!$B$3:$G$336,6,FALSE)</f>
        <v>95</v>
      </c>
      <c r="J494" s="12">
        <f>(H494/(G494/F494))*I494</f>
        <v>5357.8928421431565</v>
      </c>
      <c r="K494" s="90">
        <f>L494*F494</f>
        <v>56.398872022559544</v>
      </c>
      <c r="L494" s="90">
        <f>IF(E494="M"," ",H494/G494)</f>
        <v>56.398872022559544</v>
      </c>
      <c r="M494" s="16">
        <f>IF($E494="L",$J494,0)</f>
        <v>0</v>
      </c>
      <c r="N494" s="16">
        <f>IF($E494="M",$J494,0)</f>
        <v>0</v>
      </c>
      <c r="O494" s="16">
        <f>IF($E494="P",$J494,0)</f>
        <v>5357.8928421431565</v>
      </c>
      <c r="P494" s="16">
        <f>IF($E494="S",$J494,0)</f>
        <v>0</v>
      </c>
      <c r="Q494" s="16">
        <f>SUM(M494:P494)</f>
        <v>5357.8928421431565</v>
      </c>
      <c r="R494" s="118">
        <v>111</v>
      </c>
    </row>
    <row r="495" spans="1:18" outlineLevel="1" x14ac:dyDescent="0.5">
      <c r="A495" s="131" t="s">
        <v>448</v>
      </c>
      <c r="B495" s="14">
        <v>8</v>
      </c>
      <c r="C495" s="15" t="s">
        <v>179</v>
      </c>
      <c r="D495" s="44" t="str">
        <f>VLOOKUP(Estimate!$C495,Resources!$B$3:$G$336,4,FALSE)</f>
        <v xml:space="preserve">hr   </v>
      </c>
      <c r="E495" s="44" t="str">
        <f>VLOOKUP(Estimate!$C495,Resources!$B$3:$G$336,3,FALSE)</f>
        <v>P</v>
      </c>
      <c r="F495" s="52">
        <v>1</v>
      </c>
      <c r="G495" s="12">
        <f>G489</f>
        <v>16.667000000000002</v>
      </c>
      <c r="H495" s="12">
        <f>H487</f>
        <v>940</v>
      </c>
      <c r="I495" s="12">
        <f>VLOOKUP(C495,Resources!$B$3:$G$336,6,FALSE)</f>
        <v>15</v>
      </c>
      <c r="J495" s="12">
        <f>(H495/(G495/F495))*I495</f>
        <v>845.98308033839317</v>
      </c>
      <c r="K495" s="90">
        <f>L495*F495</f>
        <v>56.398872022559544</v>
      </c>
      <c r="L495" s="90">
        <f>IF(E495="M"," ",H495/G495)</f>
        <v>56.398872022559544</v>
      </c>
      <c r="M495" s="16">
        <f>IF($E495="L",$J495,0)</f>
        <v>0</v>
      </c>
      <c r="N495" s="16">
        <f>IF($E495="M",$J495,0)</f>
        <v>0</v>
      </c>
      <c r="O495" s="16">
        <f>IF($E495="P",$J495,0)</f>
        <v>845.98308033839317</v>
      </c>
      <c r="P495" s="16">
        <f>IF($E495="S",$J495,0)</f>
        <v>0</v>
      </c>
      <c r="Q495" s="16">
        <f>SUM(M495:P495)</f>
        <v>845.98308033839317</v>
      </c>
      <c r="R495" s="118">
        <v>111</v>
      </c>
    </row>
    <row r="496" spans="1:18" outlineLevel="1" x14ac:dyDescent="0.5">
      <c r="A496" s="131" t="s">
        <v>448</v>
      </c>
      <c r="B496" s="14">
        <v>9</v>
      </c>
      <c r="C496" s="15" t="s">
        <v>7</v>
      </c>
      <c r="D496" s="44" t="str">
        <f>VLOOKUP(Estimate!$C496,Resources!$B$3:$G$336,4,FALSE)</f>
        <v xml:space="preserve">hr   </v>
      </c>
      <c r="E496" s="44" t="str">
        <f>VLOOKUP(Estimate!$C496,Resources!$B$3:$G$336,3,FALSE)</f>
        <v>L</v>
      </c>
      <c r="F496" s="52">
        <v>2</v>
      </c>
      <c r="G496" s="12">
        <f>G489</f>
        <v>16.667000000000002</v>
      </c>
      <c r="H496" s="12">
        <f>H487</f>
        <v>940</v>
      </c>
      <c r="I496" s="12">
        <f>VLOOKUP(C496,Resources!$B$3:$G$336,6,FALSE)</f>
        <v>38</v>
      </c>
      <c r="J496" s="12">
        <f>(H496/(G496/F496))*I496</f>
        <v>4286.3142737145254</v>
      </c>
      <c r="K496" s="90">
        <f>L496*F496</f>
        <v>112.79774404511909</v>
      </c>
      <c r="L496" s="90">
        <f>IF(E496="M"," ",H496/G496)</f>
        <v>56.398872022559544</v>
      </c>
      <c r="M496" s="16">
        <f>IF($E496="L",$J496,0)</f>
        <v>4286.3142737145254</v>
      </c>
      <c r="N496" s="16">
        <f>IF($E496="M",$J496,0)</f>
        <v>0</v>
      </c>
      <c r="O496" s="16">
        <f>IF($E496="P",$J496,0)</f>
        <v>0</v>
      </c>
      <c r="P496" s="16">
        <f>IF($E496="S",$J496,0)</f>
        <v>0</v>
      </c>
      <c r="Q496" s="16">
        <f>SUM(M496:P496)</f>
        <v>4286.3142737145254</v>
      </c>
      <c r="R496" s="118">
        <v>111</v>
      </c>
    </row>
    <row r="497" spans="1:18" outlineLevel="1" x14ac:dyDescent="0.5">
      <c r="A497" s="132" t="s">
        <v>448</v>
      </c>
      <c r="B497" s="1"/>
      <c r="C497" s="2"/>
      <c r="D497" s="1"/>
      <c r="E497" s="45"/>
      <c r="F497" s="53"/>
      <c r="G497" s="11"/>
      <c r="H497" s="11"/>
      <c r="I497" s="11"/>
      <c r="J497" s="11"/>
      <c r="K497" s="91"/>
      <c r="L497" s="91"/>
      <c r="M497" s="13"/>
      <c r="N497" s="13"/>
      <c r="O497" s="13"/>
      <c r="P497" s="13"/>
      <c r="Q497" s="13"/>
      <c r="R497" s="119"/>
    </row>
    <row r="498" spans="1:18" ht="21" x14ac:dyDescent="0.5">
      <c r="A498" s="130">
        <v>102</v>
      </c>
      <c r="B498" s="7" t="s">
        <v>211</v>
      </c>
      <c r="C498" s="7" t="s">
        <v>936</v>
      </c>
      <c r="D498" s="8" t="s">
        <v>25</v>
      </c>
      <c r="E498" s="43"/>
      <c r="F498" s="51"/>
      <c r="G498" s="9"/>
      <c r="H498" s="129">
        <f>VLOOKUP($A498,'Model Inputs'!$A:$D,4)</f>
        <v>613</v>
      </c>
      <c r="I498" s="9">
        <f>J498/H498</f>
        <v>5.4535</v>
      </c>
      <c r="J498" s="9">
        <f>SUBTOTAL(9,J499:J501)</f>
        <v>3342.9955</v>
      </c>
      <c r="K498" s="89"/>
      <c r="L498" s="89">
        <v>5</v>
      </c>
      <c r="M498" s="9">
        <f>SUBTOTAL(9,M499:M501)</f>
        <v>0</v>
      </c>
      <c r="N498" s="9">
        <f>SUBTOTAL(9,N499:N501)</f>
        <v>3342.9955</v>
      </c>
      <c r="O498" s="9">
        <f>SUBTOTAL(9,O499:O501)</f>
        <v>0</v>
      </c>
      <c r="P498" s="9">
        <f>SUBTOTAL(9,P499:P501)</f>
        <v>0</v>
      </c>
      <c r="Q498" s="10">
        <f>SUM(M498:P498)</f>
        <v>3342.9955</v>
      </c>
      <c r="R498" s="117"/>
    </row>
    <row r="499" spans="1:18" outlineLevel="1" x14ac:dyDescent="0.5">
      <c r="A499" s="131" t="s">
        <v>448</v>
      </c>
      <c r="B499" s="14">
        <v>1</v>
      </c>
      <c r="C499" s="15" t="s">
        <v>212</v>
      </c>
      <c r="D499" s="44" t="str">
        <f>VLOOKUP(Estimate!$C499,Resources!$B$3:$G$336,4,FALSE)</f>
        <v xml:space="preserve">m    </v>
      </c>
      <c r="E499" s="44" t="str">
        <f>VLOOKUP(Estimate!$C499,Resources!$B$3:$G$336,3,FALSE)</f>
        <v>M</v>
      </c>
      <c r="F499" s="52">
        <v>1</v>
      </c>
      <c r="G499" s="12">
        <v>1</v>
      </c>
      <c r="H499" s="12">
        <f>H498*1.05</f>
        <v>643.65</v>
      </c>
      <c r="I499" s="12">
        <f>VLOOKUP(C499,Resources!$B$3:$G$336,6,FALSE)</f>
        <v>4.45</v>
      </c>
      <c r="J499" s="12">
        <f>(H499/(G499/F499))*I499</f>
        <v>2864.2424999999998</v>
      </c>
      <c r="K499" s="90"/>
      <c r="L499" s="90" t="str">
        <f>IF(E499="M"," ",H499/G499)</f>
        <v xml:space="preserve"> </v>
      </c>
      <c r="M499" s="16">
        <f>IF($E499="L",$J499,0)</f>
        <v>0</v>
      </c>
      <c r="N499" s="16">
        <f>IF($E499="M",$J499,0)</f>
        <v>2864.2424999999998</v>
      </c>
      <c r="O499" s="16">
        <f>IF($E499="P",$J499,0)</f>
        <v>0</v>
      </c>
      <c r="P499" s="16">
        <f>IF($E499="S",$J499,0)</f>
        <v>0</v>
      </c>
      <c r="Q499" s="16">
        <f>SUM(M499:P499)</f>
        <v>2864.2424999999998</v>
      </c>
      <c r="R499" s="118" t="s">
        <v>964</v>
      </c>
    </row>
    <row r="500" spans="1:18" outlineLevel="1" x14ac:dyDescent="0.5">
      <c r="A500" s="131" t="s">
        <v>448</v>
      </c>
      <c r="B500" s="14">
        <v>2</v>
      </c>
      <c r="C500" s="15" t="s">
        <v>213</v>
      </c>
      <c r="D500" s="44" t="str">
        <f>VLOOKUP(Estimate!$C500,Resources!$B$3:$G$336,4,FALSE)</f>
        <v xml:space="preserve">m    </v>
      </c>
      <c r="E500" s="44" t="str">
        <f>VLOOKUP(Estimate!$C500,Resources!$B$3:$G$336,3,FALSE)</f>
        <v>M</v>
      </c>
      <c r="F500" s="52">
        <v>1</v>
      </c>
      <c r="G500" s="12">
        <v>1</v>
      </c>
      <c r="H500" s="12">
        <f>H498*1.1</f>
        <v>674.30000000000007</v>
      </c>
      <c r="I500" s="12">
        <f>VLOOKUP(C500,Resources!$B$3:$G$336,6,FALSE)</f>
        <v>0.11</v>
      </c>
      <c r="J500" s="12">
        <f>(H500/(G500/F500))*I500</f>
        <v>74.173000000000002</v>
      </c>
      <c r="K500" s="90"/>
      <c r="L500" s="90" t="str">
        <f>IF(E500="M"," ",H500/G500)</f>
        <v xml:space="preserve"> </v>
      </c>
      <c r="M500" s="16">
        <f>IF($E500="L",$J500,0)</f>
        <v>0</v>
      </c>
      <c r="N500" s="16">
        <f>IF($E500="M",$J500,0)</f>
        <v>74.173000000000002</v>
      </c>
      <c r="O500" s="16">
        <f>IF($E500="P",$J500,0)</f>
        <v>0</v>
      </c>
      <c r="P500" s="16">
        <f>IF($E500="S",$J500,0)</f>
        <v>0</v>
      </c>
      <c r="Q500" s="16">
        <f>SUM(M500:P500)</f>
        <v>74.173000000000002</v>
      </c>
      <c r="R500" s="118" t="s">
        <v>965</v>
      </c>
    </row>
    <row r="501" spans="1:18" outlineLevel="1" x14ac:dyDescent="0.5">
      <c r="A501" s="131" t="s">
        <v>448</v>
      </c>
      <c r="B501" s="14">
        <v>3</v>
      </c>
      <c r="C501" s="15" t="s">
        <v>214</v>
      </c>
      <c r="D501" s="44" t="str">
        <f>VLOOKUP(Estimate!$C501,Resources!$B$3:$G$336,4,FALSE)</f>
        <v xml:space="preserve">m    </v>
      </c>
      <c r="E501" s="44" t="str">
        <f>VLOOKUP(Estimate!$C501,Resources!$B$3:$G$336,3,FALSE)</f>
        <v>M</v>
      </c>
      <c r="F501" s="52">
        <v>1</v>
      </c>
      <c r="G501" s="12">
        <v>1</v>
      </c>
      <c r="H501" s="12">
        <f>H498*2</f>
        <v>1226</v>
      </c>
      <c r="I501" s="12">
        <f>VLOOKUP(C501,Resources!$B$3:$G$336,6,FALSE)</f>
        <v>0.33</v>
      </c>
      <c r="J501" s="12">
        <f>(H501/(G501/F501))*I501</f>
        <v>404.58000000000004</v>
      </c>
      <c r="K501" s="90"/>
      <c r="L501" s="90" t="str">
        <f>IF(E501="M"," ",H501/G501)</f>
        <v xml:space="preserve"> </v>
      </c>
      <c r="M501" s="16">
        <f>IF($E501="L",$J501,0)</f>
        <v>0</v>
      </c>
      <c r="N501" s="16">
        <f>IF($E501="M",$J501,0)</f>
        <v>404.58000000000004</v>
      </c>
      <c r="O501" s="16">
        <f>IF($E501="P",$J501,0)</f>
        <v>0</v>
      </c>
      <c r="P501" s="16">
        <f>IF($E501="S",$J501,0)</f>
        <v>0</v>
      </c>
      <c r="Q501" s="16">
        <f>SUM(M501:P501)</f>
        <v>404.58000000000004</v>
      </c>
      <c r="R501" s="118" t="s">
        <v>965</v>
      </c>
    </row>
    <row r="502" spans="1:18" outlineLevel="1" x14ac:dyDescent="0.5">
      <c r="A502" s="132" t="s">
        <v>448</v>
      </c>
      <c r="B502" s="1"/>
      <c r="C502" s="2"/>
      <c r="D502" s="1"/>
      <c r="E502" s="45"/>
      <c r="F502" s="53"/>
      <c r="G502" s="11"/>
      <c r="H502" s="11"/>
      <c r="I502" s="11"/>
      <c r="J502" s="11"/>
      <c r="K502" s="91"/>
      <c r="L502" s="91"/>
      <c r="M502" s="13"/>
      <c r="N502" s="13"/>
      <c r="O502" s="13"/>
      <c r="P502" s="13"/>
      <c r="Q502" s="13"/>
      <c r="R502" s="119"/>
    </row>
    <row r="503" spans="1:18" ht="21" x14ac:dyDescent="0.5">
      <c r="A503" s="130">
        <v>103</v>
      </c>
      <c r="B503" s="7" t="s">
        <v>215</v>
      </c>
      <c r="C503" s="7" t="s">
        <v>937</v>
      </c>
      <c r="D503" s="8"/>
      <c r="E503" s="43"/>
      <c r="F503" s="51"/>
      <c r="G503" s="9"/>
      <c r="H503" s="129">
        <f>VLOOKUP($A503,'Model Inputs'!$A:$D,4)</f>
        <v>500</v>
      </c>
      <c r="I503" s="9">
        <f>J503/H503</f>
        <v>2.923</v>
      </c>
      <c r="J503" s="9">
        <f>SUBTOTAL(9,J504:J506)</f>
        <v>1461.5</v>
      </c>
      <c r="K503" s="89"/>
      <c r="L503" s="89">
        <v>5</v>
      </c>
      <c r="M503" s="9">
        <f>SUBTOTAL(9,M504:M506)</f>
        <v>0</v>
      </c>
      <c r="N503" s="9">
        <f>SUBTOTAL(9,N504:N506)</f>
        <v>1461.5</v>
      </c>
      <c r="O503" s="9">
        <f>SUBTOTAL(9,O504:O506)</f>
        <v>0</v>
      </c>
      <c r="P503" s="9">
        <f>SUBTOTAL(9,P504:P506)</f>
        <v>0</v>
      </c>
      <c r="Q503" s="10">
        <f>SUM(M503:P503)</f>
        <v>1461.5</v>
      </c>
      <c r="R503" s="117"/>
    </row>
    <row r="504" spans="1:18" outlineLevel="1" x14ac:dyDescent="0.5">
      <c r="A504" s="131" t="s">
        <v>448</v>
      </c>
      <c r="B504" s="14">
        <v>1</v>
      </c>
      <c r="C504" s="15" t="s">
        <v>216</v>
      </c>
      <c r="D504" s="44" t="str">
        <f>VLOOKUP(Estimate!$C504,Resources!$B$3:$G$336,4,FALSE)</f>
        <v xml:space="preserve">m    </v>
      </c>
      <c r="E504" s="44" t="str">
        <f>VLOOKUP(Estimate!$C504,Resources!$B$3:$G$336,3,FALSE)</f>
        <v>M</v>
      </c>
      <c r="F504" s="52">
        <v>1</v>
      </c>
      <c r="G504" s="12">
        <v>1</v>
      </c>
      <c r="H504" s="12">
        <f>H503*1.05</f>
        <v>525</v>
      </c>
      <c r="I504" s="12">
        <f>VLOOKUP(C504,Resources!$B$3:$G$336,6,FALSE)</f>
        <v>2.04</v>
      </c>
      <c r="J504" s="12">
        <f>(H504/(G504/F504))*I504</f>
        <v>1071</v>
      </c>
      <c r="K504" s="90"/>
      <c r="L504" s="90" t="str">
        <f>IF(E504="M"," ",H504/G504)</f>
        <v xml:space="preserve"> </v>
      </c>
      <c r="M504" s="16">
        <f>IF($E504="L",$J504,0)</f>
        <v>0</v>
      </c>
      <c r="N504" s="16">
        <f>IF($E504="M",$J504,0)</f>
        <v>1071</v>
      </c>
      <c r="O504" s="16">
        <f>IF($E504="P",$J504,0)</f>
        <v>0</v>
      </c>
      <c r="P504" s="16">
        <f>IF($E504="S",$J504,0)</f>
        <v>0</v>
      </c>
      <c r="Q504" s="16">
        <f>SUM(M504:P504)</f>
        <v>1071</v>
      </c>
      <c r="R504" s="118" t="s">
        <v>964</v>
      </c>
    </row>
    <row r="505" spans="1:18" outlineLevel="1" x14ac:dyDescent="0.5">
      <c r="A505" s="131" t="s">
        <v>448</v>
      </c>
      <c r="B505" s="14">
        <v>2</v>
      </c>
      <c r="C505" s="15" t="s">
        <v>213</v>
      </c>
      <c r="D505" s="44" t="str">
        <f>VLOOKUP(Estimate!$C505,Resources!$B$3:$G$336,4,FALSE)</f>
        <v xml:space="preserve">m    </v>
      </c>
      <c r="E505" s="44" t="str">
        <f>VLOOKUP(Estimate!$C505,Resources!$B$3:$G$336,3,FALSE)</f>
        <v>M</v>
      </c>
      <c r="F505" s="52">
        <v>1</v>
      </c>
      <c r="G505" s="12">
        <v>1</v>
      </c>
      <c r="H505" s="12">
        <f>H503*1.1</f>
        <v>550</v>
      </c>
      <c r="I505" s="12">
        <f>VLOOKUP(C505,Resources!$B$3:$G$336,6,FALSE)</f>
        <v>0.11</v>
      </c>
      <c r="J505" s="12">
        <f>(H505/(G505/F505))*I505</f>
        <v>60.5</v>
      </c>
      <c r="K505" s="90"/>
      <c r="L505" s="90" t="str">
        <f>IF(E505="M"," ",H505/G505)</f>
        <v xml:space="preserve"> </v>
      </c>
      <c r="M505" s="16">
        <f>IF($E505="L",$J505,0)</f>
        <v>0</v>
      </c>
      <c r="N505" s="16">
        <f>IF($E505="M",$J505,0)</f>
        <v>60.5</v>
      </c>
      <c r="O505" s="16">
        <f>IF($E505="P",$J505,0)</f>
        <v>0</v>
      </c>
      <c r="P505" s="16">
        <f>IF($E505="S",$J505,0)</f>
        <v>0</v>
      </c>
      <c r="Q505" s="16">
        <f>SUM(M505:P505)</f>
        <v>60.5</v>
      </c>
      <c r="R505" s="118" t="s">
        <v>965</v>
      </c>
    </row>
    <row r="506" spans="1:18" outlineLevel="1" x14ac:dyDescent="0.5">
      <c r="A506" s="131" t="s">
        <v>448</v>
      </c>
      <c r="B506" s="14">
        <v>3</v>
      </c>
      <c r="C506" s="15" t="s">
        <v>214</v>
      </c>
      <c r="D506" s="44" t="str">
        <f>VLOOKUP(Estimate!$C506,Resources!$B$3:$G$336,4,FALSE)</f>
        <v xml:space="preserve">m    </v>
      </c>
      <c r="E506" s="44" t="str">
        <f>VLOOKUP(Estimate!$C506,Resources!$B$3:$G$336,3,FALSE)</f>
        <v>M</v>
      </c>
      <c r="F506" s="52">
        <v>1</v>
      </c>
      <c r="G506" s="12">
        <v>1</v>
      </c>
      <c r="H506" s="12">
        <f>H503*2</f>
        <v>1000</v>
      </c>
      <c r="I506" s="12">
        <f>VLOOKUP(C506,Resources!$B$3:$G$336,6,FALSE)</f>
        <v>0.33</v>
      </c>
      <c r="J506" s="12">
        <f>(H506/(G506/F506))*I506</f>
        <v>330</v>
      </c>
      <c r="K506" s="90"/>
      <c r="L506" s="90" t="str">
        <f>IF(E506="M"," ",H506/G506)</f>
        <v xml:space="preserve"> </v>
      </c>
      <c r="M506" s="16">
        <f>IF($E506="L",$J506,0)</f>
        <v>0</v>
      </c>
      <c r="N506" s="16">
        <f>IF($E506="M",$J506,0)</f>
        <v>330</v>
      </c>
      <c r="O506" s="16">
        <f>IF($E506="P",$J506,0)</f>
        <v>0</v>
      </c>
      <c r="P506" s="16">
        <f>IF($E506="S",$J506,0)</f>
        <v>0</v>
      </c>
      <c r="Q506" s="16">
        <f>SUM(M506:P506)</f>
        <v>330</v>
      </c>
      <c r="R506" s="118" t="s">
        <v>965</v>
      </c>
    </row>
    <row r="507" spans="1:18" outlineLevel="1" x14ac:dyDescent="0.5">
      <c r="A507" s="132" t="s">
        <v>448</v>
      </c>
      <c r="B507" s="1"/>
      <c r="C507" s="2"/>
      <c r="D507" s="1"/>
      <c r="E507" s="45"/>
      <c r="F507" s="53"/>
      <c r="G507" s="11"/>
      <c r="H507" s="11"/>
      <c r="I507" s="11"/>
      <c r="J507" s="11"/>
      <c r="K507" s="91"/>
      <c r="L507" s="91"/>
      <c r="M507" s="13"/>
      <c r="N507" s="13"/>
      <c r="O507" s="13"/>
      <c r="P507" s="13"/>
      <c r="Q507" s="13"/>
      <c r="R507" s="119"/>
    </row>
    <row r="508" spans="1:18" ht="21" x14ac:dyDescent="0.5">
      <c r="A508" s="130">
        <v>104</v>
      </c>
      <c r="B508" s="7" t="s">
        <v>217</v>
      </c>
      <c r="C508" s="7" t="s">
        <v>938</v>
      </c>
      <c r="D508" s="8" t="s">
        <v>25</v>
      </c>
      <c r="E508" s="43"/>
      <c r="F508" s="51"/>
      <c r="G508" s="9"/>
      <c r="H508" s="129">
        <f>VLOOKUP($A508,'Model Inputs'!$A:$D,4)</f>
        <v>270</v>
      </c>
      <c r="I508" s="9">
        <f>J508/H508</f>
        <v>6.1990000000000007</v>
      </c>
      <c r="J508" s="9">
        <f>SUBTOTAL(9,J509:J511)</f>
        <v>1673.7300000000002</v>
      </c>
      <c r="K508" s="89"/>
      <c r="L508" s="89">
        <v>5</v>
      </c>
      <c r="M508" s="9">
        <f>SUBTOTAL(9,M509:M511)</f>
        <v>0</v>
      </c>
      <c r="N508" s="9">
        <f>SUBTOTAL(9,N509:N511)</f>
        <v>1673.7300000000002</v>
      </c>
      <c r="O508" s="9">
        <f>SUBTOTAL(9,O509:O511)</f>
        <v>0</v>
      </c>
      <c r="P508" s="9">
        <f>SUBTOTAL(9,P509:P511)</f>
        <v>0</v>
      </c>
      <c r="Q508" s="10">
        <f>SUM(M508:P508)</f>
        <v>1673.7300000000002</v>
      </c>
      <c r="R508" s="117"/>
    </row>
    <row r="509" spans="1:18" outlineLevel="1" x14ac:dyDescent="0.5">
      <c r="A509" s="131" t="s">
        <v>448</v>
      </c>
      <c r="B509" s="14">
        <v>1</v>
      </c>
      <c r="C509" s="15" t="s">
        <v>218</v>
      </c>
      <c r="D509" s="44" t="str">
        <f>VLOOKUP(Estimate!$C509,Resources!$B$3:$G$336,4,FALSE)</f>
        <v xml:space="preserve">m    </v>
      </c>
      <c r="E509" s="44" t="str">
        <f>VLOOKUP(Estimate!$C509,Resources!$B$3:$G$336,3,FALSE)</f>
        <v>M</v>
      </c>
      <c r="F509" s="52">
        <v>1</v>
      </c>
      <c r="G509" s="12">
        <v>1</v>
      </c>
      <c r="H509" s="12">
        <f>H508*1.05</f>
        <v>283.5</v>
      </c>
      <c r="I509" s="12">
        <f>VLOOKUP(C509,Resources!$B$3:$G$336,6,FALSE)</f>
        <v>5.16</v>
      </c>
      <c r="J509" s="12">
        <f>(H509/(G509/F509))*I509</f>
        <v>1462.8600000000001</v>
      </c>
      <c r="K509" s="90"/>
      <c r="L509" s="90" t="str">
        <f>IF(E509="M"," ",H509/G509)</f>
        <v xml:space="preserve"> </v>
      </c>
      <c r="M509" s="16">
        <f>IF($E509="L",$J509,0)</f>
        <v>0</v>
      </c>
      <c r="N509" s="16">
        <f>IF($E509="M",$J509,0)</f>
        <v>1462.8600000000001</v>
      </c>
      <c r="O509" s="16">
        <f>IF($E509="P",$J509,0)</f>
        <v>0</v>
      </c>
      <c r="P509" s="16">
        <f>IF($E509="S",$J509,0)</f>
        <v>0</v>
      </c>
      <c r="Q509" s="16">
        <f>SUM(M509:P509)</f>
        <v>1462.8600000000001</v>
      </c>
      <c r="R509" s="118" t="s">
        <v>964</v>
      </c>
    </row>
    <row r="510" spans="1:18" outlineLevel="1" x14ac:dyDescent="0.5">
      <c r="A510" s="131" t="s">
        <v>448</v>
      </c>
      <c r="B510" s="14">
        <v>2</v>
      </c>
      <c r="C510" s="15" t="s">
        <v>213</v>
      </c>
      <c r="D510" s="44" t="str">
        <f>VLOOKUP(Estimate!$C510,Resources!$B$3:$G$336,4,FALSE)</f>
        <v xml:space="preserve">m    </v>
      </c>
      <c r="E510" s="44" t="str">
        <f>VLOOKUP(Estimate!$C510,Resources!$B$3:$G$336,3,FALSE)</f>
        <v>M</v>
      </c>
      <c r="F510" s="52">
        <v>1</v>
      </c>
      <c r="G510" s="12">
        <v>1</v>
      </c>
      <c r="H510" s="12">
        <f>H508*1.1</f>
        <v>297</v>
      </c>
      <c r="I510" s="12">
        <f>VLOOKUP(C510,Resources!$B$3:$G$336,6,FALSE)</f>
        <v>0.11</v>
      </c>
      <c r="J510" s="12">
        <f>(H510/(G510/F510))*I510</f>
        <v>32.67</v>
      </c>
      <c r="K510" s="90"/>
      <c r="L510" s="90" t="str">
        <f>IF(E510="M"," ",H510/G510)</f>
        <v xml:space="preserve"> </v>
      </c>
      <c r="M510" s="16">
        <f>IF($E510="L",$J510,0)</f>
        <v>0</v>
      </c>
      <c r="N510" s="16">
        <f>IF($E510="M",$J510,0)</f>
        <v>32.67</v>
      </c>
      <c r="O510" s="16">
        <f>IF($E510="P",$J510,0)</f>
        <v>0</v>
      </c>
      <c r="P510" s="16">
        <f>IF($E510="S",$J510,0)</f>
        <v>0</v>
      </c>
      <c r="Q510" s="16">
        <f>SUM(M510:P510)</f>
        <v>32.67</v>
      </c>
      <c r="R510" s="118" t="s">
        <v>965</v>
      </c>
    </row>
    <row r="511" spans="1:18" outlineLevel="1" x14ac:dyDescent="0.5">
      <c r="A511" s="131" t="s">
        <v>448</v>
      </c>
      <c r="B511" s="14">
        <v>3</v>
      </c>
      <c r="C511" s="15" t="s">
        <v>214</v>
      </c>
      <c r="D511" s="44" t="str">
        <f>VLOOKUP(Estimate!$C511,Resources!$B$3:$G$336,4,FALSE)</f>
        <v xml:space="preserve">m    </v>
      </c>
      <c r="E511" s="44" t="str">
        <f>VLOOKUP(Estimate!$C511,Resources!$B$3:$G$336,3,FALSE)</f>
        <v>M</v>
      </c>
      <c r="F511" s="52">
        <v>1</v>
      </c>
      <c r="G511" s="12">
        <v>1</v>
      </c>
      <c r="H511" s="12">
        <f>H508*2</f>
        <v>540</v>
      </c>
      <c r="I511" s="12">
        <f>VLOOKUP(C511,Resources!$B$3:$G$336,6,FALSE)</f>
        <v>0.33</v>
      </c>
      <c r="J511" s="12">
        <f>(H511/(G511/F511))*I511</f>
        <v>178.20000000000002</v>
      </c>
      <c r="K511" s="90"/>
      <c r="L511" s="90" t="str">
        <f>IF(E511="M"," ",H511/G511)</f>
        <v xml:space="preserve"> </v>
      </c>
      <c r="M511" s="16">
        <f>IF($E511="L",$J511,0)</f>
        <v>0</v>
      </c>
      <c r="N511" s="16">
        <f>IF($E511="M",$J511,0)</f>
        <v>178.20000000000002</v>
      </c>
      <c r="O511" s="16">
        <f>IF($E511="P",$J511,0)</f>
        <v>0</v>
      </c>
      <c r="P511" s="16">
        <f>IF($E511="S",$J511,0)</f>
        <v>0</v>
      </c>
      <c r="Q511" s="16">
        <f>SUM(M511:P511)</f>
        <v>178.20000000000002</v>
      </c>
      <c r="R511" s="118" t="s">
        <v>965</v>
      </c>
    </row>
    <row r="512" spans="1:18" outlineLevel="1" x14ac:dyDescent="0.5">
      <c r="A512" s="132" t="s">
        <v>448</v>
      </c>
      <c r="B512" s="1"/>
      <c r="C512" s="2"/>
      <c r="D512" s="1"/>
      <c r="E512" s="45"/>
      <c r="F512" s="53"/>
      <c r="G512" s="11"/>
      <c r="H512" s="11"/>
      <c r="I512" s="11"/>
      <c r="J512" s="11"/>
      <c r="K512" s="91"/>
      <c r="L512" s="91"/>
      <c r="M512" s="13"/>
      <c r="N512" s="13"/>
      <c r="O512" s="13"/>
      <c r="P512" s="13"/>
      <c r="Q512" s="13"/>
      <c r="R512" s="119"/>
    </row>
    <row r="513" spans="1:18" ht="31.5" x14ac:dyDescent="0.5">
      <c r="A513" s="130">
        <v>105</v>
      </c>
      <c r="B513" s="7" t="s">
        <v>219</v>
      </c>
      <c r="C513" s="7" t="s">
        <v>220</v>
      </c>
      <c r="D513" s="8" t="s">
        <v>144</v>
      </c>
      <c r="E513" s="43"/>
      <c r="F513" s="51"/>
      <c r="G513" s="9"/>
      <c r="H513" s="129">
        <f>VLOOKUP($A513,'Model Inputs'!$A:$D,4)</f>
        <v>13</v>
      </c>
      <c r="I513" s="9">
        <f>J513/H513</f>
        <v>1249.75</v>
      </c>
      <c r="J513" s="9">
        <f>SUBTOTAL(9,J514:J517)</f>
        <v>16246.75</v>
      </c>
      <c r="K513" s="89"/>
      <c r="L513" s="89">
        <f>ROUNDUP(MAX(L516:L517)/workhrs,0)</f>
        <v>6</v>
      </c>
      <c r="M513" s="9">
        <f>SUBTOTAL(9,M514:M517)</f>
        <v>3952</v>
      </c>
      <c r="N513" s="9">
        <f>SUBTOTAL(9,N514:N517)</f>
        <v>9824.75</v>
      </c>
      <c r="O513" s="9">
        <f>SUBTOTAL(9,O514:O517)</f>
        <v>2470</v>
      </c>
      <c r="P513" s="9">
        <f>SUBTOTAL(9,P514:P517)</f>
        <v>0</v>
      </c>
      <c r="Q513" s="10">
        <f>SUM(M513:P513)</f>
        <v>16246.75</v>
      </c>
      <c r="R513" s="117"/>
    </row>
    <row r="514" spans="1:18" outlineLevel="1" x14ac:dyDescent="0.5">
      <c r="A514" s="131" t="s">
        <v>448</v>
      </c>
      <c r="B514" s="14">
        <v>1</v>
      </c>
      <c r="C514" s="15" t="s">
        <v>221</v>
      </c>
      <c r="D514" s="44" t="str">
        <f>VLOOKUP(Estimate!$C514,Resources!$B$3:$G$336,4,FALSE)</f>
        <v xml:space="preserve">each </v>
      </c>
      <c r="E514" s="44" t="str">
        <f>VLOOKUP(Estimate!$C514,Resources!$B$3:$G$336,3,FALSE)</f>
        <v>M</v>
      </c>
      <c r="F514" s="52">
        <v>1</v>
      </c>
      <c r="G514" s="12">
        <v>1</v>
      </c>
      <c r="H514" s="12">
        <f>H513</f>
        <v>13</v>
      </c>
      <c r="I514" s="12">
        <f>VLOOKUP(C514,Resources!$B$3:$G$336,6,FALSE)</f>
        <v>737.8</v>
      </c>
      <c r="J514" s="12">
        <f>(H514/(G514/F514))*I514</f>
        <v>9591.4</v>
      </c>
      <c r="K514" s="90"/>
      <c r="L514" s="90" t="str">
        <f>IF(E514="M"," ",H514/G514)</f>
        <v xml:space="preserve"> </v>
      </c>
      <c r="M514" s="16">
        <f>IF($E514="L",$J514,0)</f>
        <v>0</v>
      </c>
      <c r="N514" s="16">
        <f>IF($E514="M",$J514,0)</f>
        <v>9591.4</v>
      </c>
      <c r="O514" s="16">
        <f>IF($E514="P",$J514,0)</f>
        <v>0</v>
      </c>
      <c r="P514" s="16">
        <f>IF($E514="S",$J514,0)</f>
        <v>0</v>
      </c>
      <c r="Q514" s="16">
        <f>SUM(M514:P514)</f>
        <v>9591.4</v>
      </c>
      <c r="R514" s="118" t="s">
        <v>966</v>
      </c>
    </row>
    <row r="515" spans="1:18" outlineLevel="1" x14ac:dyDescent="0.5">
      <c r="A515" s="131" t="s">
        <v>448</v>
      </c>
      <c r="B515" s="14">
        <v>2</v>
      </c>
      <c r="C515" s="15" t="s">
        <v>73</v>
      </c>
      <c r="D515" s="44" t="str">
        <f>VLOOKUP(Estimate!$C515,Resources!$B$3:$G$336,4,FALSE)</f>
        <v>tonne</v>
      </c>
      <c r="E515" s="44" t="str">
        <f>VLOOKUP(Estimate!$C515,Resources!$B$3:$G$336,3,FALSE)</f>
        <v>M</v>
      </c>
      <c r="F515" s="52">
        <v>1</v>
      </c>
      <c r="G515" s="12">
        <v>1</v>
      </c>
      <c r="H515" s="12">
        <f>H513</f>
        <v>13</v>
      </c>
      <c r="I515" s="12">
        <f>VLOOKUP(C515,Resources!$B$3:$G$336,6,FALSE)</f>
        <v>17.95</v>
      </c>
      <c r="J515" s="12">
        <f>(H515/(G515/F515))*I515</f>
        <v>233.35</v>
      </c>
      <c r="K515" s="90"/>
      <c r="L515" s="90" t="str">
        <f>IF(E515="M"," ",H515/G515)</f>
        <v xml:space="preserve"> </v>
      </c>
      <c r="M515" s="16">
        <f>IF($E515="L",$J515,0)</f>
        <v>0</v>
      </c>
      <c r="N515" s="16">
        <f>IF($E515="M",$J515,0)</f>
        <v>233.35</v>
      </c>
      <c r="O515" s="16">
        <f>IF($E515="P",$J515,0)</f>
        <v>0</v>
      </c>
      <c r="P515" s="16">
        <f>IF($E515="S",$J515,0)</f>
        <v>0</v>
      </c>
      <c r="Q515" s="16">
        <f>SUM(M515:P515)</f>
        <v>233.35</v>
      </c>
      <c r="R515" s="118" t="s">
        <v>945</v>
      </c>
    </row>
    <row r="516" spans="1:18" outlineLevel="1" x14ac:dyDescent="0.5">
      <c r="A516" s="131" t="s">
        <v>448</v>
      </c>
      <c r="B516" s="14">
        <v>3</v>
      </c>
      <c r="C516" s="15" t="s">
        <v>49</v>
      </c>
      <c r="D516" s="44" t="str">
        <f>VLOOKUP(Estimate!$C516,Resources!$B$3:$G$336,4,FALSE)</f>
        <v xml:space="preserve">hr   </v>
      </c>
      <c r="E516" s="44" t="str">
        <f>VLOOKUP(Estimate!$C516,Resources!$B$3:$G$336,3,FALSE)</f>
        <v>P</v>
      </c>
      <c r="F516" s="52">
        <v>1</v>
      </c>
      <c r="G516" s="12">
        <v>1</v>
      </c>
      <c r="H516" s="12">
        <f>H513*2</f>
        <v>26</v>
      </c>
      <c r="I516" s="12">
        <f>VLOOKUP(C516,Resources!$B$3:$G$336,6,FALSE)</f>
        <v>95</v>
      </c>
      <c r="J516" s="12">
        <f>(H516/(G516/F516))*I516</f>
        <v>2470</v>
      </c>
      <c r="K516" s="90">
        <f>L516*F516</f>
        <v>26</v>
      </c>
      <c r="L516" s="90">
        <f>IF(E516="M"," ",H516/G516)</f>
        <v>26</v>
      </c>
      <c r="M516" s="16">
        <f>IF($E516="L",$J516,0)</f>
        <v>0</v>
      </c>
      <c r="N516" s="16">
        <f>IF($E516="M",$J516,0)</f>
        <v>0</v>
      </c>
      <c r="O516" s="16">
        <f>IF($E516="P",$J516,0)</f>
        <v>2470</v>
      </c>
      <c r="P516" s="16">
        <f>IF($E516="S",$J516,0)</f>
        <v>0</v>
      </c>
      <c r="Q516" s="16">
        <f>SUM(M516:P516)</f>
        <v>2470</v>
      </c>
      <c r="R516" s="118">
        <v>111</v>
      </c>
    </row>
    <row r="517" spans="1:18" outlineLevel="1" x14ac:dyDescent="0.5">
      <c r="A517" s="131" t="s">
        <v>448</v>
      </c>
      <c r="B517" s="14">
        <v>4</v>
      </c>
      <c r="C517" s="15" t="s">
        <v>7</v>
      </c>
      <c r="D517" s="44" t="str">
        <f>VLOOKUP(Estimate!$C517,Resources!$B$3:$G$336,4,FALSE)</f>
        <v xml:space="preserve">hr   </v>
      </c>
      <c r="E517" s="44" t="str">
        <f>VLOOKUP(Estimate!$C517,Resources!$B$3:$G$336,3,FALSE)</f>
        <v>L</v>
      </c>
      <c r="F517" s="52">
        <v>2</v>
      </c>
      <c r="G517" s="12">
        <v>1</v>
      </c>
      <c r="H517" s="12">
        <f>H513*4</f>
        <v>52</v>
      </c>
      <c r="I517" s="12">
        <f>VLOOKUP(C517,Resources!$B$3:$G$336,6,FALSE)</f>
        <v>38</v>
      </c>
      <c r="J517" s="12">
        <f>(H517/(G517/F517))*I517</f>
        <v>3952</v>
      </c>
      <c r="K517" s="90">
        <f>L517*F517</f>
        <v>104</v>
      </c>
      <c r="L517" s="90">
        <f>IF(E517="M"," ",H517/G517)</f>
        <v>52</v>
      </c>
      <c r="M517" s="16">
        <f>IF($E517="L",$J517,0)</f>
        <v>3952</v>
      </c>
      <c r="N517" s="16">
        <f>IF($E517="M",$J517,0)</f>
        <v>0</v>
      </c>
      <c r="O517" s="16">
        <f>IF($E517="P",$J517,0)</f>
        <v>0</v>
      </c>
      <c r="P517" s="16">
        <f>IF($E517="S",$J517,0)</f>
        <v>0</v>
      </c>
      <c r="Q517" s="16">
        <f>SUM(M517:P517)</f>
        <v>3952</v>
      </c>
      <c r="R517" s="118">
        <v>111</v>
      </c>
    </row>
    <row r="518" spans="1:18" outlineLevel="1" x14ac:dyDescent="0.5">
      <c r="A518" s="132" t="s">
        <v>448</v>
      </c>
      <c r="B518" s="1"/>
      <c r="C518" s="2"/>
      <c r="D518" s="1"/>
      <c r="E518" s="45"/>
      <c r="F518" s="53"/>
      <c r="G518" s="11"/>
      <c r="H518" s="11"/>
      <c r="I518" s="11"/>
      <c r="J518" s="11"/>
      <c r="K518" s="91"/>
      <c r="L518" s="91"/>
      <c r="M518" s="13"/>
      <c r="N518" s="13"/>
      <c r="O518" s="13"/>
      <c r="P518" s="13"/>
      <c r="Q518" s="13"/>
      <c r="R518" s="119"/>
    </row>
    <row r="519" spans="1:18" ht="31.5" x14ac:dyDescent="0.5">
      <c r="A519" s="130">
        <v>106</v>
      </c>
      <c r="B519" s="7" t="s">
        <v>222</v>
      </c>
      <c r="C519" s="7" t="s">
        <v>223</v>
      </c>
      <c r="D519" s="8" t="s">
        <v>144</v>
      </c>
      <c r="E519" s="43"/>
      <c r="F519" s="51"/>
      <c r="G519" s="9"/>
      <c r="H519" s="129">
        <f>VLOOKUP($A519,'Model Inputs'!$A:$D,4)</f>
        <v>8</v>
      </c>
      <c r="I519" s="9">
        <f>J519/H519</f>
        <v>1538.5</v>
      </c>
      <c r="J519" s="9">
        <f>SUBTOTAL(9,J520:J523)</f>
        <v>12308</v>
      </c>
      <c r="K519" s="89"/>
      <c r="L519" s="89">
        <f>ROUNDUP(MAX(L522:L523)/workhrs,0)</f>
        <v>4</v>
      </c>
      <c r="M519" s="9">
        <f>SUBTOTAL(9,M520:M523)</f>
        <v>2432</v>
      </c>
      <c r="N519" s="9">
        <f>SUBTOTAL(9,N520:N523)</f>
        <v>8356</v>
      </c>
      <c r="O519" s="9">
        <f>SUBTOTAL(9,O520:O523)</f>
        <v>1520</v>
      </c>
      <c r="P519" s="9">
        <f>SUBTOTAL(9,P520:P523)</f>
        <v>0</v>
      </c>
      <c r="Q519" s="10">
        <f>SUM(M519:P519)</f>
        <v>12308</v>
      </c>
      <c r="R519" s="117"/>
    </row>
    <row r="520" spans="1:18" outlineLevel="1" x14ac:dyDescent="0.5">
      <c r="A520" s="131" t="s">
        <v>448</v>
      </c>
      <c r="B520" s="14">
        <v>1</v>
      </c>
      <c r="C520" s="15" t="s">
        <v>224</v>
      </c>
      <c r="D520" s="44" t="str">
        <f>VLOOKUP(Estimate!$C520,Resources!$B$3:$G$336,4,FALSE)</f>
        <v xml:space="preserve">each </v>
      </c>
      <c r="E520" s="44" t="str">
        <f>VLOOKUP(Estimate!$C520,Resources!$B$3:$G$336,3,FALSE)</f>
        <v>M</v>
      </c>
      <c r="F520" s="52">
        <v>1</v>
      </c>
      <c r="G520" s="12">
        <v>1</v>
      </c>
      <c r="H520" s="12">
        <f>H519</f>
        <v>8</v>
      </c>
      <c r="I520" s="12">
        <f>VLOOKUP(C520,Resources!$B$3:$G$336,6,FALSE)</f>
        <v>1026.55</v>
      </c>
      <c r="J520" s="12">
        <f>(H520/(G520/F520))*I520</f>
        <v>8212.4</v>
      </c>
      <c r="K520" s="90"/>
      <c r="L520" s="90" t="str">
        <f>IF(E520="M"," ",H520/G520)</f>
        <v xml:space="preserve"> </v>
      </c>
      <c r="M520" s="16">
        <f>IF($E520="L",$J520,0)</f>
        <v>0</v>
      </c>
      <c r="N520" s="16">
        <f>IF($E520="M",$J520,0)</f>
        <v>8212.4</v>
      </c>
      <c r="O520" s="16">
        <f>IF($E520="P",$J520,0)</f>
        <v>0</v>
      </c>
      <c r="P520" s="16">
        <f>IF($E520="S",$J520,0)</f>
        <v>0</v>
      </c>
      <c r="Q520" s="16">
        <f>SUM(M520:P520)</f>
        <v>8212.4</v>
      </c>
      <c r="R520" s="118" t="s">
        <v>966</v>
      </c>
    </row>
    <row r="521" spans="1:18" outlineLevel="1" x14ac:dyDescent="0.5">
      <c r="A521" s="131" t="s">
        <v>448</v>
      </c>
      <c r="B521" s="14">
        <v>2</v>
      </c>
      <c r="C521" s="15" t="s">
        <v>73</v>
      </c>
      <c r="D521" s="44" t="str">
        <f>VLOOKUP(Estimate!$C521,Resources!$B$3:$G$336,4,FALSE)</f>
        <v>tonne</v>
      </c>
      <c r="E521" s="44" t="str">
        <f>VLOOKUP(Estimate!$C521,Resources!$B$3:$G$336,3,FALSE)</f>
        <v>M</v>
      </c>
      <c r="F521" s="52">
        <v>1</v>
      </c>
      <c r="G521" s="12">
        <v>1</v>
      </c>
      <c r="H521" s="12">
        <f>H519</f>
        <v>8</v>
      </c>
      <c r="I521" s="12">
        <f>VLOOKUP(C521,Resources!$B$3:$G$336,6,FALSE)</f>
        <v>17.95</v>
      </c>
      <c r="J521" s="12">
        <f>(H521/(G521/F521))*I521</f>
        <v>143.6</v>
      </c>
      <c r="K521" s="90"/>
      <c r="L521" s="90" t="str">
        <f>IF(E521="M"," ",H521/G521)</f>
        <v xml:space="preserve"> </v>
      </c>
      <c r="M521" s="16">
        <f>IF($E521="L",$J521,0)</f>
        <v>0</v>
      </c>
      <c r="N521" s="16">
        <f>IF($E521="M",$J521,0)</f>
        <v>143.6</v>
      </c>
      <c r="O521" s="16">
        <f>IF($E521="P",$J521,0)</f>
        <v>0</v>
      </c>
      <c r="P521" s="16">
        <f>IF($E521="S",$J521,0)</f>
        <v>0</v>
      </c>
      <c r="Q521" s="16">
        <f>SUM(M521:P521)</f>
        <v>143.6</v>
      </c>
      <c r="R521" s="118" t="s">
        <v>945</v>
      </c>
    </row>
    <row r="522" spans="1:18" outlineLevel="1" x14ac:dyDescent="0.5">
      <c r="A522" s="131" t="s">
        <v>448</v>
      </c>
      <c r="B522" s="14">
        <v>3</v>
      </c>
      <c r="C522" s="15" t="s">
        <v>49</v>
      </c>
      <c r="D522" s="44" t="str">
        <f>VLOOKUP(Estimate!$C522,Resources!$B$3:$G$336,4,FALSE)</f>
        <v xml:space="preserve">hr   </v>
      </c>
      <c r="E522" s="44" t="str">
        <f>VLOOKUP(Estimate!$C522,Resources!$B$3:$G$336,3,FALSE)</f>
        <v>P</v>
      </c>
      <c r="F522" s="52">
        <v>1</v>
      </c>
      <c r="G522" s="12">
        <v>1</v>
      </c>
      <c r="H522" s="12">
        <f>H519*2</f>
        <v>16</v>
      </c>
      <c r="I522" s="12">
        <f>VLOOKUP(C522,Resources!$B$3:$G$336,6,FALSE)</f>
        <v>95</v>
      </c>
      <c r="J522" s="12">
        <f>(H522/(G522/F522))*I522</f>
        <v>1520</v>
      </c>
      <c r="K522" s="90">
        <f>L522*F522</f>
        <v>16</v>
      </c>
      <c r="L522" s="90">
        <f>IF(E522="M"," ",H522/G522)</f>
        <v>16</v>
      </c>
      <c r="M522" s="16">
        <f>IF($E522="L",$J522,0)</f>
        <v>0</v>
      </c>
      <c r="N522" s="16">
        <f>IF($E522="M",$J522,0)</f>
        <v>0</v>
      </c>
      <c r="O522" s="16">
        <f>IF($E522="P",$J522,0)</f>
        <v>1520</v>
      </c>
      <c r="P522" s="16">
        <f>IF($E522="S",$J522,0)</f>
        <v>0</v>
      </c>
      <c r="Q522" s="16">
        <f>SUM(M522:P522)</f>
        <v>1520</v>
      </c>
      <c r="R522" s="118">
        <v>111</v>
      </c>
    </row>
    <row r="523" spans="1:18" outlineLevel="1" x14ac:dyDescent="0.5">
      <c r="A523" s="131" t="s">
        <v>448</v>
      </c>
      <c r="B523" s="14">
        <v>4</v>
      </c>
      <c r="C523" s="15" t="s">
        <v>7</v>
      </c>
      <c r="D523" s="44" t="str">
        <f>VLOOKUP(Estimate!$C523,Resources!$B$3:$G$336,4,FALSE)</f>
        <v xml:space="preserve">hr   </v>
      </c>
      <c r="E523" s="44" t="str">
        <f>VLOOKUP(Estimate!$C523,Resources!$B$3:$G$336,3,FALSE)</f>
        <v>L</v>
      </c>
      <c r="F523" s="52">
        <v>2</v>
      </c>
      <c r="G523" s="12">
        <v>1</v>
      </c>
      <c r="H523" s="12">
        <f>H519*4</f>
        <v>32</v>
      </c>
      <c r="I523" s="12">
        <f>VLOOKUP(C523,Resources!$B$3:$G$336,6,FALSE)</f>
        <v>38</v>
      </c>
      <c r="J523" s="12">
        <f>(H523/(G523/F523))*I523</f>
        <v>2432</v>
      </c>
      <c r="K523" s="90">
        <f>L523*F523</f>
        <v>64</v>
      </c>
      <c r="L523" s="90">
        <f>IF(E523="M"," ",H523/G523)</f>
        <v>32</v>
      </c>
      <c r="M523" s="16">
        <f>IF($E523="L",$J523,0)</f>
        <v>2432</v>
      </c>
      <c r="N523" s="16">
        <f>IF($E523="M",$J523,0)</f>
        <v>0</v>
      </c>
      <c r="O523" s="16">
        <f>IF($E523="P",$J523,0)</f>
        <v>0</v>
      </c>
      <c r="P523" s="16">
        <f>IF($E523="S",$J523,0)</f>
        <v>0</v>
      </c>
      <c r="Q523" s="16">
        <f>SUM(M523:P523)</f>
        <v>2432</v>
      </c>
      <c r="R523" s="118">
        <v>111</v>
      </c>
    </row>
    <row r="524" spans="1:18" outlineLevel="1" x14ac:dyDescent="0.5">
      <c r="A524" s="132" t="s">
        <v>448</v>
      </c>
      <c r="B524" s="1"/>
      <c r="C524" s="2"/>
      <c r="D524" s="1"/>
      <c r="E524" s="45"/>
      <c r="F524" s="53"/>
      <c r="G524" s="11"/>
      <c r="H524" s="11"/>
      <c r="I524" s="11"/>
      <c r="J524" s="11"/>
      <c r="K524" s="91"/>
      <c r="L524" s="91"/>
      <c r="M524" s="13"/>
      <c r="N524" s="13"/>
      <c r="O524" s="13"/>
      <c r="P524" s="13"/>
      <c r="Q524" s="13"/>
      <c r="R524" s="119"/>
    </row>
    <row r="525" spans="1:18" ht="21" x14ac:dyDescent="0.5">
      <c r="A525" s="130">
        <v>107</v>
      </c>
      <c r="B525" s="7" t="s">
        <v>225</v>
      </c>
      <c r="C525" s="7" t="s">
        <v>226</v>
      </c>
      <c r="D525" s="8" t="s">
        <v>144</v>
      </c>
      <c r="E525" s="43"/>
      <c r="F525" s="51"/>
      <c r="G525" s="9"/>
      <c r="H525" s="129">
        <f>VLOOKUP($A525,'Model Inputs'!$A:$D,4)</f>
        <v>1</v>
      </c>
      <c r="I525" s="9">
        <f>J525/H525</f>
        <v>12010</v>
      </c>
      <c r="J525" s="9">
        <f>SUBTOTAL(9,J526:J527)</f>
        <v>12010</v>
      </c>
      <c r="K525" s="89"/>
      <c r="L525" s="89">
        <f>ROUNDUP(L527/workhrs,0)</f>
        <v>3</v>
      </c>
      <c r="M525" s="9">
        <f>SUBTOTAL(9,M526:M527)</f>
        <v>0</v>
      </c>
      <c r="N525" s="9">
        <f>SUBTOTAL(9,N526:N527)</f>
        <v>0</v>
      </c>
      <c r="O525" s="9">
        <f>SUBTOTAL(9,O526:O527)</f>
        <v>0</v>
      </c>
      <c r="P525" s="9">
        <f>SUBTOTAL(9,P526:P527)</f>
        <v>12010</v>
      </c>
      <c r="Q525" s="10">
        <f>SUM(M525:P525)</f>
        <v>12010</v>
      </c>
      <c r="R525" s="117"/>
    </row>
    <row r="526" spans="1:18" outlineLevel="1" x14ac:dyDescent="0.5">
      <c r="A526" s="131" t="s">
        <v>448</v>
      </c>
      <c r="B526" s="14">
        <v>1</v>
      </c>
      <c r="C526" s="15" t="s">
        <v>859</v>
      </c>
      <c r="D526" s="44" t="str">
        <f>VLOOKUP(Estimate!$C526,Resources!$B$3:$G$336,4,FALSE)</f>
        <v xml:space="preserve">each </v>
      </c>
      <c r="E526" s="44" t="str">
        <f>VLOOKUP(Estimate!$C526,Resources!$B$3:$G$336,3,FALSE)</f>
        <v>S</v>
      </c>
      <c r="F526" s="52"/>
      <c r="G526" s="12">
        <v>1</v>
      </c>
      <c r="H526" s="12">
        <f>H525</f>
        <v>1</v>
      </c>
      <c r="I526" s="12">
        <f>VLOOKUP(C526,Resources!$B$3:$G$336,6,FALSE)</f>
        <v>10810</v>
      </c>
      <c r="J526" s="12">
        <f>H526*I526</f>
        <v>10810</v>
      </c>
      <c r="K526" s="90"/>
      <c r="L526" s="90">
        <f>IF(E526="M"," ",H526/G526)</f>
        <v>1</v>
      </c>
      <c r="M526" s="16">
        <f>IF($E526="L",$J526,0)</f>
        <v>0</v>
      </c>
      <c r="N526" s="16">
        <f>IF($E526="M",$J526,0)</f>
        <v>0</v>
      </c>
      <c r="O526" s="16">
        <f>IF($E526="P",$J526,0)</f>
        <v>0</v>
      </c>
      <c r="P526" s="16">
        <f>IF($E526="S",$J526,0)</f>
        <v>10810</v>
      </c>
      <c r="Q526" s="16">
        <f>SUM(M526:P526)</f>
        <v>10810</v>
      </c>
      <c r="R526" s="118">
        <v>113</v>
      </c>
    </row>
    <row r="527" spans="1:18" outlineLevel="1" x14ac:dyDescent="0.5">
      <c r="A527" s="131" t="s">
        <v>448</v>
      </c>
      <c r="B527" s="14">
        <v>2</v>
      </c>
      <c r="C527" s="15" t="s">
        <v>227</v>
      </c>
      <c r="D527" s="44" t="str">
        <f>VLOOKUP(Estimate!$C527,Resources!$B$3:$G$336,4,FALSE)</f>
        <v xml:space="preserve">Item </v>
      </c>
      <c r="E527" s="44" t="str">
        <f>VLOOKUP(Estimate!$C527,Resources!$B$3:$G$336,3,FALSE)</f>
        <v>S</v>
      </c>
      <c r="F527" s="52"/>
      <c r="G527" s="12">
        <v>1</v>
      </c>
      <c r="H527" s="12">
        <f>H525*20</f>
        <v>20</v>
      </c>
      <c r="I527" s="12">
        <f>VLOOKUP(C527,Resources!$B$3:$G$336,6,FALSE)</f>
        <v>60</v>
      </c>
      <c r="J527" s="12">
        <f>H527*I527</f>
        <v>1200</v>
      </c>
      <c r="K527" s="90"/>
      <c r="L527" s="90">
        <f>IF(E527="M"," ",H527/G527)</f>
        <v>20</v>
      </c>
      <c r="M527" s="16">
        <f>IF($E527="L",$J527,0)</f>
        <v>0</v>
      </c>
      <c r="N527" s="16">
        <f>IF($E527="M",$J527,0)</f>
        <v>0</v>
      </c>
      <c r="O527" s="16">
        <f>IF($E527="P",$J527,0)</f>
        <v>0</v>
      </c>
      <c r="P527" s="16">
        <f>IF($E527="S",$J527,0)</f>
        <v>1200</v>
      </c>
      <c r="Q527" s="16">
        <f>SUM(M527:P527)</f>
        <v>1200</v>
      </c>
      <c r="R527" s="118">
        <v>113</v>
      </c>
    </row>
    <row r="528" spans="1:18" outlineLevel="1" x14ac:dyDescent="0.5">
      <c r="A528" s="132" t="s">
        <v>448</v>
      </c>
      <c r="B528" s="1"/>
      <c r="C528" s="2"/>
      <c r="D528" s="1"/>
      <c r="E528" s="45"/>
      <c r="F528" s="53"/>
      <c r="G528" s="11"/>
      <c r="H528" s="11"/>
      <c r="I528" s="11"/>
      <c r="J528" s="11"/>
      <c r="K528" s="91"/>
      <c r="L528" s="91"/>
      <c r="M528" s="13"/>
      <c r="N528" s="13"/>
      <c r="O528" s="13"/>
      <c r="P528" s="13"/>
      <c r="Q528" s="13"/>
      <c r="R528" s="119"/>
    </row>
    <row r="529" spans="1:18" ht="31.5" x14ac:dyDescent="0.5">
      <c r="A529" s="130">
        <v>108</v>
      </c>
      <c r="B529" s="7" t="s">
        <v>228</v>
      </c>
      <c r="C529" s="7" t="s">
        <v>229</v>
      </c>
      <c r="D529" s="8" t="s">
        <v>144</v>
      </c>
      <c r="E529" s="43"/>
      <c r="F529" s="51"/>
      <c r="G529" s="9"/>
      <c r="H529" s="129">
        <f>VLOOKUP($A529,'Model Inputs'!$A:$D,4)</f>
        <v>5</v>
      </c>
      <c r="I529" s="9">
        <f>J529/H529</f>
        <v>937.93</v>
      </c>
      <c r="J529" s="9">
        <f>SUBTOTAL(9,J530:J535)</f>
        <v>4689.6499999999996</v>
      </c>
      <c r="K529" s="89"/>
      <c r="L529" s="89">
        <f>ROUNDUP(MAX(L530,L535)/workhrs,0)</f>
        <v>1</v>
      </c>
      <c r="M529" s="9">
        <f>SUBTOTAL(9,M530:M535)</f>
        <v>1520</v>
      </c>
      <c r="N529" s="9">
        <f>SUBTOTAL(9,N530:N535)</f>
        <v>1819.65</v>
      </c>
      <c r="O529" s="9">
        <f>SUBTOTAL(9,O530:O535)</f>
        <v>1350</v>
      </c>
      <c r="P529" s="9">
        <f>SUBTOTAL(9,P530:P535)</f>
        <v>0</v>
      </c>
      <c r="Q529" s="10">
        <f t="shared" ref="Q529:Q535" si="51">SUM(M529:P529)</f>
        <v>4689.6499999999996</v>
      </c>
      <c r="R529" s="117"/>
    </row>
    <row r="530" spans="1:18" outlineLevel="1" x14ac:dyDescent="0.5">
      <c r="A530" s="131" t="s">
        <v>448</v>
      </c>
      <c r="B530" s="14">
        <v>1</v>
      </c>
      <c r="C530" s="15" t="s">
        <v>55</v>
      </c>
      <c r="D530" s="44" t="str">
        <f>VLOOKUP(Estimate!$C530,Resources!$B$3:$G$336,4,FALSE)</f>
        <v xml:space="preserve">hr   </v>
      </c>
      <c r="E530" s="44" t="str">
        <f>VLOOKUP(Estimate!$C530,Resources!$B$3:$G$336,3,FALSE)</f>
        <v>P</v>
      </c>
      <c r="F530" s="52">
        <f>H529</f>
        <v>5</v>
      </c>
      <c r="G530" s="12">
        <v>1</v>
      </c>
      <c r="H530" s="12">
        <v>2</v>
      </c>
      <c r="I530" s="12">
        <f>VLOOKUP(C530,Resources!$B$3:$G$336,6,FALSE)</f>
        <v>135</v>
      </c>
      <c r="J530" s="12">
        <f t="shared" ref="J530:J535" si="52">(H530/(G530/F530))*I530</f>
        <v>1350</v>
      </c>
      <c r="K530" s="90">
        <f>L530*F530</f>
        <v>10</v>
      </c>
      <c r="L530" s="90">
        <f t="shared" ref="L530:L535" si="53">IF(E530="M"," ",H530/G530)</f>
        <v>2</v>
      </c>
      <c r="M530" s="16">
        <f t="shared" ref="M530:M535" si="54">IF($E530="L",$J530,0)</f>
        <v>0</v>
      </c>
      <c r="N530" s="16">
        <f t="shared" ref="N530:N535" si="55">IF($E530="M",$J530,0)</f>
        <v>0</v>
      </c>
      <c r="O530" s="16">
        <f t="shared" ref="O530:O535" si="56">IF($E530="P",$J530,0)</f>
        <v>1350</v>
      </c>
      <c r="P530" s="16">
        <f t="shared" ref="P530:P535" si="57">IF($E530="S",$J530,0)</f>
        <v>0</v>
      </c>
      <c r="Q530" s="16">
        <f t="shared" si="51"/>
        <v>1350</v>
      </c>
      <c r="R530" s="118">
        <v>111</v>
      </c>
    </row>
    <row r="531" spans="1:18" outlineLevel="1" x14ac:dyDescent="0.5">
      <c r="A531" s="131" t="s">
        <v>448</v>
      </c>
      <c r="B531" s="14">
        <v>2</v>
      </c>
      <c r="C531" s="15" t="s">
        <v>218</v>
      </c>
      <c r="D531" s="44" t="str">
        <f>VLOOKUP(Estimate!$C531,Resources!$B$3:$G$336,4,FALSE)</f>
        <v xml:space="preserve">m    </v>
      </c>
      <c r="E531" s="44" t="str">
        <f>VLOOKUP(Estimate!$C531,Resources!$B$3:$G$336,3,FALSE)</f>
        <v>M</v>
      </c>
      <c r="F531" s="52">
        <f>F530</f>
        <v>5</v>
      </c>
      <c r="G531" s="12">
        <v>1</v>
      </c>
      <c r="H531" s="12">
        <v>30</v>
      </c>
      <c r="I531" s="12">
        <f>VLOOKUP(C531,Resources!$B$3:$G$336,6,FALSE)</f>
        <v>5.16</v>
      </c>
      <c r="J531" s="12">
        <f t="shared" si="52"/>
        <v>774</v>
      </c>
      <c r="K531" s="90"/>
      <c r="L531" s="90" t="str">
        <f t="shared" si="53"/>
        <v xml:space="preserve"> </v>
      </c>
      <c r="M531" s="16">
        <f t="shared" si="54"/>
        <v>0</v>
      </c>
      <c r="N531" s="16">
        <f t="shared" si="55"/>
        <v>774</v>
      </c>
      <c r="O531" s="16">
        <f t="shared" si="56"/>
        <v>0</v>
      </c>
      <c r="P531" s="16">
        <f t="shared" si="57"/>
        <v>0</v>
      </c>
      <c r="Q531" s="16">
        <f t="shared" si="51"/>
        <v>774</v>
      </c>
      <c r="R531" s="118" t="s">
        <v>964</v>
      </c>
    </row>
    <row r="532" spans="1:18" outlineLevel="1" x14ac:dyDescent="0.5">
      <c r="A532" s="131" t="s">
        <v>448</v>
      </c>
      <c r="B532" s="14">
        <v>3</v>
      </c>
      <c r="C532" s="15" t="s">
        <v>216</v>
      </c>
      <c r="D532" s="44" t="str">
        <f>VLOOKUP(Estimate!$C532,Resources!$B$3:$G$336,4,FALSE)</f>
        <v xml:space="preserve">m    </v>
      </c>
      <c r="E532" s="44" t="str">
        <f>VLOOKUP(Estimate!$C532,Resources!$B$3:$G$336,3,FALSE)</f>
        <v>M</v>
      </c>
      <c r="F532" s="52">
        <f>F531</f>
        <v>5</v>
      </c>
      <c r="G532" s="12">
        <v>1</v>
      </c>
      <c r="H532" s="12">
        <v>60</v>
      </c>
      <c r="I532" s="12">
        <f>VLOOKUP(C532,Resources!$B$3:$G$336,6,FALSE)</f>
        <v>2.04</v>
      </c>
      <c r="J532" s="12">
        <f t="shared" si="52"/>
        <v>612</v>
      </c>
      <c r="K532" s="90"/>
      <c r="L532" s="90" t="str">
        <f t="shared" si="53"/>
        <v xml:space="preserve"> </v>
      </c>
      <c r="M532" s="16">
        <f t="shared" si="54"/>
        <v>0</v>
      </c>
      <c r="N532" s="16">
        <f t="shared" si="55"/>
        <v>612</v>
      </c>
      <c r="O532" s="16">
        <f t="shared" si="56"/>
        <v>0</v>
      </c>
      <c r="P532" s="16">
        <f t="shared" si="57"/>
        <v>0</v>
      </c>
      <c r="Q532" s="16">
        <f t="shared" si="51"/>
        <v>612</v>
      </c>
      <c r="R532" s="118" t="s">
        <v>964</v>
      </c>
    </row>
    <row r="533" spans="1:18" outlineLevel="1" x14ac:dyDescent="0.5">
      <c r="A533" s="131" t="s">
        <v>448</v>
      </c>
      <c r="B533" s="14">
        <v>4</v>
      </c>
      <c r="C533" s="15" t="s">
        <v>230</v>
      </c>
      <c r="D533" s="44" t="str">
        <f>VLOOKUP(Estimate!$C533,Resources!$B$3:$G$336,4,FALSE)</f>
        <v xml:space="preserve">each </v>
      </c>
      <c r="E533" s="44" t="str">
        <f>VLOOKUP(Estimate!$C533,Resources!$B$3:$G$336,3,FALSE)</f>
        <v>M</v>
      </c>
      <c r="F533" s="52">
        <f>F532</f>
        <v>5</v>
      </c>
      <c r="G533" s="12">
        <v>1</v>
      </c>
      <c r="H533" s="12">
        <v>3</v>
      </c>
      <c r="I533" s="12">
        <f>VLOOKUP(C533,Resources!$B$3:$G$336,6,FALSE)</f>
        <v>25</v>
      </c>
      <c r="J533" s="12">
        <f t="shared" si="52"/>
        <v>375</v>
      </c>
      <c r="K533" s="90"/>
      <c r="L533" s="90" t="str">
        <f t="shared" si="53"/>
        <v xml:space="preserve"> </v>
      </c>
      <c r="M533" s="16">
        <f t="shared" si="54"/>
        <v>0</v>
      </c>
      <c r="N533" s="16">
        <f t="shared" si="55"/>
        <v>375</v>
      </c>
      <c r="O533" s="16">
        <f t="shared" si="56"/>
        <v>0</v>
      </c>
      <c r="P533" s="16">
        <f t="shared" si="57"/>
        <v>0</v>
      </c>
      <c r="Q533" s="16">
        <f t="shared" si="51"/>
        <v>375</v>
      </c>
      <c r="R533" s="118" t="s">
        <v>964</v>
      </c>
    </row>
    <row r="534" spans="1:18" outlineLevel="1" x14ac:dyDescent="0.5">
      <c r="A534" s="131" t="s">
        <v>448</v>
      </c>
      <c r="B534" s="14">
        <v>5</v>
      </c>
      <c r="C534" s="15" t="s">
        <v>231</v>
      </c>
      <c r="D534" s="44" t="str">
        <f>VLOOKUP(Estimate!$C534,Resources!$B$3:$G$336,4,FALSE)</f>
        <v xml:space="preserve">each </v>
      </c>
      <c r="E534" s="44" t="str">
        <f>VLOOKUP(Estimate!$C534,Resources!$B$3:$G$336,3,FALSE)</f>
        <v>M</v>
      </c>
      <c r="F534" s="52">
        <f>F533</f>
        <v>5</v>
      </c>
      <c r="G534" s="12">
        <v>1</v>
      </c>
      <c r="H534" s="12">
        <v>3</v>
      </c>
      <c r="I534" s="12">
        <f>VLOOKUP(C534,Resources!$B$3:$G$336,6,FALSE)</f>
        <v>3.91</v>
      </c>
      <c r="J534" s="12">
        <f t="shared" si="52"/>
        <v>58.650000000000006</v>
      </c>
      <c r="K534" s="90"/>
      <c r="L534" s="90" t="str">
        <f t="shared" si="53"/>
        <v xml:space="preserve"> </v>
      </c>
      <c r="M534" s="16">
        <f t="shared" si="54"/>
        <v>0</v>
      </c>
      <c r="N534" s="16">
        <f t="shared" si="55"/>
        <v>58.650000000000006</v>
      </c>
      <c r="O534" s="16">
        <f t="shared" si="56"/>
        <v>0</v>
      </c>
      <c r="P534" s="16">
        <f t="shared" si="57"/>
        <v>0</v>
      </c>
      <c r="Q534" s="16">
        <f t="shared" si="51"/>
        <v>58.650000000000006</v>
      </c>
      <c r="R534" s="118" t="s">
        <v>964</v>
      </c>
    </row>
    <row r="535" spans="1:18" outlineLevel="1" x14ac:dyDescent="0.5">
      <c r="A535" s="131" t="s">
        <v>448</v>
      </c>
      <c r="B535" s="14">
        <v>6</v>
      </c>
      <c r="C535" s="15" t="s">
        <v>7</v>
      </c>
      <c r="D535" s="44" t="str">
        <f>VLOOKUP(Estimate!$C535,Resources!$B$3:$G$336,4,FALSE)</f>
        <v xml:space="preserve">hr   </v>
      </c>
      <c r="E535" s="44" t="str">
        <f>VLOOKUP(Estimate!$C535,Resources!$B$3:$G$336,3,FALSE)</f>
        <v>L</v>
      </c>
      <c r="F535" s="52">
        <f>F534</f>
        <v>5</v>
      </c>
      <c r="G535" s="12">
        <v>1</v>
      </c>
      <c r="H535" s="12">
        <v>8</v>
      </c>
      <c r="I535" s="12">
        <f>VLOOKUP(C535,Resources!$B$3:$G$336,6,FALSE)</f>
        <v>38</v>
      </c>
      <c r="J535" s="12">
        <f t="shared" si="52"/>
        <v>1520</v>
      </c>
      <c r="K535" s="90">
        <f>L535*F535</f>
        <v>40</v>
      </c>
      <c r="L535" s="90">
        <f t="shared" si="53"/>
        <v>8</v>
      </c>
      <c r="M535" s="16">
        <f t="shared" si="54"/>
        <v>1520</v>
      </c>
      <c r="N535" s="16">
        <f t="shared" si="55"/>
        <v>0</v>
      </c>
      <c r="O535" s="16">
        <f t="shared" si="56"/>
        <v>0</v>
      </c>
      <c r="P535" s="16">
        <f t="shared" si="57"/>
        <v>0</v>
      </c>
      <c r="Q535" s="16">
        <f t="shared" si="51"/>
        <v>1520</v>
      </c>
      <c r="R535" s="118">
        <v>111</v>
      </c>
    </row>
    <row r="536" spans="1:18" outlineLevel="1" x14ac:dyDescent="0.5">
      <c r="A536" s="132" t="s">
        <v>448</v>
      </c>
      <c r="B536" s="1"/>
      <c r="C536" s="2"/>
      <c r="D536" s="1"/>
      <c r="E536" s="45"/>
      <c r="F536" s="53"/>
      <c r="G536" s="11"/>
      <c r="H536" s="11"/>
      <c r="I536" s="11"/>
      <c r="J536" s="11"/>
      <c r="K536" s="91"/>
      <c r="L536" s="91"/>
      <c r="M536" s="13"/>
      <c r="N536" s="13"/>
      <c r="O536" s="13"/>
      <c r="P536" s="13"/>
      <c r="Q536" s="13"/>
      <c r="R536" s="119"/>
    </row>
    <row r="537" spans="1:18" ht="31.5" x14ac:dyDescent="0.5">
      <c r="A537" s="130">
        <v>109</v>
      </c>
      <c r="B537" s="7" t="s">
        <v>232</v>
      </c>
      <c r="C537" s="7" t="s">
        <v>233</v>
      </c>
      <c r="D537" s="8" t="s">
        <v>144</v>
      </c>
      <c r="E537" s="43"/>
      <c r="F537" s="51"/>
      <c r="G537" s="9"/>
      <c r="H537" s="129">
        <f>VLOOKUP($A537,'Model Inputs'!$A:$D,4)</f>
        <v>2</v>
      </c>
      <c r="I537" s="9">
        <f>J537/H537</f>
        <v>556.91</v>
      </c>
      <c r="J537" s="9">
        <f>SUBTOTAL(9,J538:J542)</f>
        <v>1113.82</v>
      </c>
      <c r="K537" s="89"/>
      <c r="L537" s="89">
        <f>ROUNDUP(L542/workhrs,0)</f>
        <v>2</v>
      </c>
      <c r="M537" s="9">
        <f>SUBTOTAL(9,M538:M542)</f>
        <v>912</v>
      </c>
      <c r="N537" s="9">
        <f>SUBTOTAL(9,N538:N542)</f>
        <v>201.82</v>
      </c>
      <c r="O537" s="9">
        <f>SUBTOTAL(9,O538:O542)</f>
        <v>0</v>
      </c>
      <c r="P537" s="9">
        <f>SUBTOTAL(9,P538:P542)</f>
        <v>0</v>
      </c>
      <c r="Q537" s="10">
        <f t="shared" ref="Q537:Q542" si="58">SUM(M537:P537)</f>
        <v>1113.82</v>
      </c>
      <c r="R537" s="117"/>
    </row>
    <row r="538" spans="1:18" outlineLevel="1" x14ac:dyDescent="0.5">
      <c r="A538" s="131" t="s">
        <v>448</v>
      </c>
      <c r="B538" s="14">
        <v>1</v>
      </c>
      <c r="C538" s="15" t="s">
        <v>216</v>
      </c>
      <c r="D538" s="44" t="str">
        <f>VLOOKUP(Estimate!$C538,Resources!$B$3:$G$336,4,FALSE)</f>
        <v xml:space="preserve">m    </v>
      </c>
      <c r="E538" s="44" t="str">
        <f>VLOOKUP(Estimate!$C538,Resources!$B$3:$G$336,3,FALSE)</f>
        <v>M</v>
      </c>
      <c r="F538" s="52">
        <f>H537</f>
        <v>2</v>
      </c>
      <c r="G538" s="12">
        <v>1</v>
      </c>
      <c r="H538" s="12">
        <v>10</v>
      </c>
      <c r="I538" s="12">
        <f>VLOOKUP(C538,Resources!$B$3:$G$336,6,FALSE)</f>
        <v>2.04</v>
      </c>
      <c r="J538" s="12">
        <f>(H538/(G538/F538))*I538</f>
        <v>40.799999999999997</v>
      </c>
      <c r="K538" s="90"/>
      <c r="L538" s="90" t="str">
        <f>IF(E538="M"," ",H538/G538)</f>
        <v xml:space="preserve"> </v>
      </c>
      <c r="M538" s="16">
        <f>IF($E538="L",$J538,0)</f>
        <v>0</v>
      </c>
      <c r="N538" s="16">
        <f>IF($E538="M",$J538,0)</f>
        <v>40.799999999999997</v>
      </c>
      <c r="O538" s="16">
        <f>IF($E538="P",$J538,0)</f>
        <v>0</v>
      </c>
      <c r="P538" s="16">
        <f>IF($E538="S",$J538,0)</f>
        <v>0</v>
      </c>
      <c r="Q538" s="16">
        <f t="shared" si="58"/>
        <v>40.799999999999997</v>
      </c>
      <c r="R538" s="118" t="s">
        <v>964</v>
      </c>
    </row>
    <row r="539" spans="1:18" outlineLevel="1" x14ac:dyDescent="0.5">
      <c r="A539" s="131" t="s">
        <v>448</v>
      </c>
      <c r="B539" s="14">
        <v>2</v>
      </c>
      <c r="C539" s="15" t="s">
        <v>231</v>
      </c>
      <c r="D539" s="44" t="str">
        <f>VLOOKUP(Estimate!$C539,Resources!$B$3:$G$336,4,FALSE)</f>
        <v xml:space="preserve">each </v>
      </c>
      <c r="E539" s="44" t="str">
        <f>VLOOKUP(Estimate!$C539,Resources!$B$3:$G$336,3,FALSE)</f>
        <v>M</v>
      </c>
      <c r="F539" s="52">
        <f>F538</f>
        <v>2</v>
      </c>
      <c r="G539" s="12">
        <v>1</v>
      </c>
      <c r="H539" s="12">
        <v>1</v>
      </c>
      <c r="I539" s="12">
        <f>VLOOKUP(C539,Resources!$B$3:$G$336,6,FALSE)</f>
        <v>3.91</v>
      </c>
      <c r="J539" s="12">
        <f>(H539/(G539/F539))*I539</f>
        <v>7.82</v>
      </c>
      <c r="K539" s="90"/>
      <c r="L539" s="90" t="str">
        <f>IF(E539="M"," ",H539/G539)</f>
        <v xml:space="preserve"> </v>
      </c>
      <c r="M539" s="16">
        <f>IF($E539="L",$J539,0)</f>
        <v>0</v>
      </c>
      <c r="N539" s="16">
        <f>IF($E539="M",$J539,0)</f>
        <v>7.82</v>
      </c>
      <c r="O539" s="16">
        <f>IF($E539="P",$J539,0)</f>
        <v>0</v>
      </c>
      <c r="P539" s="16">
        <f>IF($E539="S",$J539,0)</f>
        <v>0</v>
      </c>
      <c r="Q539" s="16">
        <f t="shared" si="58"/>
        <v>7.82</v>
      </c>
      <c r="R539" s="118" t="s">
        <v>964</v>
      </c>
    </row>
    <row r="540" spans="1:18" outlineLevel="1" x14ac:dyDescent="0.5">
      <c r="A540" s="131" t="s">
        <v>448</v>
      </c>
      <c r="B540" s="14">
        <v>3</v>
      </c>
      <c r="C540" s="15" t="s">
        <v>218</v>
      </c>
      <c r="D540" s="44" t="str">
        <f>VLOOKUP(Estimate!$C540,Resources!$B$3:$G$336,4,FALSE)</f>
        <v xml:space="preserve">m    </v>
      </c>
      <c r="E540" s="44" t="str">
        <f>VLOOKUP(Estimate!$C540,Resources!$B$3:$G$336,3,FALSE)</f>
        <v>M</v>
      </c>
      <c r="F540" s="52">
        <f>F539</f>
        <v>2</v>
      </c>
      <c r="G540" s="12">
        <v>1</v>
      </c>
      <c r="H540" s="12">
        <v>10</v>
      </c>
      <c r="I540" s="12">
        <f>VLOOKUP(C540,Resources!$B$3:$G$336,6,FALSE)</f>
        <v>5.16</v>
      </c>
      <c r="J540" s="12">
        <f>(H540/(G540/F540))*I540</f>
        <v>103.2</v>
      </c>
      <c r="K540" s="90"/>
      <c r="L540" s="90" t="str">
        <f>IF(E540="M"," ",H540/G540)</f>
        <v xml:space="preserve"> </v>
      </c>
      <c r="M540" s="16">
        <f>IF($E540="L",$J540,0)</f>
        <v>0</v>
      </c>
      <c r="N540" s="16">
        <f>IF($E540="M",$J540,0)</f>
        <v>103.2</v>
      </c>
      <c r="O540" s="16">
        <f>IF($E540="P",$J540,0)</f>
        <v>0</v>
      </c>
      <c r="P540" s="16">
        <f>IF($E540="S",$J540,0)</f>
        <v>0</v>
      </c>
      <c r="Q540" s="16">
        <f t="shared" si="58"/>
        <v>103.2</v>
      </c>
      <c r="R540" s="118" t="s">
        <v>964</v>
      </c>
    </row>
    <row r="541" spans="1:18" outlineLevel="1" x14ac:dyDescent="0.5">
      <c r="A541" s="131" t="s">
        <v>448</v>
      </c>
      <c r="B541" s="14">
        <v>4</v>
      </c>
      <c r="C541" s="15" t="s">
        <v>230</v>
      </c>
      <c r="D541" s="44" t="str">
        <f>VLOOKUP(Estimate!$C541,Resources!$B$3:$G$336,4,FALSE)</f>
        <v xml:space="preserve">each </v>
      </c>
      <c r="E541" s="44" t="str">
        <f>VLOOKUP(Estimate!$C541,Resources!$B$3:$G$336,3,FALSE)</f>
        <v>M</v>
      </c>
      <c r="F541" s="52">
        <f>F540</f>
        <v>2</v>
      </c>
      <c r="G541" s="12">
        <v>1</v>
      </c>
      <c r="H541" s="12">
        <v>1</v>
      </c>
      <c r="I541" s="12">
        <f>VLOOKUP(C541,Resources!$B$3:$G$336,6,FALSE)</f>
        <v>25</v>
      </c>
      <c r="J541" s="12">
        <f>(H541/(G541/F541))*I541</f>
        <v>50</v>
      </c>
      <c r="K541" s="90"/>
      <c r="L541" s="90" t="str">
        <f>IF(E541="M"," ",H541/G541)</f>
        <v xml:space="preserve"> </v>
      </c>
      <c r="M541" s="16">
        <f>IF($E541="L",$J541,0)</f>
        <v>0</v>
      </c>
      <c r="N541" s="16">
        <f>IF($E541="M",$J541,0)</f>
        <v>50</v>
      </c>
      <c r="O541" s="16">
        <f>IF($E541="P",$J541,0)</f>
        <v>0</v>
      </c>
      <c r="P541" s="16">
        <f>IF($E541="S",$J541,0)</f>
        <v>0</v>
      </c>
      <c r="Q541" s="16">
        <f t="shared" si="58"/>
        <v>50</v>
      </c>
      <c r="R541" s="118" t="s">
        <v>964</v>
      </c>
    </row>
    <row r="542" spans="1:18" outlineLevel="1" x14ac:dyDescent="0.5">
      <c r="A542" s="131" t="s">
        <v>448</v>
      </c>
      <c r="B542" s="14">
        <v>5</v>
      </c>
      <c r="C542" s="15" t="s">
        <v>7</v>
      </c>
      <c r="D542" s="44" t="str">
        <f>VLOOKUP(Estimate!$C542,Resources!$B$3:$G$336,4,FALSE)</f>
        <v xml:space="preserve">hr   </v>
      </c>
      <c r="E542" s="44" t="str">
        <f>VLOOKUP(Estimate!$C542,Resources!$B$3:$G$336,3,FALSE)</f>
        <v>L</v>
      </c>
      <c r="F542" s="52">
        <f>F541</f>
        <v>2</v>
      </c>
      <c r="G542" s="12">
        <v>1</v>
      </c>
      <c r="H542" s="12">
        <v>12</v>
      </c>
      <c r="I542" s="12">
        <f>VLOOKUP(C542,Resources!$B$3:$G$336,6,FALSE)</f>
        <v>38</v>
      </c>
      <c r="J542" s="12">
        <f>(H542/(G542/F542))*I542</f>
        <v>912</v>
      </c>
      <c r="K542" s="90">
        <f>L542*F542</f>
        <v>24</v>
      </c>
      <c r="L542" s="90">
        <f>IF(E542="M"," ",H542/G542)</f>
        <v>12</v>
      </c>
      <c r="M542" s="16">
        <f>IF($E542="L",$J542,0)</f>
        <v>912</v>
      </c>
      <c r="N542" s="16">
        <f>IF($E542="M",$J542,0)</f>
        <v>0</v>
      </c>
      <c r="O542" s="16">
        <f>IF($E542="P",$J542,0)</f>
        <v>0</v>
      </c>
      <c r="P542" s="16">
        <f>IF($E542="S",$J542,0)</f>
        <v>0</v>
      </c>
      <c r="Q542" s="16">
        <f t="shared" si="58"/>
        <v>912</v>
      </c>
      <c r="R542" s="118">
        <v>111</v>
      </c>
    </row>
    <row r="543" spans="1:18" outlineLevel="1" x14ac:dyDescent="0.5">
      <c r="A543" s="132" t="s">
        <v>448</v>
      </c>
      <c r="B543" s="1"/>
      <c r="C543" s="2"/>
      <c r="D543" s="1"/>
      <c r="E543" s="45"/>
      <c r="F543" s="53"/>
      <c r="G543" s="11"/>
      <c r="H543" s="11"/>
      <c r="I543" s="11"/>
      <c r="J543" s="11"/>
      <c r="K543" s="91"/>
      <c r="L543" s="91"/>
      <c r="M543" s="13"/>
      <c r="N543" s="13"/>
      <c r="O543" s="13"/>
      <c r="P543" s="13"/>
      <c r="Q543" s="13"/>
      <c r="R543" s="119"/>
    </row>
    <row r="544" spans="1:18" ht="31.5" x14ac:dyDescent="0.5">
      <c r="A544" s="130">
        <v>110</v>
      </c>
      <c r="B544" s="7" t="s">
        <v>234</v>
      </c>
      <c r="C544" s="7" t="s">
        <v>235</v>
      </c>
      <c r="D544" s="8" t="s">
        <v>144</v>
      </c>
      <c r="E544" s="43"/>
      <c r="F544" s="51"/>
      <c r="G544" s="9"/>
      <c r="H544" s="129">
        <f>VLOOKUP($A544,'Model Inputs'!$A:$D,4)</f>
        <v>4</v>
      </c>
      <c r="I544" s="9">
        <f>J544/H544</f>
        <v>5804.65</v>
      </c>
      <c r="J544" s="9">
        <f>SUBTOTAL(9,J546:J558)</f>
        <v>23218.6</v>
      </c>
      <c r="K544" s="89"/>
      <c r="L544" s="89">
        <f>ROUNDUP(SUM(MAX(L551:L552),MAX(L554:L558))/workhrs,0)</f>
        <v>2</v>
      </c>
      <c r="M544" s="9">
        <f>SUBTOTAL(9,M546:M558)</f>
        <v>1216</v>
      </c>
      <c r="N544" s="9">
        <f>SUBTOTAL(9,N546:N558)</f>
        <v>10205.6</v>
      </c>
      <c r="O544" s="9">
        <f>SUBTOTAL(9,O546:O558)</f>
        <v>5780</v>
      </c>
      <c r="P544" s="9">
        <f>SUBTOTAL(9,P546:P558)</f>
        <v>6017</v>
      </c>
      <c r="Q544" s="10">
        <f>SUM(M544:P544)</f>
        <v>23218.6</v>
      </c>
      <c r="R544" s="117"/>
    </row>
    <row r="545" spans="1:70" s="22" customFormat="1" outlineLevel="1" x14ac:dyDescent="0.5">
      <c r="A545" s="133" t="s">
        <v>448</v>
      </c>
      <c r="B545" s="18">
        <v>1</v>
      </c>
      <c r="C545" s="19" t="s">
        <v>918</v>
      </c>
      <c r="D545" s="18"/>
      <c r="E545" s="46"/>
      <c r="F545" s="54"/>
      <c r="G545" s="20"/>
      <c r="H545" s="20"/>
      <c r="I545" s="20"/>
      <c r="J545" s="20"/>
      <c r="K545" s="92"/>
      <c r="L545" s="92"/>
      <c r="M545" s="21"/>
      <c r="N545" s="21"/>
      <c r="O545" s="21"/>
      <c r="P545" s="21"/>
      <c r="Q545" s="21"/>
      <c r="R545" s="120"/>
      <c r="BR545" s="83"/>
    </row>
    <row r="546" spans="1:70" outlineLevel="1" x14ac:dyDescent="0.5">
      <c r="A546" s="131" t="s">
        <v>448</v>
      </c>
      <c r="B546" s="14">
        <v>2</v>
      </c>
      <c r="C546" s="15" t="s">
        <v>236</v>
      </c>
      <c r="D546" s="44" t="str">
        <f>VLOOKUP(Estimate!$C546,Resources!$B$3:$G$336,4,FALSE)</f>
        <v xml:space="preserve">each </v>
      </c>
      <c r="E546" s="44" t="str">
        <f>VLOOKUP(Estimate!$C546,Resources!$B$3:$G$336,3,FALSE)</f>
        <v>M</v>
      </c>
      <c r="F546" s="52">
        <v>1</v>
      </c>
      <c r="G546" s="12">
        <v>1</v>
      </c>
      <c r="H546" s="12">
        <f>H544</f>
        <v>4</v>
      </c>
      <c r="I546" s="12">
        <f>VLOOKUP(C546,Resources!$B$3:$G$336,6,FALSE)</f>
        <v>375</v>
      </c>
      <c r="J546" s="12">
        <f>(H546/(G546/F546))*I546</f>
        <v>1500</v>
      </c>
      <c r="K546" s="90"/>
      <c r="L546" s="90" t="str">
        <f>IF(E546="M"," ",H546/G546)</f>
        <v xml:space="preserve"> </v>
      </c>
      <c r="M546" s="16">
        <f>IF($E546="L",$J546,0)</f>
        <v>0</v>
      </c>
      <c r="N546" s="16">
        <f>IF($E546="M",$J546,0)</f>
        <v>1500</v>
      </c>
      <c r="O546" s="16">
        <f>IF($E546="P",$J546,0)</f>
        <v>0</v>
      </c>
      <c r="P546" s="16">
        <f>IF($E546="S",$J546,0)</f>
        <v>0</v>
      </c>
      <c r="Q546" s="16">
        <f>SUM(M546:P546)</f>
        <v>1500</v>
      </c>
      <c r="R546" s="118" t="s">
        <v>965</v>
      </c>
    </row>
    <row r="547" spans="1:70" outlineLevel="1" x14ac:dyDescent="0.5">
      <c r="A547" s="131" t="s">
        <v>448</v>
      </c>
      <c r="B547" s="14">
        <v>3</v>
      </c>
      <c r="C547" s="15" t="s">
        <v>148</v>
      </c>
      <c r="D547" s="44" t="str">
        <f>VLOOKUP(Estimate!$C547,Resources!$B$3:$G$336,4,FALSE)</f>
        <v xml:space="preserve">m³   </v>
      </c>
      <c r="E547" s="44" t="str">
        <f>VLOOKUP(Estimate!$C547,Resources!$B$3:$G$336,3,FALSE)</f>
        <v>M</v>
      </c>
      <c r="F547" s="52">
        <v>1</v>
      </c>
      <c r="G547" s="12">
        <v>1</v>
      </c>
      <c r="H547" s="12">
        <f>H544*0.75</f>
        <v>3</v>
      </c>
      <c r="I547" s="12">
        <f>VLOOKUP(C547,Resources!$B$3:$G$336,6,FALSE)</f>
        <v>167.2</v>
      </c>
      <c r="J547" s="12">
        <f>(H547/(G547/F547))*I547</f>
        <v>501.59999999999997</v>
      </c>
      <c r="K547" s="90"/>
      <c r="L547" s="90" t="str">
        <f>IF(E547="M"," ",H547/G547)</f>
        <v xml:space="preserve"> </v>
      </c>
      <c r="M547" s="16">
        <f>IF($E547="L",$J547,0)</f>
        <v>0</v>
      </c>
      <c r="N547" s="16">
        <f>IF($E547="M",$J547,0)</f>
        <v>501.59999999999997</v>
      </c>
      <c r="O547" s="16">
        <f>IF($E547="P",$J547,0)</f>
        <v>0</v>
      </c>
      <c r="P547" s="16">
        <f>IF($E547="S",$J547,0)</f>
        <v>0</v>
      </c>
      <c r="Q547" s="16">
        <f>SUM(M547:P547)</f>
        <v>501.59999999999997</v>
      </c>
      <c r="R547" s="118" t="s">
        <v>965</v>
      </c>
    </row>
    <row r="548" spans="1:70" outlineLevel="1" x14ac:dyDescent="0.5">
      <c r="A548" s="131" t="s">
        <v>448</v>
      </c>
      <c r="B548" s="14">
        <v>4</v>
      </c>
      <c r="C548" s="15" t="s">
        <v>237</v>
      </c>
      <c r="D548" s="44" t="str">
        <f>VLOOKUP(Estimate!$C548,Resources!$B$3:$G$336,4,FALSE)</f>
        <v xml:space="preserve">each </v>
      </c>
      <c r="E548" s="44" t="str">
        <f>VLOOKUP(Estimate!$C548,Resources!$B$3:$G$336,3,FALSE)</f>
        <v>M</v>
      </c>
      <c r="F548" s="52">
        <v>1</v>
      </c>
      <c r="G548" s="12">
        <v>1</v>
      </c>
      <c r="H548" s="12">
        <f>H544</f>
        <v>4</v>
      </c>
      <c r="I548" s="12">
        <f>VLOOKUP(C548,Resources!$B$3:$G$336,6,FALSE)</f>
        <v>1391</v>
      </c>
      <c r="J548" s="12">
        <f>(H548/(G548/F548))*I548</f>
        <v>5564</v>
      </c>
      <c r="K548" s="90"/>
      <c r="L548" s="90" t="str">
        <f>IF(E548="M"," ",H548/G548)</f>
        <v xml:space="preserve"> </v>
      </c>
      <c r="M548" s="16">
        <f>IF($E548="L",$J548,0)</f>
        <v>0</v>
      </c>
      <c r="N548" s="16">
        <f>IF($E548="M",$J548,0)</f>
        <v>5564</v>
      </c>
      <c r="O548" s="16">
        <f>IF($E548="P",$J548,0)</f>
        <v>0</v>
      </c>
      <c r="P548" s="16">
        <f>IF($E548="S",$J548,0)</f>
        <v>0</v>
      </c>
      <c r="Q548" s="16">
        <f>SUM(M548:P548)</f>
        <v>5564</v>
      </c>
      <c r="R548" s="118" t="s">
        <v>965</v>
      </c>
    </row>
    <row r="549" spans="1:70" outlineLevel="1" x14ac:dyDescent="0.5">
      <c r="A549" s="131" t="s">
        <v>448</v>
      </c>
      <c r="B549" s="14">
        <v>5</v>
      </c>
      <c r="C549" s="15" t="s">
        <v>773</v>
      </c>
      <c r="D549" s="44" t="str">
        <f>VLOOKUP(Estimate!$C549,Resources!$B$3:$G$336,4,FALSE)</f>
        <v xml:space="preserve">each </v>
      </c>
      <c r="E549" s="44" t="str">
        <f>VLOOKUP(Estimate!$C549,Resources!$B$3:$G$336,3,FALSE)</f>
        <v>M</v>
      </c>
      <c r="F549" s="52">
        <v>1</v>
      </c>
      <c r="G549" s="12">
        <v>1</v>
      </c>
      <c r="H549" s="12">
        <f>H544*2</f>
        <v>8</v>
      </c>
      <c r="I549" s="12">
        <f>VLOOKUP(C549,Resources!$B$3:$G$336,6,FALSE)</f>
        <v>330</v>
      </c>
      <c r="J549" s="12">
        <f>(H549/(G549/F549))*I549</f>
        <v>2640</v>
      </c>
      <c r="K549" s="90"/>
      <c r="L549" s="90" t="str">
        <f>IF(E549="M"," ",H549/G549)</f>
        <v xml:space="preserve"> </v>
      </c>
      <c r="M549" s="16">
        <f>IF($E549="L",$J549,0)</f>
        <v>0</v>
      </c>
      <c r="N549" s="16">
        <f>IF($E549="M",$J549,0)</f>
        <v>2640</v>
      </c>
      <c r="O549" s="16">
        <f>IF($E549="P",$J549,0)</f>
        <v>0</v>
      </c>
      <c r="P549" s="16">
        <f>IF($E549="S",$J549,0)</f>
        <v>0</v>
      </c>
      <c r="Q549" s="16">
        <f>SUM(M549:P549)</f>
        <v>2640</v>
      </c>
      <c r="R549" s="118" t="s">
        <v>965</v>
      </c>
    </row>
    <row r="550" spans="1:70" s="22" customFormat="1" outlineLevel="1" x14ac:dyDescent="0.5">
      <c r="A550" s="133" t="s">
        <v>448</v>
      </c>
      <c r="B550" s="18">
        <v>6</v>
      </c>
      <c r="C550" s="19" t="s">
        <v>919</v>
      </c>
      <c r="D550" s="18"/>
      <c r="E550" s="46"/>
      <c r="F550" s="54"/>
      <c r="G550" s="20"/>
      <c r="H550" s="20"/>
      <c r="I550" s="20"/>
      <c r="J550" s="20"/>
      <c r="K550" s="92"/>
      <c r="L550" s="92"/>
      <c r="M550" s="21"/>
      <c r="N550" s="21"/>
      <c r="O550" s="21"/>
      <c r="P550" s="21"/>
      <c r="Q550" s="21"/>
      <c r="R550" s="120"/>
      <c r="BR550" s="83"/>
    </row>
    <row r="551" spans="1:70" outlineLevel="1" x14ac:dyDescent="0.5">
      <c r="A551" s="131">
        <v>110.1</v>
      </c>
      <c r="B551" s="14">
        <v>7</v>
      </c>
      <c r="C551" s="15" t="s">
        <v>91</v>
      </c>
      <c r="D551" s="44" t="str">
        <f>VLOOKUP(Estimate!$C551,Resources!$B$3:$G$336,4,FALSE)</f>
        <v xml:space="preserve">hr   </v>
      </c>
      <c r="E551" s="44" t="str">
        <f>VLOOKUP(Estimate!$C551,Resources!$B$3:$G$336,3,FALSE)</f>
        <v>P</v>
      </c>
      <c r="F551" s="52">
        <v>1</v>
      </c>
      <c r="G551" s="129">
        <f>VLOOKUP($A551,'Model Inputs'!$A:$D,4)</f>
        <v>0.5</v>
      </c>
      <c r="H551" s="12">
        <f>H544</f>
        <v>4</v>
      </c>
      <c r="I551" s="12">
        <f>VLOOKUP(C551,Resources!$B$3:$G$336,6,FALSE)</f>
        <v>100</v>
      </c>
      <c r="J551" s="12">
        <f>(H551/(G551/F551))*I551</f>
        <v>800</v>
      </c>
      <c r="K551" s="90">
        <f>L551*F551</f>
        <v>8</v>
      </c>
      <c r="L551" s="90">
        <f>IF(E551="M"," ",H551/G551)</f>
        <v>8</v>
      </c>
      <c r="M551" s="16">
        <f>IF($E551="L",$J551,0)</f>
        <v>0</v>
      </c>
      <c r="N551" s="16">
        <f>IF($E551="M",$J551,0)</f>
        <v>0</v>
      </c>
      <c r="O551" s="16">
        <f>IF($E551="P",$J551,0)</f>
        <v>800</v>
      </c>
      <c r="P551" s="16">
        <f>IF($E551="S",$J551,0)</f>
        <v>0</v>
      </c>
      <c r="Q551" s="16">
        <f>SUM(M551:P551)</f>
        <v>800</v>
      </c>
      <c r="R551" s="118">
        <v>111</v>
      </c>
    </row>
    <row r="552" spans="1:70" outlineLevel="1" x14ac:dyDescent="0.5">
      <c r="A552" s="131" t="s">
        <v>448</v>
      </c>
      <c r="B552" s="14">
        <v>8</v>
      </c>
      <c r="C552" s="15" t="s">
        <v>7</v>
      </c>
      <c r="D552" s="44" t="str">
        <f>VLOOKUP(Estimate!$C552,Resources!$B$3:$G$336,4,FALSE)</f>
        <v xml:space="preserve">hr   </v>
      </c>
      <c r="E552" s="44" t="str">
        <f>VLOOKUP(Estimate!$C552,Resources!$B$3:$G$336,3,FALSE)</f>
        <v>L</v>
      </c>
      <c r="F552" s="52">
        <v>2</v>
      </c>
      <c r="G552" s="12">
        <f>G551</f>
        <v>0.5</v>
      </c>
      <c r="H552" s="12">
        <f>H544</f>
        <v>4</v>
      </c>
      <c r="I552" s="12">
        <f>VLOOKUP(C552,Resources!$B$3:$G$336,6,FALSE)</f>
        <v>38</v>
      </c>
      <c r="J552" s="12">
        <f>(H552/(G552/F552))*I552</f>
        <v>608</v>
      </c>
      <c r="K552" s="90">
        <f>L552*F552</f>
        <v>16</v>
      </c>
      <c r="L552" s="90">
        <f>IF(E552="M"," ",H552/G552)</f>
        <v>8</v>
      </c>
      <c r="M552" s="16">
        <f>IF($E552="L",$J552,0)</f>
        <v>608</v>
      </c>
      <c r="N552" s="16">
        <f>IF($E552="M",$J552,0)</f>
        <v>0</v>
      </c>
      <c r="O552" s="16">
        <f>IF($E552="P",$J552,0)</f>
        <v>0</v>
      </c>
      <c r="P552" s="16">
        <f>IF($E552="S",$J552,0)</f>
        <v>0</v>
      </c>
      <c r="Q552" s="16">
        <f>SUM(M552:P552)</f>
        <v>608</v>
      </c>
      <c r="R552" s="118">
        <v>111</v>
      </c>
    </row>
    <row r="553" spans="1:70" s="22" customFormat="1" outlineLevel="1" x14ac:dyDescent="0.5">
      <c r="A553" s="133" t="s">
        <v>448</v>
      </c>
      <c r="B553" s="18">
        <v>9</v>
      </c>
      <c r="C553" s="19" t="s">
        <v>920</v>
      </c>
      <c r="D553" s="18"/>
      <c r="E553" s="46"/>
      <c r="F553" s="54"/>
      <c r="G553" s="20"/>
      <c r="H553" s="20"/>
      <c r="I553" s="20"/>
      <c r="J553" s="20"/>
      <c r="K553" s="92"/>
      <c r="L553" s="92"/>
      <c r="M553" s="21"/>
      <c r="N553" s="21"/>
      <c r="O553" s="21"/>
      <c r="P553" s="21"/>
      <c r="Q553" s="21"/>
      <c r="R553" s="120"/>
      <c r="BR553" s="83"/>
    </row>
    <row r="554" spans="1:70" outlineLevel="1" x14ac:dyDescent="0.5">
      <c r="A554" s="131" t="s">
        <v>448</v>
      </c>
      <c r="B554" s="14">
        <v>10</v>
      </c>
      <c r="C554" s="15" t="s">
        <v>227</v>
      </c>
      <c r="D554" s="44" t="str">
        <f>VLOOKUP(Estimate!$C554,Resources!$B$3:$G$336,4,FALSE)</f>
        <v xml:space="preserve">Item </v>
      </c>
      <c r="E554" s="44" t="str">
        <f>VLOOKUP(Estimate!$C554,Resources!$B$3:$G$336,3,FALSE)</f>
        <v>S</v>
      </c>
      <c r="F554" s="52">
        <f>H544*10</f>
        <v>40</v>
      </c>
      <c r="G554" s="12">
        <v>1</v>
      </c>
      <c r="H554" s="12">
        <v>1</v>
      </c>
      <c r="I554" s="12">
        <f>VLOOKUP(C554,Resources!$B$3:$G$336,6,FALSE)</f>
        <v>60</v>
      </c>
      <c r="J554" s="12">
        <f>(H554/(G554/F554))*I554</f>
        <v>2400</v>
      </c>
      <c r="K554" s="90"/>
      <c r="L554" s="90">
        <f>IF(E554="M"," ",H554/G554)</f>
        <v>1</v>
      </c>
      <c r="M554" s="16">
        <f>IF($E554="L",$J554,0)</f>
        <v>0</v>
      </c>
      <c r="N554" s="16">
        <f>IF($E554="M",$J554,0)</f>
        <v>0</v>
      </c>
      <c r="O554" s="16">
        <f>IF($E554="P",$J554,0)</f>
        <v>0</v>
      </c>
      <c r="P554" s="16">
        <f>IF($E554="S",$J554,0)</f>
        <v>2400</v>
      </c>
      <c r="Q554" s="16">
        <f>SUM(M554:P554)</f>
        <v>2400</v>
      </c>
      <c r="R554" s="118">
        <v>113</v>
      </c>
    </row>
    <row r="555" spans="1:70" outlineLevel="1" x14ac:dyDescent="0.5">
      <c r="A555" s="131" t="s">
        <v>448</v>
      </c>
      <c r="B555" s="14">
        <v>11</v>
      </c>
      <c r="C555" s="15" t="s">
        <v>816</v>
      </c>
      <c r="D555" s="44" t="str">
        <f>VLOOKUP(Estimate!$C555,Resources!$B$3:$G$336,4,FALSE)</f>
        <v xml:space="preserve">hr   </v>
      </c>
      <c r="E555" s="44" t="str">
        <f>VLOOKUP(Estimate!$C555,Resources!$B$3:$G$336,3,FALSE)</f>
        <v>P</v>
      </c>
      <c r="F555" s="52">
        <v>3</v>
      </c>
      <c r="G555" s="12">
        <v>1</v>
      </c>
      <c r="H555" s="12">
        <f>H544</f>
        <v>4</v>
      </c>
      <c r="I555" s="12">
        <f>VLOOKUP(C555,Resources!$B$3:$G$336,6,FALSE)</f>
        <v>165</v>
      </c>
      <c r="J555" s="12">
        <f>(H555/(G555/F555))*I555</f>
        <v>1980</v>
      </c>
      <c r="K555" s="90">
        <f>L555*F555</f>
        <v>12</v>
      </c>
      <c r="L555" s="90">
        <f>IF(E555="M"," ",H555/G555)</f>
        <v>4</v>
      </c>
      <c r="M555" s="16">
        <f>IF($E555="L",$J555,0)</f>
        <v>0</v>
      </c>
      <c r="N555" s="16">
        <f>IF($E555="M",$J555,0)</f>
        <v>0</v>
      </c>
      <c r="O555" s="16">
        <f>IF($E555="P",$J555,0)</f>
        <v>1980</v>
      </c>
      <c r="P555" s="16">
        <f>IF($E555="S",$J555,0)</f>
        <v>0</v>
      </c>
      <c r="Q555" s="16">
        <f>SUM(M555:P555)</f>
        <v>1980</v>
      </c>
      <c r="R555" s="118">
        <v>111</v>
      </c>
    </row>
    <row r="556" spans="1:70" outlineLevel="1" x14ac:dyDescent="0.5">
      <c r="A556" s="131" t="s">
        <v>448</v>
      </c>
      <c r="B556" s="14">
        <v>12</v>
      </c>
      <c r="C556" s="15" t="s">
        <v>7</v>
      </c>
      <c r="D556" s="44" t="str">
        <f>VLOOKUP(Estimate!$C556,Resources!$B$3:$G$336,4,FALSE)</f>
        <v xml:space="preserve">hr   </v>
      </c>
      <c r="E556" s="44" t="str">
        <f>VLOOKUP(Estimate!$C556,Resources!$B$3:$G$336,3,FALSE)</f>
        <v>L</v>
      </c>
      <c r="F556" s="52">
        <v>2</v>
      </c>
      <c r="G556" s="12">
        <v>0.5</v>
      </c>
      <c r="H556" s="12">
        <f>H544</f>
        <v>4</v>
      </c>
      <c r="I556" s="12">
        <f>VLOOKUP(C556,Resources!$B$3:$G$336,6,FALSE)</f>
        <v>38</v>
      </c>
      <c r="J556" s="12">
        <f>(H556/(G556/F556))*I556</f>
        <v>608</v>
      </c>
      <c r="K556" s="90">
        <f>L556*F556</f>
        <v>16</v>
      </c>
      <c r="L556" s="90">
        <f>IF(E556="M"," ",H556/G556)</f>
        <v>8</v>
      </c>
      <c r="M556" s="16">
        <f>IF($E556="L",$J556,0)</f>
        <v>608</v>
      </c>
      <c r="N556" s="16">
        <f>IF($E556="M",$J556,0)</f>
        <v>0</v>
      </c>
      <c r="O556" s="16">
        <f>IF($E556="P",$J556,0)</f>
        <v>0</v>
      </c>
      <c r="P556" s="16">
        <f>IF($E556="S",$J556,0)</f>
        <v>0</v>
      </c>
      <c r="Q556" s="16">
        <f>SUM(M556:P556)</f>
        <v>608</v>
      </c>
      <c r="R556" s="118">
        <v>111</v>
      </c>
    </row>
    <row r="557" spans="1:70" outlineLevel="1" x14ac:dyDescent="0.5">
      <c r="A557" s="131" t="s">
        <v>448</v>
      </c>
      <c r="B557" s="14">
        <v>13</v>
      </c>
      <c r="C557" s="15" t="s">
        <v>818</v>
      </c>
      <c r="D557" s="44" t="str">
        <f>VLOOKUP(Estimate!$C557,Resources!$B$3:$G$336,4,FALSE)</f>
        <v xml:space="preserve">day  </v>
      </c>
      <c r="E557" s="44" t="str">
        <f>VLOOKUP(Estimate!$C557,Resources!$B$3:$G$336,3,FALSE)</f>
        <v>P</v>
      </c>
      <c r="F557" s="52">
        <v>1</v>
      </c>
      <c r="G557" s="12">
        <v>1</v>
      </c>
      <c r="H557" s="12">
        <f>H544</f>
        <v>4</v>
      </c>
      <c r="I557" s="12">
        <f>VLOOKUP(C557,Resources!$B$3:$G$336,6,FALSE)</f>
        <v>750</v>
      </c>
      <c r="J557" s="12">
        <f>(H557/(G557/F557))*I557</f>
        <v>3000</v>
      </c>
      <c r="K557" s="90">
        <f>L557*F557</f>
        <v>4</v>
      </c>
      <c r="L557" s="90">
        <f>IF(E557="M"," ",H557/G557)</f>
        <v>4</v>
      </c>
      <c r="M557" s="16">
        <f>IF($E557="L",$J557,0)</f>
        <v>0</v>
      </c>
      <c r="N557" s="16">
        <f>IF($E557="M",$J557,0)</f>
        <v>0</v>
      </c>
      <c r="O557" s="16">
        <f>IF($E557="P",$J557,0)</f>
        <v>3000</v>
      </c>
      <c r="P557" s="16">
        <f>IF($E557="S",$J557,0)</f>
        <v>0</v>
      </c>
      <c r="Q557" s="16">
        <f>SUM(M557:P557)</f>
        <v>3000</v>
      </c>
      <c r="R557" s="118">
        <v>111</v>
      </c>
    </row>
    <row r="558" spans="1:70" outlineLevel="1" x14ac:dyDescent="0.5">
      <c r="A558" s="131" t="s">
        <v>448</v>
      </c>
      <c r="B558" s="14">
        <v>14</v>
      </c>
      <c r="C558" s="15" t="s">
        <v>871</v>
      </c>
      <c r="D558" s="44" t="str">
        <f>VLOOKUP(Estimate!$C558,Resources!$B$3:$G$336,4,FALSE)</f>
        <v xml:space="preserve">each </v>
      </c>
      <c r="E558" s="44" t="str">
        <f>VLOOKUP(Estimate!$C558,Resources!$B$3:$G$336,3,FALSE)</f>
        <v>S</v>
      </c>
      <c r="F558" s="52">
        <v>1</v>
      </c>
      <c r="G558" s="12">
        <v>1</v>
      </c>
      <c r="H558" s="12">
        <v>1</v>
      </c>
      <c r="I558" s="12">
        <f>VLOOKUP(C558,Resources!$B$3:$G$336,6,FALSE)</f>
        <v>3617</v>
      </c>
      <c r="J558" s="12">
        <f>(H558/(G558/F558))*I558</f>
        <v>3617</v>
      </c>
      <c r="K558" s="90">
        <f>L558*F558</f>
        <v>1</v>
      </c>
      <c r="L558" s="90">
        <f>IF(E558="M"," ",H558/G558)</f>
        <v>1</v>
      </c>
      <c r="M558" s="16">
        <f>IF($E558="L",$J558,0)</f>
        <v>0</v>
      </c>
      <c r="N558" s="16">
        <f>IF($E558="M",$J558,0)</f>
        <v>0</v>
      </c>
      <c r="O558" s="16">
        <f>IF($E558="P",$J558,0)</f>
        <v>0</v>
      </c>
      <c r="P558" s="16">
        <f>IF($E558="S",$J558,0)</f>
        <v>3617</v>
      </c>
      <c r="Q558" s="16">
        <f>SUM(M558:P558)</f>
        <v>3617</v>
      </c>
      <c r="R558" s="118">
        <v>113</v>
      </c>
    </row>
    <row r="559" spans="1:70" outlineLevel="1" x14ac:dyDescent="0.5">
      <c r="A559" s="132" t="s">
        <v>448</v>
      </c>
      <c r="B559" s="1"/>
      <c r="C559" s="2"/>
      <c r="D559" s="1"/>
      <c r="E559" s="45"/>
      <c r="F559" s="53"/>
      <c r="G559" s="11"/>
      <c r="H559" s="11"/>
      <c r="I559" s="11"/>
      <c r="J559" s="11"/>
      <c r="K559" s="91"/>
      <c r="L559" s="91"/>
      <c r="M559" s="13"/>
      <c r="N559" s="13"/>
      <c r="O559" s="13"/>
      <c r="P559" s="13"/>
      <c r="Q559" s="13"/>
      <c r="R559" s="119"/>
    </row>
    <row r="560" spans="1:70" ht="42" x14ac:dyDescent="0.5">
      <c r="A560" s="130">
        <v>111</v>
      </c>
      <c r="B560" s="7" t="s">
        <v>238</v>
      </c>
      <c r="C560" s="7" t="s">
        <v>239</v>
      </c>
      <c r="D560" s="8" t="s">
        <v>144</v>
      </c>
      <c r="E560" s="43"/>
      <c r="F560" s="51"/>
      <c r="G560" s="9"/>
      <c r="H560" s="129">
        <f>VLOOKUP($A560,'Model Inputs'!$A:$D,4)</f>
        <v>3</v>
      </c>
      <c r="I560" s="9">
        <f>J560/H560</f>
        <v>1543.3333333333333</v>
      </c>
      <c r="J560" s="9">
        <f>SUBTOTAL(9,J561:J562)</f>
        <v>4630</v>
      </c>
      <c r="K560" s="89"/>
      <c r="L560" s="89">
        <f>ROUNDUP(L562/workhrs,0)</f>
        <v>3</v>
      </c>
      <c r="M560" s="9">
        <f>SUBTOTAL(9,M561:M562)</f>
        <v>0</v>
      </c>
      <c r="N560" s="9">
        <f>SUBTOTAL(9,N561:N562)</f>
        <v>0</v>
      </c>
      <c r="O560" s="9">
        <f>SUBTOTAL(9,O561:O562)</f>
        <v>0</v>
      </c>
      <c r="P560" s="9">
        <f>SUBTOTAL(9,P561:P562)</f>
        <v>4630</v>
      </c>
      <c r="Q560" s="10">
        <f>SUM(M560:P560)</f>
        <v>4630</v>
      </c>
      <c r="R560" s="117"/>
    </row>
    <row r="561" spans="1:18" outlineLevel="1" x14ac:dyDescent="0.5">
      <c r="A561" s="131" t="s">
        <v>448</v>
      </c>
      <c r="B561" s="14">
        <v>1</v>
      </c>
      <c r="C561" s="15" t="s">
        <v>863</v>
      </c>
      <c r="D561" s="44" t="str">
        <f>VLOOKUP(Estimate!$C561,Resources!$B$3:$G$336,4,FALSE)</f>
        <v xml:space="preserve">each </v>
      </c>
      <c r="E561" s="44" t="str">
        <f>VLOOKUP(Estimate!$C561,Resources!$B$3:$G$336,3,FALSE)</f>
        <v>S</v>
      </c>
      <c r="F561" s="52"/>
      <c r="G561" s="12">
        <v>1</v>
      </c>
      <c r="H561" s="12">
        <v>1</v>
      </c>
      <c r="I561" s="12">
        <f>VLOOKUP(C561,Resources!$B$3:$G$336,6,FALSE)</f>
        <v>3430</v>
      </c>
      <c r="J561" s="12">
        <f>H561*I561</f>
        <v>3430</v>
      </c>
      <c r="K561" s="90"/>
      <c r="L561" s="90">
        <f>IF(E561="M"," ",H561/G561)</f>
        <v>1</v>
      </c>
      <c r="M561" s="16">
        <f>IF($E561="L",$J561,0)</f>
        <v>0</v>
      </c>
      <c r="N561" s="16">
        <f>IF($E561="M",$J561,0)</f>
        <v>0</v>
      </c>
      <c r="O561" s="16">
        <f>IF($E561="P",$J561,0)</f>
        <v>0</v>
      </c>
      <c r="P561" s="16">
        <f>IF($E561="S",$J561,0)</f>
        <v>3430</v>
      </c>
      <c r="Q561" s="16">
        <f>SUM(M561:P561)</f>
        <v>3430</v>
      </c>
      <c r="R561" s="118" t="s">
        <v>965</v>
      </c>
    </row>
    <row r="562" spans="1:18" outlineLevel="1" x14ac:dyDescent="0.5">
      <c r="A562" s="131" t="s">
        <v>448</v>
      </c>
      <c r="B562" s="14">
        <v>2</v>
      </c>
      <c r="C562" s="15" t="s">
        <v>227</v>
      </c>
      <c r="D562" s="44" t="str">
        <f>VLOOKUP(Estimate!$C562,Resources!$B$3:$G$336,4,FALSE)</f>
        <v xml:space="preserve">Item </v>
      </c>
      <c r="E562" s="44" t="str">
        <f>VLOOKUP(Estimate!$C562,Resources!$B$3:$G$336,3,FALSE)</f>
        <v>S</v>
      </c>
      <c r="F562" s="52"/>
      <c r="G562" s="12">
        <v>1</v>
      </c>
      <c r="H562" s="12">
        <v>20</v>
      </c>
      <c r="I562" s="12">
        <f>VLOOKUP(C562,Resources!$B$3:$G$336,6,FALSE)</f>
        <v>60</v>
      </c>
      <c r="J562" s="12">
        <f>H562*I562</f>
        <v>1200</v>
      </c>
      <c r="K562" s="90"/>
      <c r="L562" s="90">
        <f>IF(E562="M"," ",H562/G562)</f>
        <v>20</v>
      </c>
      <c r="M562" s="16">
        <f>IF($E562="L",$J562,0)</f>
        <v>0</v>
      </c>
      <c r="N562" s="16">
        <f>IF($E562="M",$J562,0)</f>
        <v>0</v>
      </c>
      <c r="O562" s="16">
        <f>IF($E562="P",$J562,0)</f>
        <v>0</v>
      </c>
      <c r="P562" s="16">
        <f>IF($E562="S",$J562,0)</f>
        <v>1200</v>
      </c>
      <c r="Q562" s="16">
        <f>SUM(M562:P562)</f>
        <v>1200</v>
      </c>
      <c r="R562" s="118">
        <v>113</v>
      </c>
    </row>
    <row r="563" spans="1:18" x14ac:dyDescent="0.5">
      <c r="A563" s="132" t="s">
        <v>448</v>
      </c>
      <c r="B563" s="1"/>
      <c r="C563" s="2"/>
      <c r="D563" s="1"/>
      <c r="E563" s="45"/>
      <c r="F563" s="53"/>
      <c r="G563" s="11"/>
      <c r="H563" s="11"/>
      <c r="I563" s="11"/>
      <c r="J563" s="11"/>
      <c r="K563" s="91"/>
      <c r="L563" s="91"/>
      <c r="M563" s="13"/>
      <c r="N563" s="13"/>
      <c r="O563" s="13"/>
      <c r="P563" s="13"/>
      <c r="Q563" s="13"/>
      <c r="R563" s="119"/>
    </row>
    <row r="564" spans="1:18" x14ac:dyDescent="0.5">
      <c r="A564" s="132">
        <v>112</v>
      </c>
      <c r="B564" s="1"/>
      <c r="C564" s="5" t="s">
        <v>647</v>
      </c>
      <c r="D564" s="1"/>
      <c r="E564" s="45"/>
      <c r="F564" s="53"/>
      <c r="G564" s="11"/>
      <c r="H564" s="11"/>
      <c r="I564" s="11"/>
      <c r="J564" s="11"/>
      <c r="K564" s="91"/>
      <c r="L564" s="91"/>
      <c r="M564" s="13"/>
      <c r="N564" s="13"/>
      <c r="O564" s="13"/>
      <c r="P564" s="13"/>
      <c r="Q564" s="13"/>
      <c r="R564" s="119"/>
    </row>
    <row r="565" spans="1:18" x14ac:dyDescent="0.5">
      <c r="A565" s="132">
        <v>113</v>
      </c>
      <c r="B565" s="1"/>
      <c r="C565" s="5" t="s">
        <v>648</v>
      </c>
      <c r="D565" s="1"/>
      <c r="E565" s="45"/>
      <c r="F565" s="53"/>
      <c r="G565" s="11"/>
      <c r="H565" s="11"/>
      <c r="I565" s="11"/>
      <c r="J565" s="11"/>
      <c r="K565" s="91"/>
      <c r="L565" s="91"/>
      <c r="M565" s="13"/>
      <c r="N565" s="13"/>
      <c r="O565" s="13"/>
      <c r="P565" s="13"/>
      <c r="Q565" s="13"/>
      <c r="R565" s="119"/>
    </row>
    <row r="566" spans="1:18" ht="21" x14ac:dyDescent="0.5">
      <c r="A566" s="132">
        <v>114</v>
      </c>
      <c r="B566" s="1"/>
      <c r="C566" s="5" t="s">
        <v>649</v>
      </c>
      <c r="D566" s="1"/>
      <c r="E566" s="45"/>
      <c r="F566" s="53"/>
      <c r="G566" s="11"/>
      <c r="H566" s="11"/>
      <c r="I566" s="11"/>
      <c r="J566" s="11"/>
      <c r="K566" s="91"/>
      <c r="L566" s="91"/>
      <c r="M566" s="13"/>
      <c r="N566" s="13"/>
      <c r="O566" s="13"/>
      <c r="P566" s="13"/>
      <c r="Q566" s="13"/>
      <c r="R566" s="119"/>
    </row>
    <row r="567" spans="1:18" ht="21" x14ac:dyDescent="0.5">
      <c r="A567" s="130">
        <v>115</v>
      </c>
      <c r="B567" s="7" t="s">
        <v>240</v>
      </c>
      <c r="C567" s="7" t="s">
        <v>241</v>
      </c>
      <c r="D567" s="8" t="s">
        <v>14</v>
      </c>
      <c r="E567" s="43"/>
      <c r="F567" s="51"/>
      <c r="G567" s="9"/>
      <c r="H567" s="129">
        <f>VLOOKUP($A567,'Model Inputs'!$A:$D,4)</f>
        <v>1</v>
      </c>
      <c r="I567" s="9">
        <f>J567/H567</f>
        <v>2499</v>
      </c>
      <c r="J567" s="9">
        <f>SUBTOTAL(9,J568)</f>
        <v>2499</v>
      </c>
      <c r="K567" s="89"/>
      <c r="L567" s="89">
        <v>1</v>
      </c>
      <c r="M567" s="9">
        <f>SUBTOTAL(9,M568)</f>
        <v>0</v>
      </c>
      <c r="N567" s="9">
        <f>SUBTOTAL(9,N568)</f>
        <v>0</v>
      </c>
      <c r="O567" s="9">
        <f>SUBTOTAL(9,O568)</f>
        <v>0</v>
      </c>
      <c r="P567" s="9">
        <f>SUBTOTAL(9,P568)</f>
        <v>2499</v>
      </c>
      <c r="Q567" s="10">
        <f>SUM(M567:P567)</f>
        <v>2499</v>
      </c>
      <c r="R567" s="117"/>
    </row>
    <row r="568" spans="1:18" outlineLevel="1" x14ac:dyDescent="0.5">
      <c r="A568" s="131" t="s">
        <v>448</v>
      </c>
      <c r="B568" s="14">
        <v>1</v>
      </c>
      <c r="C568" s="15" t="s">
        <v>242</v>
      </c>
      <c r="D568" s="44" t="str">
        <f>VLOOKUP(Estimate!$C568,Resources!$B$3:$G$336,4,FALSE)</f>
        <v xml:space="preserve">hr   </v>
      </c>
      <c r="E568" s="44" t="str">
        <f>VLOOKUP(Estimate!$C568,Resources!$B$3:$G$336,3,FALSE)</f>
        <v>S</v>
      </c>
      <c r="F568" s="52">
        <v>1</v>
      </c>
      <c r="G568" s="12">
        <v>1</v>
      </c>
      <c r="H568" s="12">
        <v>29.4</v>
      </c>
      <c r="I568" s="12">
        <f>VLOOKUP(C568,Resources!$B$3:$G$336,6,FALSE)</f>
        <v>85</v>
      </c>
      <c r="J568" s="12">
        <f>(H568/(G568/F568))*I568</f>
        <v>2499</v>
      </c>
      <c r="K568" s="90"/>
      <c r="L568" s="90">
        <f>IF(E568="M"," ",H568/G568)</f>
        <v>29.4</v>
      </c>
      <c r="M568" s="16">
        <f>IF($E568="L",$J568,0)</f>
        <v>0</v>
      </c>
      <c r="N568" s="16">
        <f>IF($E568="M",$J568,0)</f>
        <v>0</v>
      </c>
      <c r="O568" s="16">
        <f>IF($E568="P",$J568,0)</f>
        <v>0</v>
      </c>
      <c r="P568" s="16">
        <f>IF($E568="S",$J568,0)</f>
        <v>2499</v>
      </c>
      <c r="Q568" s="16">
        <f>SUM(M568:P568)</f>
        <v>2499</v>
      </c>
      <c r="R568" s="118">
        <v>103</v>
      </c>
    </row>
    <row r="569" spans="1:18" outlineLevel="1" x14ac:dyDescent="0.5">
      <c r="A569" s="132" t="s">
        <v>448</v>
      </c>
      <c r="B569" s="1"/>
      <c r="C569" s="2"/>
      <c r="D569" s="1"/>
      <c r="E569" s="45"/>
      <c r="F569" s="53"/>
      <c r="G569" s="11"/>
      <c r="H569" s="11"/>
      <c r="I569" s="11"/>
      <c r="J569" s="11"/>
      <c r="K569" s="91"/>
      <c r="L569" s="91"/>
      <c r="M569" s="13"/>
      <c r="N569" s="13"/>
      <c r="O569" s="13"/>
      <c r="P569" s="13"/>
      <c r="Q569" s="13"/>
      <c r="R569" s="119"/>
    </row>
    <row r="570" spans="1:18" x14ac:dyDescent="0.5">
      <c r="A570" s="132">
        <v>116</v>
      </c>
      <c r="B570" s="1"/>
      <c r="C570" s="5" t="s">
        <v>650</v>
      </c>
      <c r="D570" s="1"/>
      <c r="E570" s="45"/>
      <c r="F570" s="53"/>
      <c r="G570" s="11"/>
      <c r="H570" s="11"/>
      <c r="I570" s="11"/>
      <c r="J570" s="11"/>
      <c r="K570" s="91"/>
      <c r="L570" s="91"/>
      <c r="M570" s="13"/>
      <c r="N570" s="13"/>
      <c r="O570" s="13"/>
      <c r="P570" s="13"/>
      <c r="Q570" s="13"/>
      <c r="R570" s="119"/>
    </row>
    <row r="571" spans="1:18" x14ac:dyDescent="0.5">
      <c r="A571" s="132">
        <v>117</v>
      </c>
      <c r="B571" s="1"/>
      <c r="C571" s="5" t="s">
        <v>651</v>
      </c>
      <c r="D571" s="1"/>
      <c r="E571" s="45"/>
      <c r="F571" s="53"/>
      <c r="G571" s="11"/>
      <c r="H571" s="11"/>
      <c r="I571" s="11"/>
      <c r="J571" s="11"/>
      <c r="K571" s="91"/>
      <c r="L571" s="91"/>
      <c r="M571" s="13"/>
      <c r="N571" s="13"/>
      <c r="O571" s="13"/>
      <c r="P571" s="13"/>
      <c r="Q571" s="13"/>
      <c r="R571" s="119"/>
    </row>
    <row r="572" spans="1:18" ht="21" x14ac:dyDescent="0.5">
      <c r="A572" s="130">
        <v>118</v>
      </c>
      <c r="B572" s="7" t="s">
        <v>243</v>
      </c>
      <c r="C572" s="7" t="s">
        <v>244</v>
      </c>
      <c r="D572" s="8" t="s">
        <v>25</v>
      </c>
      <c r="E572" s="43"/>
      <c r="F572" s="51"/>
      <c r="G572" s="9"/>
      <c r="H572" s="129">
        <f>VLOOKUP($A572,'Model Inputs'!$A:$D,4)</f>
        <v>624</v>
      </c>
      <c r="I572" s="9">
        <f>J572/H572</f>
        <v>26.984999999999999</v>
      </c>
      <c r="J572" s="9">
        <f>SUBTOTAL(9,J573)</f>
        <v>16838.64</v>
      </c>
      <c r="K572" s="89"/>
      <c r="L572" s="89">
        <f>ROUNDUP(L573/(8*workhrs),0)</f>
        <v>10</v>
      </c>
      <c r="M572" s="9">
        <f>SUBTOTAL(9,M573)</f>
        <v>0</v>
      </c>
      <c r="N572" s="9">
        <f>SUBTOTAL(9,N573)</f>
        <v>0</v>
      </c>
      <c r="O572" s="9">
        <f>SUBTOTAL(9,O573)</f>
        <v>0</v>
      </c>
      <c r="P572" s="9">
        <f>SUBTOTAL(9,P573)</f>
        <v>16838.64</v>
      </c>
      <c r="Q572" s="10">
        <f>SUM(M572:P572)</f>
        <v>16838.64</v>
      </c>
      <c r="R572" s="117"/>
    </row>
    <row r="573" spans="1:18" outlineLevel="1" x14ac:dyDescent="0.5">
      <c r="A573" s="131" t="s">
        <v>448</v>
      </c>
      <c r="B573" s="14">
        <v>1</v>
      </c>
      <c r="C573" s="15" t="s">
        <v>302</v>
      </c>
      <c r="D573" s="44" t="str">
        <f>VLOOKUP(Estimate!$C573,Resources!$B$3:$G$336,4,FALSE)</f>
        <v xml:space="preserve">m    </v>
      </c>
      <c r="E573" s="44" t="str">
        <f>VLOOKUP(Estimate!$C573,Resources!$B$3:$G$336,3,FALSE)</f>
        <v>S</v>
      </c>
      <c r="F573" s="52">
        <v>1</v>
      </c>
      <c r="G573" s="12">
        <v>1</v>
      </c>
      <c r="H573" s="12">
        <f>H572*1.05</f>
        <v>655.20000000000005</v>
      </c>
      <c r="I573" s="12">
        <f>VLOOKUP(C573,Resources!$B$3:$G$336,6,FALSE)</f>
        <v>25.7</v>
      </c>
      <c r="J573" s="12">
        <f>(H573/(G573/F573))*I573</f>
        <v>16838.64</v>
      </c>
      <c r="K573" s="90"/>
      <c r="L573" s="90">
        <f>IF(E573="M"," ",H573/G573)</f>
        <v>655.20000000000005</v>
      </c>
      <c r="M573" s="16">
        <f>IF($E573="L",$J573,0)</f>
        <v>0</v>
      </c>
      <c r="N573" s="16">
        <f>IF($E573="M",$J573,0)</f>
        <v>0</v>
      </c>
      <c r="O573" s="16">
        <f>IF($E573="P",$J573,0)</f>
        <v>0</v>
      </c>
      <c r="P573" s="16">
        <f>IF($E573="S",$J573,0)</f>
        <v>16838.64</v>
      </c>
      <c r="Q573" s="16">
        <f>SUM(M573:P573)</f>
        <v>16838.64</v>
      </c>
      <c r="R573" s="118">
        <v>131</v>
      </c>
    </row>
    <row r="574" spans="1:18" outlineLevel="1" x14ac:dyDescent="0.5">
      <c r="A574" s="132" t="s">
        <v>448</v>
      </c>
      <c r="B574" s="1"/>
      <c r="C574" s="2"/>
      <c r="D574" s="1"/>
      <c r="E574" s="45"/>
      <c r="F574" s="53"/>
      <c r="G574" s="11"/>
      <c r="H574" s="11"/>
      <c r="I574" s="11"/>
      <c r="J574" s="11"/>
      <c r="K574" s="91"/>
      <c r="L574" s="91"/>
      <c r="M574" s="13"/>
      <c r="N574" s="13"/>
      <c r="O574" s="13"/>
      <c r="P574" s="13"/>
      <c r="Q574" s="13"/>
      <c r="R574" s="119"/>
    </row>
    <row r="575" spans="1:18" ht="31.5" x14ac:dyDescent="0.5">
      <c r="A575" s="130">
        <v>119</v>
      </c>
      <c r="B575" s="7" t="s">
        <v>245</v>
      </c>
      <c r="C575" s="7" t="s">
        <v>246</v>
      </c>
      <c r="D575" s="8" t="s">
        <v>25</v>
      </c>
      <c r="E575" s="43"/>
      <c r="F575" s="51"/>
      <c r="G575" s="9"/>
      <c r="H575" s="129">
        <f>VLOOKUP($A575,'Model Inputs'!$A:$D,4)</f>
        <v>710</v>
      </c>
      <c r="I575" s="9">
        <f>J575/H575</f>
        <v>26.984999999999999</v>
      </c>
      <c r="J575" s="9">
        <f>SUBTOTAL(9,J576)</f>
        <v>19159.349999999999</v>
      </c>
      <c r="K575" s="89"/>
      <c r="L575" s="89">
        <f>ROUNDUP(L576/(8*workhrs),0)</f>
        <v>11</v>
      </c>
      <c r="M575" s="9">
        <f>SUBTOTAL(9,M576)</f>
        <v>0</v>
      </c>
      <c r="N575" s="9">
        <f>SUBTOTAL(9,N576)</f>
        <v>0</v>
      </c>
      <c r="O575" s="9">
        <f>SUBTOTAL(9,O576)</f>
        <v>0</v>
      </c>
      <c r="P575" s="9">
        <f>SUBTOTAL(9,P576)</f>
        <v>19159.349999999999</v>
      </c>
      <c r="Q575" s="10">
        <f>SUM(M575:P575)</f>
        <v>19159.349999999999</v>
      </c>
      <c r="R575" s="117"/>
    </row>
    <row r="576" spans="1:18" outlineLevel="1" x14ac:dyDescent="0.5">
      <c r="A576" s="131" t="s">
        <v>448</v>
      </c>
      <c r="B576" s="14">
        <v>1</v>
      </c>
      <c r="C576" s="15" t="s">
        <v>302</v>
      </c>
      <c r="D576" s="44" t="str">
        <f>VLOOKUP(Estimate!$C576,Resources!$B$3:$G$336,4,FALSE)</f>
        <v xml:space="preserve">m    </v>
      </c>
      <c r="E576" s="44" t="str">
        <f>VLOOKUP(Estimate!$C576,Resources!$B$3:$G$336,3,FALSE)</f>
        <v>S</v>
      </c>
      <c r="F576" s="52">
        <v>1</v>
      </c>
      <c r="G576" s="12">
        <v>1</v>
      </c>
      <c r="H576" s="12">
        <f>H575*1.05</f>
        <v>745.5</v>
      </c>
      <c r="I576" s="12">
        <f>VLOOKUP(C576,Resources!$B$3:$G$336,6,FALSE)</f>
        <v>25.7</v>
      </c>
      <c r="J576" s="12">
        <f>(H576/(G576/F576))*I576</f>
        <v>19159.349999999999</v>
      </c>
      <c r="K576" s="90"/>
      <c r="L576" s="90">
        <f>IF(E576="M"," ",H576/G576)</f>
        <v>745.5</v>
      </c>
      <c r="M576" s="16">
        <f>IF($E576="L",$J576,0)</f>
        <v>0</v>
      </c>
      <c r="N576" s="16">
        <f>IF($E576="M",$J576,0)</f>
        <v>0</v>
      </c>
      <c r="O576" s="16">
        <f>IF($E576="P",$J576,0)</f>
        <v>0</v>
      </c>
      <c r="P576" s="16">
        <f>IF($E576="S",$J576,0)</f>
        <v>19159.349999999999</v>
      </c>
      <c r="Q576" s="16">
        <f>SUM(M576:P576)</f>
        <v>19159.349999999999</v>
      </c>
      <c r="R576" s="118">
        <v>131</v>
      </c>
    </row>
    <row r="577" spans="1:18" outlineLevel="1" x14ac:dyDescent="0.5">
      <c r="A577" s="132" t="s">
        <v>448</v>
      </c>
      <c r="B577" s="1"/>
      <c r="C577" s="2"/>
      <c r="D577" s="1"/>
      <c r="E577" s="45"/>
      <c r="F577" s="53"/>
      <c r="G577" s="11"/>
      <c r="H577" s="11"/>
      <c r="I577" s="11"/>
      <c r="J577" s="11"/>
      <c r="K577" s="91"/>
      <c r="L577" s="91"/>
      <c r="M577" s="13"/>
      <c r="N577" s="13"/>
      <c r="O577" s="13"/>
      <c r="P577" s="13"/>
      <c r="Q577" s="13"/>
      <c r="R577" s="119"/>
    </row>
    <row r="578" spans="1:18" ht="21" x14ac:dyDescent="0.5">
      <c r="A578" s="130">
        <v>120</v>
      </c>
      <c r="B578" s="7" t="s">
        <v>247</v>
      </c>
      <c r="C578" s="7" t="s">
        <v>248</v>
      </c>
      <c r="D578" s="8" t="s">
        <v>25</v>
      </c>
      <c r="E578" s="43"/>
      <c r="F578" s="51"/>
      <c r="G578" s="9"/>
      <c r="H578" s="129">
        <f>VLOOKUP($A578,'Model Inputs'!$A:$D,4)</f>
        <v>220</v>
      </c>
      <c r="I578" s="9">
        <f>J578/H578</f>
        <v>26.984999999999999</v>
      </c>
      <c r="J578" s="9">
        <f>SUBTOTAL(9,J579)</f>
        <v>5936.7</v>
      </c>
      <c r="K578" s="89"/>
      <c r="L578" s="89">
        <f>ROUNDUP(L579/(8*workhrs),0)</f>
        <v>4</v>
      </c>
      <c r="M578" s="9">
        <f>SUBTOTAL(9,M579)</f>
        <v>0</v>
      </c>
      <c r="N578" s="9">
        <f>SUBTOTAL(9,N579)</f>
        <v>0</v>
      </c>
      <c r="O578" s="9">
        <f>SUBTOTAL(9,O579)</f>
        <v>0</v>
      </c>
      <c r="P578" s="9">
        <f>SUBTOTAL(9,P579)</f>
        <v>5936.7</v>
      </c>
      <c r="Q578" s="10">
        <f>SUM(M578:P578)</f>
        <v>5936.7</v>
      </c>
      <c r="R578" s="117"/>
    </row>
    <row r="579" spans="1:18" outlineLevel="1" x14ac:dyDescent="0.5">
      <c r="A579" s="131" t="s">
        <v>448</v>
      </c>
      <c r="B579" s="14">
        <v>1</v>
      </c>
      <c r="C579" s="15" t="s">
        <v>302</v>
      </c>
      <c r="D579" s="44" t="str">
        <f>VLOOKUP(Estimate!$C579,Resources!$B$3:$G$336,4,FALSE)</f>
        <v xml:space="preserve">m    </v>
      </c>
      <c r="E579" s="44" t="str">
        <f>VLOOKUP(Estimate!$C579,Resources!$B$3:$G$336,3,FALSE)</f>
        <v>S</v>
      </c>
      <c r="F579" s="52">
        <v>1</v>
      </c>
      <c r="G579" s="12">
        <v>1</v>
      </c>
      <c r="H579" s="12">
        <f>H578*1.05</f>
        <v>231</v>
      </c>
      <c r="I579" s="12">
        <f>VLOOKUP(C579,Resources!$B$3:$G$336,6,FALSE)</f>
        <v>25.7</v>
      </c>
      <c r="J579" s="12">
        <f>(H579/(G579/F579))*I579</f>
        <v>5936.7</v>
      </c>
      <c r="K579" s="90"/>
      <c r="L579" s="90">
        <f>IF(E579="M"," ",H579/G579)</f>
        <v>231</v>
      </c>
      <c r="M579" s="16">
        <f>IF($E579="L",$J579,0)</f>
        <v>0</v>
      </c>
      <c r="N579" s="16">
        <f>IF($E579="M",$J579,0)</f>
        <v>0</v>
      </c>
      <c r="O579" s="16">
        <f>IF($E579="P",$J579,0)</f>
        <v>0</v>
      </c>
      <c r="P579" s="16">
        <f>IF($E579="S",$J579,0)</f>
        <v>5936.7</v>
      </c>
      <c r="Q579" s="16">
        <f>SUM(M579:P579)</f>
        <v>5936.7</v>
      </c>
      <c r="R579" s="118">
        <v>131</v>
      </c>
    </row>
    <row r="580" spans="1:18" outlineLevel="1" x14ac:dyDescent="0.5">
      <c r="A580" s="132" t="s">
        <v>448</v>
      </c>
      <c r="B580" s="1"/>
      <c r="C580" s="2"/>
      <c r="D580" s="1"/>
      <c r="E580" s="45"/>
      <c r="F580" s="53"/>
      <c r="G580" s="11"/>
      <c r="H580" s="11"/>
      <c r="I580" s="11"/>
      <c r="J580" s="11"/>
      <c r="K580" s="91"/>
      <c r="L580" s="91"/>
      <c r="M580" s="13"/>
      <c r="N580" s="13"/>
      <c r="O580" s="13"/>
      <c r="P580" s="13"/>
      <c r="Q580" s="13"/>
      <c r="R580" s="119"/>
    </row>
    <row r="581" spans="1:18" ht="21" x14ac:dyDescent="0.5">
      <c r="A581" s="130">
        <v>121</v>
      </c>
      <c r="B581" s="7" t="s">
        <v>249</v>
      </c>
      <c r="C581" s="7" t="s">
        <v>250</v>
      </c>
      <c r="D581" s="8" t="s">
        <v>25</v>
      </c>
      <c r="E581" s="43"/>
      <c r="F581" s="51"/>
      <c r="G581" s="9"/>
      <c r="H581" s="129">
        <f>VLOOKUP($A581,'Model Inputs'!$A:$D,4)</f>
        <v>15</v>
      </c>
      <c r="I581" s="9">
        <f>J581/H581</f>
        <v>100</v>
      </c>
      <c r="J581" s="9">
        <f>SUBTOTAL(9,J582)</f>
        <v>1500</v>
      </c>
      <c r="K581" s="89"/>
      <c r="L581" s="89">
        <f>ROUNDUP(L582/(8*workhrs),0)</f>
        <v>1</v>
      </c>
      <c r="M581" s="9">
        <f>SUBTOTAL(9,M582)</f>
        <v>0</v>
      </c>
      <c r="N581" s="9">
        <f>SUBTOTAL(9,N582)</f>
        <v>0</v>
      </c>
      <c r="O581" s="9">
        <f>SUBTOTAL(9,O582)</f>
        <v>0</v>
      </c>
      <c r="P581" s="9">
        <f>SUBTOTAL(9,P582)</f>
        <v>1500</v>
      </c>
      <c r="Q581" s="10">
        <f>SUM(M581:P581)</f>
        <v>1500</v>
      </c>
      <c r="R581" s="117"/>
    </row>
    <row r="582" spans="1:18" outlineLevel="1" x14ac:dyDescent="0.5">
      <c r="A582" s="131" t="s">
        <v>448</v>
      </c>
      <c r="B582" s="14">
        <v>1</v>
      </c>
      <c r="C582" s="15" t="s">
        <v>250</v>
      </c>
      <c r="D582" s="44" t="str">
        <f>VLOOKUP(Estimate!$C582,Resources!$B$3:$G$336,4,FALSE)</f>
        <v xml:space="preserve">m    </v>
      </c>
      <c r="E582" s="44" t="str">
        <f>VLOOKUP(Estimate!$C582,Resources!$B$3:$G$336,3,FALSE)</f>
        <v>S</v>
      </c>
      <c r="F582" s="52">
        <v>1</v>
      </c>
      <c r="G582" s="12">
        <v>1</v>
      </c>
      <c r="H582" s="12">
        <f>H581</f>
        <v>15</v>
      </c>
      <c r="I582" s="12">
        <f>VLOOKUP(C582,Resources!$B$3:$G$336,6,FALSE)</f>
        <v>100</v>
      </c>
      <c r="J582" s="12">
        <f>(H582/(G582/F582))*I582</f>
        <v>1500</v>
      </c>
      <c r="K582" s="90"/>
      <c r="L582" s="90">
        <f>IF(E582="M"," ",H582/G582)</f>
        <v>15</v>
      </c>
      <c r="M582" s="16">
        <f>IF($E582="L",$J582,0)</f>
        <v>0</v>
      </c>
      <c r="N582" s="16">
        <f>IF($E582="M",$J582,0)</f>
        <v>0</v>
      </c>
      <c r="O582" s="16">
        <f>IF($E582="P",$J582,0)</f>
        <v>0</v>
      </c>
      <c r="P582" s="16">
        <f>IF($E582="S",$J582,0)</f>
        <v>1500</v>
      </c>
      <c r="Q582" s="16">
        <f>SUM(M582:P582)</f>
        <v>1500</v>
      </c>
      <c r="R582" s="118">
        <v>131</v>
      </c>
    </row>
    <row r="583" spans="1:18" outlineLevel="1" x14ac:dyDescent="0.5">
      <c r="A583" s="132" t="s">
        <v>448</v>
      </c>
      <c r="B583" s="1"/>
      <c r="C583" s="2"/>
      <c r="D583" s="1"/>
      <c r="E583" s="45"/>
      <c r="F583" s="53"/>
      <c r="G583" s="11"/>
      <c r="H583" s="11"/>
      <c r="I583" s="11"/>
      <c r="J583" s="11"/>
      <c r="K583" s="91"/>
      <c r="L583" s="91"/>
      <c r="M583" s="13"/>
      <c r="N583" s="13"/>
      <c r="O583" s="13"/>
      <c r="P583" s="13"/>
      <c r="Q583" s="13"/>
      <c r="R583" s="119"/>
    </row>
    <row r="584" spans="1:18" ht="21" x14ac:dyDescent="0.5">
      <c r="A584" s="130">
        <v>122</v>
      </c>
      <c r="B584" s="7" t="s">
        <v>251</v>
      </c>
      <c r="C584" s="7" t="s">
        <v>252</v>
      </c>
      <c r="D584" s="8" t="s">
        <v>144</v>
      </c>
      <c r="E584" s="43"/>
      <c r="F584" s="51"/>
      <c r="G584" s="9"/>
      <c r="H584" s="129">
        <f>VLOOKUP($A584,'Model Inputs'!$A:$D,4)</f>
        <v>4</v>
      </c>
      <c r="I584" s="9">
        <f>J584/H584</f>
        <v>52.5</v>
      </c>
      <c r="J584" s="9">
        <f>SUBTOTAL(9,J585)</f>
        <v>210</v>
      </c>
      <c r="K584" s="89"/>
      <c r="L584" s="89">
        <f>ROUNDUP(L585/workhrs,0)</f>
        <v>1</v>
      </c>
      <c r="M584" s="9">
        <f>SUBTOTAL(9,M585)</f>
        <v>0</v>
      </c>
      <c r="N584" s="9">
        <f>SUBTOTAL(9,N585)</f>
        <v>0</v>
      </c>
      <c r="O584" s="9">
        <f>SUBTOTAL(9,O585)</f>
        <v>0</v>
      </c>
      <c r="P584" s="9">
        <f>SUBTOTAL(9,P585)</f>
        <v>210</v>
      </c>
      <c r="Q584" s="10">
        <f>SUM(M584:P584)</f>
        <v>210</v>
      </c>
      <c r="R584" s="117"/>
    </row>
    <row r="585" spans="1:18" outlineLevel="1" x14ac:dyDescent="0.5">
      <c r="A585" s="131" t="s">
        <v>448</v>
      </c>
      <c r="B585" s="14">
        <v>1</v>
      </c>
      <c r="C585" s="15" t="s">
        <v>850</v>
      </c>
      <c r="D585" s="44" t="str">
        <f>VLOOKUP(Estimate!$C585,Resources!$B$3:$G$336,4,FALSE)</f>
        <v xml:space="preserve">each </v>
      </c>
      <c r="E585" s="44" t="str">
        <f>VLOOKUP(Estimate!$C585,Resources!$B$3:$G$336,3,FALSE)</f>
        <v>S</v>
      </c>
      <c r="F585" s="52">
        <v>1</v>
      </c>
      <c r="G585" s="12">
        <v>1</v>
      </c>
      <c r="H585" s="12">
        <f>H584*1.05</f>
        <v>4.2</v>
      </c>
      <c r="I585" s="12">
        <f>VLOOKUP(C585,Resources!$B$3:$G$336,6,FALSE)</f>
        <v>50</v>
      </c>
      <c r="J585" s="12">
        <f>(H585/(G585/F585))*I585</f>
        <v>210</v>
      </c>
      <c r="K585" s="90"/>
      <c r="L585" s="90">
        <f>IF(E585="M"," ",H585/G585)</f>
        <v>4.2</v>
      </c>
      <c r="M585" s="16">
        <f>IF($E585="L",$J585,0)</f>
        <v>0</v>
      </c>
      <c r="N585" s="16">
        <f>IF($E585="M",$J585,0)</f>
        <v>0</v>
      </c>
      <c r="O585" s="16">
        <f>IF($E585="P",$J585,0)</f>
        <v>0</v>
      </c>
      <c r="P585" s="16">
        <f>IF($E585="S",$J585,0)</f>
        <v>210</v>
      </c>
      <c r="Q585" s="16">
        <f>SUM(M585:P585)</f>
        <v>210</v>
      </c>
      <c r="R585" s="118">
        <v>131</v>
      </c>
    </row>
    <row r="586" spans="1:18" outlineLevel="1" x14ac:dyDescent="0.5">
      <c r="A586" s="132" t="s">
        <v>448</v>
      </c>
      <c r="B586" s="1"/>
      <c r="C586" s="2"/>
      <c r="D586" s="1"/>
      <c r="E586" s="45"/>
      <c r="F586" s="53"/>
      <c r="G586" s="11"/>
      <c r="H586" s="11"/>
      <c r="I586" s="11"/>
      <c r="J586" s="11"/>
      <c r="K586" s="91"/>
      <c r="L586" s="91"/>
      <c r="M586" s="13"/>
      <c r="N586" s="13"/>
      <c r="O586" s="13"/>
      <c r="P586" s="13"/>
      <c r="Q586" s="13"/>
      <c r="R586" s="119"/>
    </row>
    <row r="587" spans="1:18" x14ac:dyDescent="0.5">
      <c r="A587" s="132" t="s">
        <v>448</v>
      </c>
      <c r="B587" s="1"/>
      <c r="C587" s="5" t="s">
        <v>652</v>
      </c>
      <c r="D587" s="1"/>
      <c r="E587" s="45"/>
      <c r="F587" s="53"/>
      <c r="G587" s="11"/>
      <c r="H587" s="11"/>
      <c r="I587" s="11"/>
      <c r="J587" s="11"/>
      <c r="K587" s="91"/>
      <c r="L587" s="91"/>
      <c r="M587" s="13"/>
      <c r="N587" s="13"/>
      <c r="O587" s="13"/>
      <c r="P587" s="13"/>
      <c r="Q587" s="13"/>
      <c r="R587" s="119"/>
    </row>
    <row r="588" spans="1:18" ht="21" x14ac:dyDescent="0.5">
      <c r="A588" s="130">
        <v>123</v>
      </c>
      <c r="B588" s="7" t="s">
        <v>253</v>
      </c>
      <c r="C588" s="7" t="s">
        <v>254</v>
      </c>
      <c r="D588" s="8" t="s">
        <v>14</v>
      </c>
      <c r="E588" s="43"/>
      <c r="F588" s="51"/>
      <c r="G588" s="9"/>
      <c r="H588" s="129">
        <f>VLOOKUP($A588,'Model Inputs'!$A:$D,4)</f>
        <v>1</v>
      </c>
      <c r="I588" s="9">
        <f>J588/H588</f>
        <v>12768</v>
      </c>
      <c r="J588" s="9">
        <f>SUBTOTAL(9,J589:J591)</f>
        <v>12768</v>
      </c>
      <c r="K588" s="89"/>
      <c r="L588" s="89">
        <f>ROUNDUP(L591/workhrs,0)</f>
        <v>2</v>
      </c>
      <c r="M588" s="9">
        <f>SUBTOTAL(9,M589:M591)</f>
        <v>1368</v>
      </c>
      <c r="N588" s="9">
        <f>SUBTOTAL(9,N589:N591)</f>
        <v>5000</v>
      </c>
      <c r="O588" s="9">
        <f>SUBTOTAL(9,O589:O591)</f>
        <v>0</v>
      </c>
      <c r="P588" s="9">
        <f>SUBTOTAL(9,P589:P591)</f>
        <v>6400</v>
      </c>
      <c r="Q588" s="10">
        <f>SUM(M588:P588)</f>
        <v>12768</v>
      </c>
      <c r="R588" s="117"/>
    </row>
    <row r="589" spans="1:18" outlineLevel="1" x14ac:dyDescent="0.5">
      <c r="A589" s="131" t="s">
        <v>448</v>
      </c>
      <c r="B589" s="14">
        <v>1</v>
      </c>
      <c r="C589" s="15" t="s">
        <v>255</v>
      </c>
      <c r="D589" s="44" t="str">
        <f>VLOOKUP(Estimate!$C589,Resources!$B$3:$G$336,4,FALSE)</f>
        <v xml:space="preserve">m    </v>
      </c>
      <c r="E589" s="44" t="str">
        <f>VLOOKUP(Estimate!$C589,Resources!$B$3:$G$336,3,FALSE)</f>
        <v>S</v>
      </c>
      <c r="F589" s="52">
        <v>1</v>
      </c>
      <c r="G589" s="12">
        <v>1</v>
      </c>
      <c r="H589" s="12">
        <v>400</v>
      </c>
      <c r="I589" s="12">
        <f>VLOOKUP(C589,Resources!$B$3:$G$336,6,FALSE)</f>
        <v>16</v>
      </c>
      <c r="J589" s="12">
        <f>(H589/(G589/F589))*I589</f>
        <v>6400</v>
      </c>
      <c r="K589" s="90"/>
      <c r="L589" s="90">
        <f>IF(E589="M"," ",H589/G589)</f>
        <v>400</v>
      </c>
      <c r="M589" s="16">
        <f>IF($E589="L",$J589,0)</f>
        <v>0</v>
      </c>
      <c r="N589" s="16">
        <f>IF($E589="M",$J589,0)</f>
        <v>0</v>
      </c>
      <c r="O589" s="16">
        <f>IF($E589="P",$J589,0)</f>
        <v>0</v>
      </c>
      <c r="P589" s="16">
        <f>IF($E589="S",$J589,0)</f>
        <v>6400</v>
      </c>
      <c r="Q589" s="16">
        <f>SUM(M589:P589)</f>
        <v>6400</v>
      </c>
      <c r="R589" s="118">
        <v>152</v>
      </c>
    </row>
    <row r="590" spans="1:18" outlineLevel="1" x14ac:dyDescent="0.5">
      <c r="A590" s="131" t="s">
        <v>448</v>
      </c>
      <c r="B590" s="14">
        <v>2</v>
      </c>
      <c r="C590" s="15" t="s">
        <v>76</v>
      </c>
      <c r="D590" s="44" t="str">
        <f>VLOOKUP(Estimate!$C590,Resources!$B$3:$G$336,4,FALSE)</f>
        <v xml:space="preserve">Item </v>
      </c>
      <c r="E590" s="44" t="str">
        <f>VLOOKUP(Estimate!$C590,Resources!$B$3:$G$336,3,FALSE)</f>
        <v>M</v>
      </c>
      <c r="F590" s="52">
        <v>1</v>
      </c>
      <c r="G590" s="12">
        <v>1</v>
      </c>
      <c r="H590" s="12">
        <v>5000</v>
      </c>
      <c r="I590" s="12">
        <f>VLOOKUP(C590,Resources!$B$3:$G$336,6,FALSE)</f>
        <v>1</v>
      </c>
      <c r="J590" s="12">
        <f>(H590/(G590/F590))*I590</f>
        <v>5000</v>
      </c>
      <c r="K590" s="90"/>
      <c r="L590" s="90" t="str">
        <f>IF(E590="M"," ",H590/G590)</f>
        <v xml:space="preserve"> </v>
      </c>
      <c r="M590" s="16">
        <f>IF($E590="L",$J590,0)</f>
        <v>0</v>
      </c>
      <c r="N590" s="16">
        <f>IF($E590="M",$J590,0)</f>
        <v>5000</v>
      </c>
      <c r="O590" s="16">
        <f>IF($E590="P",$J590,0)</f>
        <v>0</v>
      </c>
      <c r="P590" s="16">
        <f>IF($E590="S",$J590,0)</f>
        <v>0</v>
      </c>
      <c r="Q590" s="16">
        <f>SUM(M590:P590)</f>
        <v>5000</v>
      </c>
      <c r="R590" s="118">
        <v>152</v>
      </c>
    </row>
    <row r="591" spans="1:18" outlineLevel="1" x14ac:dyDescent="0.5">
      <c r="A591" s="131" t="s">
        <v>448</v>
      </c>
      <c r="B591" s="14">
        <v>3</v>
      </c>
      <c r="C591" s="15" t="s">
        <v>7</v>
      </c>
      <c r="D591" s="44" t="str">
        <f>VLOOKUP(Estimate!$C591,Resources!$B$3:$G$336,4,FALSE)</f>
        <v xml:space="preserve">hr   </v>
      </c>
      <c r="E591" s="44" t="str">
        <f>VLOOKUP(Estimate!$C591,Resources!$B$3:$G$336,3,FALSE)</f>
        <v>L</v>
      </c>
      <c r="F591" s="52">
        <v>3</v>
      </c>
      <c r="G591" s="12">
        <v>1</v>
      </c>
      <c r="H591" s="12">
        <v>12</v>
      </c>
      <c r="I591" s="12">
        <f>VLOOKUP(C591,Resources!$B$3:$G$336,6,FALSE)</f>
        <v>38</v>
      </c>
      <c r="J591" s="12">
        <f>(H591/(G591/F591))*I591</f>
        <v>1368</v>
      </c>
      <c r="K591" s="90">
        <f>L591*F591</f>
        <v>36</v>
      </c>
      <c r="L591" s="90">
        <f>IF(E591="M"," ",H591/G591)</f>
        <v>12</v>
      </c>
      <c r="M591" s="16">
        <f>IF($E591="L",$J591,0)</f>
        <v>1368</v>
      </c>
      <c r="N591" s="16">
        <f>IF($E591="M",$J591,0)</f>
        <v>0</v>
      </c>
      <c r="O591" s="16">
        <f>IF($E591="P",$J591,0)</f>
        <v>0</v>
      </c>
      <c r="P591" s="16">
        <f>IF($E591="S",$J591,0)</f>
        <v>0</v>
      </c>
      <c r="Q591" s="16">
        <f>SUM(M591:P591)</f>
        <v>1368</v>
      </c>
      <c r="R591" s="118">
        <v>152</v>
      </c>
    </row>
    <row r="592" spans="1:18" x14ac:dyDescent="0.5">
      <c r="A592" s="132" t="s">
        <v>448</v>
      </c>
      <c r="B592" s="1"/>
      <c r="C592" s="2"/>
      <c r="D592" s="1"/>
      <c r="E592" s="45"/>
      <c r="F592" s="53"/>
      <c r="G592" s="11"/>
      <c r="H592" s="11"/>
      <c r="I592" s="11"/>
      <c r="J592" s="11"/>
      <c r="K592" s="91"/>
      <c r="L592" s="91"/>
      <c r="M592" s="13"/>
      <c r="N592" s="13"/>
      <c r="O592" s="13"/>
      <c r="P592" s="13"/>
      <c r="Q592" s="13"/>
      <c r="R592" s="119"/>
    </row>
    <row r="593" spans="1:18" x14ac:dyDescent="0.5">
      <c r="A593" s="132">
        <v>124</v>
      </c>
      <c r="B593" s="1"/>
      <c r="C593" s="5" t="s">
        <v>653</v>
      </c>
      <c r="D593" s="1"/>
      <c r="E593" s="45"/>
      <c r="F593" s="53"/>
      <c r="G593" s="11"/>
      <c r="H593" s="11"/>
      <c r="I593" s="11"/>
      <c r="J593" s="11"/>
      <c r="K593" s="91"/>
      <c r="L593" s="91"/>
      <c r="M593" s="13"/>
      <c r="N593" s="13"/>
      <c r="O593" s="13"/>
      <c r="P593" s="13"/>
      <c r="Q593" s="13"/>
      <c r="R593" s="119"/>
    </row>
    <row r="594" spans="1:18" x14ac:dyDescent="0.5">
      <c r="A594" s="132" t="s">
        <v>448</v>
      </c>
      <c r="B594" s="1"/>
      <c r="C594" s="5"/>
      <c r="D594" s="1"/>
      <c r="E594" s="45"/>
      <c r="F594" s="53"/>
      <c r="G594" s="11"/>
      <c r="H594" s="11"/>
      <c r="I594" s="11"/>
      <c r="J594" s="11"/>
      <c r="K594" s="91"/>
      <c r="L594" s="91"/>
      <c r="M594" s="13"/>
      <c r="N594" s="13"/>
      <c r="O594" s="13"/>
      <c r="P594" s="13"/>
      <c r="Q594" s="13"/>
      <c r="R594" s="119"/>
    </row>
    <row r="595" spans="1:18" x14ac:dyDescent="0.5">
      <c r="A595" s="132">
        <v>125</v>
      </c>
      <c r="B595" s="1"/>
      <c r="C595" s="5" t="s">
        <v>616</v>
      </c>
      <c r="D595" s="1"/>
      <c r="E595" s="45"/>
      <c r="F595" s="53"/>
      <c r="G595" s="11"/>
      <c r="H595" s="11"/>
      <c r="I595" s="11"/>
      <c r="J595" s="11"/>
      <c r="K595" s="91"/>
      <c r="L595" s="91"/>
      <c r="M595" s="13"/>
      <c r="N595" s="13"/>
      <c r="O595" s="13"/>
      <c r="P595" s="13"/>
      <c r="Q595" s="13"/>
      <c r="R595" s="119"/>
    </row>
    <row r="596" spans="1:18" ht="21" x14ac:dyDescent="0.5">
      <c r="A596" s="130">
        <v>126</v>
      </c>
      <c r="B596" s="7" t="s">
        <v>256</v>
      </c>
      <c r="C596" s="7" t="s">
        <v>257</v>
      </c>
      <c r="D596" s="8" t="s">
        <v>54</v>
      </c>
      <c r="E596" s="43"/>
      <c r="F596" s="51"/>
      <c r="G596" s="9"/>
      <c r="H596" s="129">
        <f>VLOOKUP($A596,'Model Inputs'!$A:$D,4)</f>
        <v>550</v>
      </c>
      <c r="I596" s="9">
        <f>J596/H596</f>
        <v>8.1490909090909085</v>
      </c>
      <c r="J596" s="9">
        <f>SUBTOTAL(9,J598:J599)</f>
        <v>4482</v>
      </c>
      <c r="K596" s="89"/>
      <c r="L596" s="89">
        <f>ROUNDUP(MAX(L598:L599)/workhrs,0)</f>
        <v>2</v>
      </c>
      <c r="M596" s="9">
        <f>SUBTOTAL(9,M598:M599)</f>
        <v>2052</v>
      </c>
      <c r="N596" s="9">
        <f>SUBTOTAL(9,N598:N599)</f>
        <v>0</v>
      </c>
      <c r="O596" s="9">
        <f>SUBTOTAL(9,O598:O599)</f>
        <v>2430</v>
      </c>
      <c r="P596" s="9">
        <f>SUBTOTAL(9,P598:P599)</f>
        <v>0</v>
      </c>
      <c r="Q596" s="10">
        <f>SUM(M596:P596)</f>
        <v>4482</v>
      </c>
      <c r="R596" s="117"/>
    </row>
    <row r="597" spans="1:18" outlineLevel="1" x14ac:dyDescent="0.5">
      <c r="A597" s="132" t="s">
        <v>448</v>
      </c>
      <c r="B597" s="1">
        <v>1</v>
      </c>
      <c r="C597" s="2"/>
      <c r="D597" s="1"/>
      <c r="E597" s="45"/>
      <c r="F597" s="53"/>
      <c r="G597" s="11"/>
      <c r="H597" s="11"/>
      <c r="I597" s="11"/>
      <c r="J597" s="11"/>
      <c r="K597" s="91"/>
      <c r="L597" s="91"/>
      <c r="M597" s="13"/>
      <c r="N597" s="13"/>
      <c r="O597" s="13"/>
      <c r="P597" s="13"/>
      <c r="Q597" s="13"/>
      <c r="R597" s="119"/>
    </row>
    <row r="598" spans="1:18" outlineLevel="1" x14ac:dyDescent="0.5">
      <c r="A598" s="131" t="s">
        <v>448</v>
      </c>
      <c r="B598" s="14">
        <v>2</v>
      </c>
      <c r="C598" s="15" t="s">
        <v>55</v>
      </c>
      <c r="D598" s="44" t="str">
        <f>VLOOKUP(Estimate!$C598,Resources!$B$3:$G$336,4,FALSE)</f>
        <v xml:space="preserve">hr   </v>
      </c>
      <c r="E598" s="44" t="str">
        <f>VLOOKUP(Estimate!$C598,Resources!$B$3:$G$336,3,FALSE)</f>
        <v>P</v>
      </c>
      <c r="F598" s="52">
        <v>1</v>
      </c>
      <c r="G598" s="12">
        <v>1</v>
      </c>
      <c r="H598" s="12">
        <v>18</v>
      </c>
      <c r="I598" s="12">
        <f>VLOOKUP(C598,Resources!$B$3:$G$336,6,FALSE)</f>
        <v>135</v>
      </c>
      <c r="J598" s="12">
        <f>(H598/(G598/F598))*I598</f>
        <v>2430</v>
      </c>
      <c r="K598" s="90">
        <f>L598*F598</f>
        <v>18</v>
      </c>
      <c r="L598" s="90">
        <f>IF(E598="M"," ",H598/G598)</f>
        <v>18</v>
      </c>
      <c r="M598" s="16">
        <f>IF($E598="L",$J598,0)</f>
        <v>0</v>
      </c>
      <c r="N598" s="16">
        <f>IF($E598="M",$J598,0)</f>
        <v>0</v>
      </c>
      <c r="O598" s="16">
        <f>IF($E598="P",$J598,0)</f>
        <v>2430</v>
      </c>
      <c r="P598" s="16">
        <f>IF($E598="S",$J598,0)</f>
        <v>0</v>
      </c>
      <c r="Q598" s="16">
        <f>SUM(M598:P598)</f>
        <v>2430</v>
      </c>
      <c r="R598" s="118">
        <v>21</v>
      </c>
    </row>
    <row r="599" spans="1:18" outlineLevel="1" x14ac:dyDescent="0.5">
      <c r="A599" s="131" t="s">
        <v>448</v>
      </c>
      <c r="B599" s="14">
        <v>3</v>
      </c>
      <c r="C599" s="15" t="s">
        <v>7</v>
      </c>
      <c r="D599" s="44" t="str">
        <f>VLOOKUP(Estimate!$C599,Resources!$B$3:$G$336,4,FALSE)</f>
        <v xml:space="preserve">hr   </v>
      </c>
      <c r="E599" s="44" t="str">
        <f>VLOOKUP(Estimate!$C599,Resources!$B$3:$G$336,3,FALSE)</f>
        <v>L</v>
      </c>
      <c r="F599" s="52">
        <v>3</v>
      </c>
      <c r="G599" s="12">
        <v>1</v>
      </c>
      <c r="H599" s="12">
        <v>18</v>
      </c>
      <c r="I599" s="12">
        <f>VLOOKUP(C599,Resources!$B$3:$G$336,6,FALSE)</f>
        <v>38</v>
      </c>
      <c r="J599" s="12">
        <f>(H599/(G599/F599))*I599</f>
        <v>2052</v>
      </c>
      <c r="K599" s="90">
        <f>L599*F599</f>
        <v>54</v>
      </c>
      <c r="L599" s="90">
        <f>IF(E599="M"," ",H599/G599)</f>
        <v>18</v>
      </c>
      <c r="M599" s="16">
        <f>IF($E599="L",$J599,0)</f>
        <v>2052</v>
      </c>
      <c r="N599" s="16">
        <f>IF($E599="M",$J599,0)</f>
        <v>0</v>
      </c>
      <c r="O599" s="16">
        <f>IF($E599="P",$J599,0)</f>
        <v>0</v>
      </c>
      <c r="P599" s="16">
        <f>IF($E599="S",$J599,0)</f>
        <v>0</v>
      </c>
      <c r="Q599" s="16">
        <f>SUM(M599:P599)</f>
        <v>2052</v>
      </c>
      <c r="R599" s="118">
        <v>21</v>
      </c>
    </row>
    <row r="600" spans="1:18" outlineLevel="1" x14ac:dyDescent="0.5">
      <c r="A600" s="132" t="s">
        <v>448</v>
      </c>
      <c r="B600" s="1"/>
      <c r="C600" s="2"/>
      <c r="D600" s="1"/>
      <c r="E600" s="45"/>
      <c r="F600" s="53"/>
      <c r="G600" s="11"/>
      <c r="H600" s="11"/>
      <c r="I600" s="11"/>
      <c r="J600" s="11"/>
      <c r="K600" s="91"/>
      <c r="L600" s="91"/>
      <c r="M600" s="13"/>
      <c r="N600" s="13"/>
      <c r="O600" s="13"/>
      <c r="P600" s="13"/>
      <c r="Q600" s="13"/>
      <c r="R600" s="119"/>
    </row>
    <row r="601" spans="1:18" ht="21" x14ac:dyDescent="0.5">
      <c r="A601" s="130">
        <v>127</v>
      </c>
      <c r="B601" s="7" t="s">
        <v>258</v>
      </c>
      <c r="C601" s="7" t="s">
        <v>259</v>
      </c>
      <c r="D601" s="8" t="s">
        <v>88</v>
      </c>
      <c r="E601" s="43"/>
      <c r="F601" s="51"/>
      <c r="G601" s="9"/>
      <c r="H601" s="129">
        <f>VLOOKUP($A601,'Model Inputs'!$A:$D,4)</f>
        <v>55</v>
      </c>
      <c r="I601" s="9">
        <f>J601/H601</f>
        <v>8.5749999999999993</v>
      </c>
      <c r="J601" s="9">
        <f>SUBTOTAL(9,J602:J604)</f>
        <v>471.625</v>
      </c>
      <c r="K601" s="89"/>
      <c r="L601" s="89">
        <f>ROUNDUP(MAX(L602:L604)/workhrs,0)</f>
        <v>1</v>
      </c>
      <c r="M601" s="9">
        <f>SUBTOTAL(9,M602:M604)</f>
        <v>52.25</v>
      </c>
      <c r="N601" s="9">
        <f>SUBTOTAL(9,N602:N604)</f>
        <v>0</v>
      </c>
      <c r="O601" s="9">
        <f>SUBTOTAL(9,O602:O604)</f>
        <v>419.375</v>
      </c>
      <c r="P601" s="9">
        <f>SUBTOTAL(9,P602:P604)</f>
        <v>0</v>
      </c>
      <c r="Q601" s="10">
        <f>SUM(M601:P601)</f>
        <v>471.625</v>
      </c>
      <c r="R601" s="117"/>
    </row>
    <row r="602" spans="1:18" outlineLevel="1" x14ac:dyDescent="0.5">
      <c r="A602" s="131">
        <v>127.1</v>
      </c>
      <c r="B602" s="14">
        <v>1</v>
      </c>
      <c r="C602" s="15" t="s">
        <v>55</v>
      </c>
      <c r="D602" s="44" t="str">
        <f>VLOOKUP(Estimate!$C602,Resources!$B$3:$G$336,4,FALSE)</f>
        <v xml:space="preserve">hr   </v>
      </c>
      <c r="E602" s="44" t="str">
        <f>VLOOKUP(Estimate!$C602,Resources!$B$3:$G$336,3,FALSE)</f>
        <v>P</v>
      </c>
      <c r="F602" s="52">
        <v>1</v>
      </c>
      <c r="G602" s="129">
        <f>VLOOKUP($A602,'Model Inputs'!$A:$D,4)</f>
        <v>40</v>
      </c>
      <c r="H602" s="12">
        <f>H601</f>
        <v>55</v>
      </c>
      <c r="I602" s="12">
        <f>VLOOKUP(C602,Resources!$B$3:$G$336,6,FALSE)</f>
        <v>135</v>
      </c>
      <c r="J602" s="12">
        <f>(H602/(G602/F602))*I602</f>
        <v>185.625</v>
      </c>
      <c r="K602" s="90">
        <f>L602*F602</f>
        <v>1.375</v>
      </c>
      <c r="L602" s="90">
        <f>IF(E602="M"," ",H602/G602)</f>
        <v>1.375</v>
      </c>
      <c r="M602" s="16">
        <f>IF($E602="L",$J602,0)</f>
        <v>0</v>
      </c>
      <c r="N602" s="16">
        <f>IF($E602="M",$J602,0)</f>
        <v>0</v>
      </c>
      <c r="O602" s="16">
        <f>IF($E602="P",$J602,0)</f>
        <v>185.625</v>
      </c>
      <c r="P602" s="16">
        <f>IF($E602="S",$J602,0)</f>
        <v>0</v>
      </c>
      <c r="Q602" s="16">
        <f>SUM(M602:P602)</f>
        <v>185.625</v>
      </c>
      <c r="R602" s="118">
        <v>31</v>
      </c>
    </row>
    <row r="603" spans="1:18" outlineLevel="1" x14ac:dyDescent="0.5">
      <c r="A603" s="131" t="s">
        <v>448</v>
      </c>
      <c r="B603" s="14">
        <v>2</v>
      </c>
      <c r="C603" s="15" t="s">
        <v>66</v>
      </c>
      <c r="D603" s="44" t="str">
        <f>VLOOKUP(Estimate!$C603,Resources!$B$3:$G$336,4,FALSE)</f>
        <v xml:space="preserve">hr   </v>
      </c>
      <c r="E603" s="44" t="str">
        <f>VLOOKUP(Estimate!$C603,Resources!$B$3:$G$336,3,FALSE)</f>
        <v>P</v>
      </c>
      <c r="F603" s="52">
        <v>2</v>
      </c>
      <c r="G603" s="12">
        <f>G602</f>
        <v>40</v>
      </c>
      <c r="H603" s="12">
        <f>H602</f>
        <v>55</v>
      </c>
      <c r="I603" s="12">
        <f>VLOOKUP(C603,Resources!$B$3:$G$336,6,FALSE)</f>
        <v>85</v>
      </c>
      <c r="J603" s="12">
        <f>(H603/(G603/F603))*I603</f>
        <v>233.75</v>
      </c>
      <c r="K603" s="90">
        <f>L603*F603</f>
        <v>2.75</v>
      </c>
      <c r="L603" s="90">
        <f>IF(E603="M"," ",H603/G603)</f>
        <v>1.375</v>
      </c>
      <c r="M603" s="16">
        <f>IF($E603="L",$J603,0)</f>
        <v>0</v>
      </c>
      <c r="N603" s="16">
        <f>IF($E603="M",$J603,0)</f>
        <v>0</v>
      </c>
      <c r="O603" s="16">
        <f>IF($E603="P",$J603,0)</f>
        <v>233.75</v>
      </c>
      <c r="P603" s="16">
        <f>IF($E603="S",$J603,0)</f>
        <v>0</v>
      </c>
      <c r="Q603" s="16">
        <f>SUM(M603:P603)</f>
        <v>233.75</v>
      </c>
      <c r="R603" s="118">
        <v>31</v>
      </c>
    </row>
    <row r="604" spans="1:18" outlineLevel="1" x14ac:dyDescent="0.5">
      <c r="A604" s="131" t="s">
        <v>448</v>
      </c>
      <c r="B604" s="14">
        <v>3</v>
      </c>
      <c r="C604" s="15" t="s">
        <v>7</v>
      </c>
      <c r="D604" s="44" t="str">
        <f>VLOOKUP(Estimate!$C604,Resources!$B$3:$G$336,4,FALSE)</f>
        <v xml:space="preserve">hr   </v>
      </c>
      <c r="E604" s="44" t="str">
        <f>VLOOKUP(Estimate!$C604,Resources!$B$3:$G$336,3,FALSE)</f>
        <v>L</v>
      </c>
      <c r="F604" s="52">
        <v>1</v>
      </c>
      <c r="G604" s="12">
        <f>G602</f>
        <v>40</v>
      </c>
      <c r="H604" s="12">
        <f>H603</f>
        <v>55</v>
      </c>
      <c r="I604" s="12">
        <f>VLOOKUP(C604,Resources!$B$3:$G$336,6,FALSE)</f>
        <v>38</v>
      </c>
      <c r="J604" s="12">
        <f>(H604/(G604/F604))*I604</f>
        <v>52.25</v>
      </c>
      <c r="K604" s="90">
        <f>L604*F604</f>
        <v>1.375</v>
      </c>
      <c r="L604" s="90">
        <f>IF(E604="M"," ",H604/G604)</f>
        <v>1.375</v>
      </c>
      <c r="M604" s="16">
        <f>IF($E604="L",$J604,0)</f>
        <v>52.25</v>
      </c>
      <c r="N604" s="16">
        <f>IF($E604="M",$J604,0)</f>
        <v>0</v>
      </c>
      <c r="O604" s="16">
        <f>IF($E604="P",$J604,0)</f>
        <v>0</v>
      </c>
      <c r="P604" s="16">
        <f>IF($E604="S",$J604,0)</f>
        <v>0</v>
      </c>
      <c r="Q604" s="16">
        <f>SUM(M604:P604)</f>
        <v>52.25</v>
      </c>
      <c r="R604" s="118">
        <v>31</v>
      </c>
    </row>
    <row r="605" spans="1:18" outlineLevel="1" x14ac:dyDescent="0.5">
      <c r="A605" s="132" t="s">
        <v>448</v>
      </c>
      <c r="B605" s="1"/>
      <c r="C605" s="2"/>
      <c r="D605" s="1"/>
      <c r="E605" s="45"/>
      <c r="F605" s="53"/>
      <c r="G605" s="11"/>
      <c r="H605" s="11"/>
      <c r="I605" s="11"/>
      <c r="J605" s="11"/>
      <c r="K605" s="91"/>
      <c r="L605" s="91"/>
      <c r="M605" s="13"/>
      <c r="N605" s="13"/>
      <c r="O605" s="13"/>
      <c r="P605" s="13"/>
      <c r="Q605" s="13"/>
      <c r="R605" s="119"/>
    </row>
    <row r="606" spans="1:18" ht="21" x14ac:dyDescent="0.5">
      <c r="A606" s="130">
        <v>128</v>
      </c>
      <c r="B606" s="7" t="s">
        <v>260</v>
      </c>
      <c r="C606" s="7" t="s">
        <v>261</v>
      </c>
      <c r="D606" s="8" t="s">
        <v>54</v>
      </c>
      <c r="E606" s="43"/>
      <c r="F606" s="51"/>
      <c r="G606" s="9"/>
      <c r="H606" s="129">
        <f>VLOOKUP($A606,'Model Inputs'!$A:$D,4)</f>
        <v>28</v>
      </c>
      <c r="I606" s="9">
        <f>J606/H606</f>
        <v>14.24</v>
      </c>
      <c r="J606" s="9">
        <f>SUBTOTAL(9,J607:J610)</f>
        <v>398.72</v>
      </c>
      <c r="K606" s="89"/>
      <c r="L606" s="89">
        <f>ROUNDUP(MAX(L607:L610)/workhrs,0)</f>
        <v>1</v>
      </c>
      <c r="M606" s="9">
        <f>SUBTOTAL(9,M607:M610)</f>
        <v>85.12</v>
      </c>
      <c r="N606" s="9">
        <f>SUBTOTAL(9,N607:N610)</f>
        <v>0</v>
      </c>
      <c r="O606" s="9">
        <f>SUBTOTAL(9,O607:O610)</f>
        <v>313.60000000000002</v>
      </c>
      <c r="P606" s="9">
        <f>SUBTOTAL(9,P607:P610)</f>
        <v>0</v>
      </c>
      <c r="Q606" s="10">
        <f>SUM(M606:P606)</f>
        <v>398.72</v>
      </c>
      <c r="R606" s="117"/>
    </row>
    <row r="607" spans="1:18" outlineLevel="1" x14ac:dyDescent="0.5">
      <c r="A607" s="131">
        <v>128.1</v>
      </c>
      <c r="B607" s="14">
        <v>1</v>
      </c>
      <c r="C607" s="15" t="s">
        <v>91</v>
      </c>
      <c r="D607" s="44" t="str">
        <f>VLOOKUP(Estimate!$C607,Resources!$B$3:$G$336,4,FALSE)</f>
        <v xml:space="preserve">hr   </v>
      </c>
      <c r="E607" s="44" t="str">
        <f>VLOOKUP(Estimate!$C607,Resources!$B$3:$G$336,3,FALSE)</f>
        <v>P</v>
      </c>
      <c r="F607" s="52">
        <v>1</v>
      </c>
      <c r="G607" s="129">
        <f>VLOOKUP($A607,'Model Inputs'!$A:$D,4)</f>
        <v>250</v>
      </c>
      <c r="H607" s="12">
        <f>H606*10</f>
        <v>280</v>
      </c>
      <c r="I607" s="12">
        <f>VLOOKUP(C607,Resources!$B$3:$G$336,6,FALSE)</f>
        <v>100</v>
      </c>
      <c r="J607" s="12">
        <f>(H607/(G607/F607))*I607</f>
        <v>112.00000000000001</v>
      </c>
      <c r="K607" s="90">
        <f>L607*F607</f>
        <v>1.1200000000000001</v>
      </c>
      <c r="L607" s="90">
        <f>IF(E607="M"," ",H607/G607)</f>
        <v>1.1200000000000001</v>
      </c>
      <c r="M607" s="16">
        <f>IF($E607="L",$J607,0)</f>
        <v>0</v>
      </c>
      <c r="N607" s="16">
        <f>IF($E607="M",$J607,0)</f>
        <v>0</v>
      </c>
      <c r="O607" s="16">
        <f>IF($E607="P",$J607,0)</f>
        <v>112.00000000000001</v>
      </c>
      <c r="P607" s="16">
        <f>IF($E607="S",$J607,0)</f>
        <v>0</v>
      </c>
      <c r="Q607" s="16">
        <f>SUM(M607:P607)</f>
        <v>112.00000000000001</v>
      </c>
      <c r="R607" s="118">
        <v>33</v>
      </c>
    </row>
    <row r="608" spans="1:18" outlineLevel="1" x14ac:dyDescent="0.5">
      <c r="A608" s="131" t="s">
        <v>448</v>
      </c>
      <c r="B608" s="14">
        <v>2</v>
      </c>
      <c r="C608" s="15" t="s">
        <v>66</v>
      </c>
      <c r="D608" s="44" t="str">
        <f>VLOOKUP(Estimate!$C608,Resources!$B$3:$G$336,4,FALSE)</f>
        <v xml:space="preserve">hr   </v>
      </c>
      <c r="E608" s="44" t="str">
        <f>VLOOKUP(Estimate!$C608,Resources!$B$3:$G$336,3,FALSE)</f>
        <v>P</v>
      </c>
      <c r="F608" s="52">
        <v>1</v>
      </c>
      <c r="G608" s="12">
        <f>G607</f>
        <v>250</v>
      </c>
      <c r="H608" s="12">
        <f>H607</f>
        <v>280</v>
      </c>
      <c r="I608" s="12">
        <f>VLOOKUP(C608,Resources!$B$3:$G$336,6,FALSE)</f>
        <v>85</v>
      </c>
      <c r="J608" s="12">
        <f>(H608/(G608/F608))*I608</f>
        <v>95.2</v>
      </c>
      <c r="K608" s="90">
        <f>L608*F608</f>
        <v>1.1200000000000001</v>
      </c>
      <c r="L608" s="90">
        <f>IF(E608="M"," ",H608/G608)</f>
        <v>1.1200000000000001</v>
      </c>
      <c r="M608" s="16">
        <f>IF($E608="L",$J608,0)</f>
        <v>0</v>
      </c>
      <c r="N608" s="16">
        <f>IF($E608="M",$J608,0)</f>
        <v>0</v>
      </c>
      <c r="O608" s="16">
        <f>IF($E608="P",$J608,0)</f>
        <v>95.2</v>
      </c>
      <c r="P608" s="16">
        <f>IF($E608="S",$J608,0)</f>
        <v>0</v>
      </c>
      <c r="Q608" s="16">
        <f>SUM(M608:P608)</f>
        <v>95.2</v>
      </c>
      <c r="R608" s="118">
        <v>33</v>
      </c>
    </row>
    <row r="609" spans="1:18" outlineLevel="1" x14ac:dyDescent="0.5">
      <c r="A609" s="131" t="s">
        <v>448</v>
      </c>
      <c r="B609" s="14">
        <v>3</v>
      </c>
      <c r="C609" s="15" t="s">
        <v>49</v>
      </c>
      <c r="D609" s="44" t="str">
        <f>VLOOKUP(Estimate!$C609,Resources!$B$3:$G$336,4,FALSE)</f>
        <v xml:space="preserve">hr   </v>
      </c>
      <c r="E609" s="44" t="str">
        <f>VLOOKUP(Estimate!$C609,Resources!$B$3:$G$336,3,FALSE)</f>
        <v>P</v>
      </c>
      <c r="F609" s="52">
        <v>1</v>
      </c>
      <c r="G609" s="12">
        <f>G607</f>
        <v>250</v>
      </c>
      <c r="H609" s="12">
        <f>H608</f>
        <v>280</v>
      </c>
      <c r="I609" s="12">
        <f>VLOOKUP(C609,Resources!$B$3:$G$336,6,FALSE)</f>
        <v>95</v>
      </c>
      <c r="J609" s="12">
        <f>(H609/(G609/F609))*I609</f>
        <v>106.4</v>
      </c>
      <c r="K609" s="90">
        <f>L609*F609</f>
        <v>1.1200000000000001</v>
      </c>
      <c r="L609" s="90">
        <f>IF(E609="M"," ",H609/G609)</f>
        <v>1.1200000000000001</v>
      </c>
      <c r="M609" s="16">
        <f>IF($E609="L",$J609,0)</f>
        <v>0</v>
      </c>
      <c r="N609" s="16">
        <f>IF($E609="M",$J609,0)</f>
        <v>0</v>
      </c>
      <c r="O609" s="16">
        <f>IF($E609="P",$J609,0)</f>
        <v>106.4</v>
      </c>
      <c r="P609" s="16">
        <f>IF($E609="S",$J609,0)</f>
        <v>0</v>
      </c>
      <c r="Q609" s="16">
        <f>SUM(M609:P609)</f>
        <v>106.4</v>
      </c>
      <c r="R609" s="118">
        <v>33</v>
      </c>
    </row>
    <row r="610" spans="1:18" outlineLevel="1" x14ac:dyDescent="0.5">
      <c r="A610" s="131" t="s">
        <v>448</v>
      </c>
      <c r="B610" s="14">
        <v>4</v>
      </c>
      <c r="C610" s="15" t="s">
        <v>7</v>
      </c>
      <c r="D610" s="44" t="str">
        <f>VLOOKUP(Estimate!$C610,Resources!$B$3:$G$336,4,FALSE)</f>
        <v xml:space="preserve">hr   </v>
      </c>
      <c r="E610" s="44" t="str">
        <f>VLOOKUP(Estimate!$C610,Resources!$B$3:$G$336,3,FALSE)</f>
        <v>L</v>
      </c>
      <c r="F610" s="52">
        <v>2</v>
      </c>
      <c r="G610" s="12">
        <f>G607</f>
        <v>250</v>
      </c>
      <c r="H610" s="12">
        <f>H609</f>
        <v>280</v>
      </c>
      <c r="I610" s="12">
        <f>VLOOKUP(C610,Resources!$B$3:$G$336,6,FALSE)</f>
        <v>38</v>
      </c>
      <c r="J610" s="12">
        <f>(H610/(G610/F610))*I610</f>
        <v>85.12</v>
      </c>
      <c r="K610" s="90">
        <f>L610*F610</f>
        <v>2.2400000000000002</v>
      </c>
      <c r="L610" s="90">
        <f>IF(E610="M"," ",H610/G610)</f>
        <v>1.1200000000000001</v>
      </c>
      <c r="M610" s="16">
        <f>IF($E610="L",$J610,0)</f>
        <v>85.12</v>
      </c>
      <c r="N610" s="16">
        <f>IF($E610="M",$J610,0)</f>
        <v>0</v>
      </c>
      <c r="O610" s="16">
        <f>IF($E610="P",$J610,0)</f>
        <v>0</v>
      </c>
      <c r="P610" s="16">
        <f>IF($E610="S",$J610,0)</f>
        <v>0</v>
      </c>
      <c r="Q610" s="16">
        <f>SUM(M610:P610)</f>
        <v>85.12</v>
      </c>
      <c r="R610" s="118">
        <v>33</v>
      </c>
    </row>
    <row r="611" spans="1:18" outlineLevel="1" x14ac:dyDescent="0.5">
      <c r="A611" s="132" t="s">
        <v>448</v>
      </c>
      <c r="B611" s="1"/>
      <c r="C611" s="2"/>
      <c r="D611" s="1"/>
      <c r="E611" s="45"/>
      <c r="F611" s="53"/>
      <c r="G611" s="11"/>
      <c r="H611" s="11"/>
      <c r="I611" s="11"/>
      <c r="J611" s="11"/>
      <c r="K611" s="91"/>
      <c r="L611" s="91"/>
      <c r="M611" s="13"/>
      <c r="N611" s="13"/>
      <c r="O611" s="13"/>
      <c r="P611" s="13"/>
      <c r="Q611" s="13"/>
      <c r="R611" s="119"/>
    </row>
    <row r="612" spans="1:18" ht="21" x14ac:dyDescent="0.5">
      <c r="A612" s="130">
        <v>129</v>
      </c>
      <c r="B612" s="7" t="s">
        <v>262</v>
      </c>
      <c r="C612" s="7" t="s">
        <v>263</v>
      </c>
      <c r="D612" s="8" t="s">
        <v>88</v>
      </c>
      <c r="E612" s="43"/>
      <c r="F612" s="51"/>
      <c r="G612" s="9"/>
      <c r="H612" s="129">
        <f>VLOOKUP($A612,'Model Inputs'!$A:$D,4)</f>
        <v>27</v>
      </c>
      <c r="I612" s="9">
        <f>J612/H612</f>
        <v>13.074999999999999</v>
      </c>
      <c r="J612" s="9">
        <f>SUBTOTAL(9,J613:J616)</f>
        <v>353.02499999999998</v>
      </c>
      <c r="K612" s="89"/>
      <c r="L612" s="89">
        <f>ROUNDUP(MAX(L613:L616)/workhrs,0)</f>
        <v>1</v>
      </c>
      <c r="M612" s="9">
        <f>SUBTOTAL(9,M613:M616)</f>
        <v>25.650000000000002</v>
      </c>
      <c r="N612" s="9">
        <f>SUBTOTAL(9,N613:N616)</f>
        <v>0</v>
      </c>
      <c r="O612" s="9">
        <f>SUBTOTAL(9,O613:O616)</f>
        <v>327.375</v>
      </c>
      <c r="P612" s="9">
        <f>SUBTOTAL(9,P613:P616)</f>
        <v>0</v>
      </c>
      <c r="Q612" s="10">
        <f>SUM(M612:P612)</f>
        <v>353.02499999999998</v>
      </c>
      <c r="R612" s="117"/>
    </row>
    <row r="613" spans="1:18" outlineLevel="1" x14ac:dyDescent="0.5">
      <c r="A613" s="131">
        <v>129.1</v>
      </c>
      <c r="B613" s="14">
        <v>1</v>
      </c>
      <c r="C613" s="15" t="s">
        <v>55</v>
      </c>
      <c r="D613" s="44" t="str">
        <f>VLOOKUP(Estimate!$C613,Resources!$B$3:$G$336,4,FALSE)</f>
        <v xml:space="preserve">hr   </v>
      </c>
      <c r="E613" s="44" t="str">
        <f>VLOOKUP(Estimate!$C613,Resources!$B$3:$G$336,3,FALSE)</f>
        <v>P</v>
      </c>
      <c r="F613" s="52">
        <v>1</v>
      </c>
      <c r="G613" s="129">
        <f>VLOOKUP($A613,'Model Inputs'!$A:$D,4)</f>
        <v>40</v>
      </c>
      <c r="H613" s="12">
        <f>H612</f>
        <v>27</v>
      </c>
      <c r="I613" s="12">
        <f>VLOOKUP(C613,Resources!$B$3:$G$336,6,FALSE)</f>
        <v>135</v>
      </c>
      <c r="J613" s="12">
        <f>(H613/(G613/F613))*I613</f>
        <v>91.125</v>
      </c>
      <c r="K613" s="90">
        <f>L613*F613</f>
        <v>0.67500000000000004</v>
      </c>
      <c r="L613" s="90">
        <f>IF(E613="M"," ",H613/G613)</f>
        <v>0.67500000000000004</v>
      </c>
      <c r="M613" s="16">
        <f>IF($E613="L",$J613,0)</f>
        <v>0</v>
      </c>
      <c r="N613" s="16">
        <f>IF($E613="M",$J613,0)</f>
        <v>0</v>
      </c>
      <c r="O613" s="16">
        <f>IF($E613="P",$J613,0)</f>
        <v>91.125</v>
      </c>
      <c r="P613" s="16">
        <f>IF($E613="S",$J613,0)</f>
        <v>0</v>
      </c>
      <c r="Q613" s="16">
        <f>SUM(M613:P613)</f>
        <v>91.125</v>
      </c>
      <c r="R613" s="118">
        <v>32</v>
      </c>
    </row>
    <row r="614" spans="1:18" outlineLevel="1" x14ac:dyDescent="0.5">
      <c r="A614" s="131" t="s">
        <v>448</v>
      </c>
      <c r="B614" s="14">
        <v>2</v>
      </c>
      <c r="C614" s="15" t="s">
        <v>66</v>
      </c>
      <c r="D614" s="44" t="str">
        <f>VLOOKUP(Estimate!$C614,Resources!$B$3:$G$336,4,FALSE)</f>
        <v xml:space="preserve">hr   </v>
      </c>
      <c r="E614" s="44" t="str">
        <f>VLOOKUP(Estimate!$C614,Resources!$B$3:$G$336,3,FALSE)</f>
        <v>P</v>
      </c>
      <c r="F614" s="52">
        <v>3</v>
      </c>
      <c r="G614" s="12">
        <f>G613</f>
        <v>40</v>
      </c>
      <c r="H614" s="12">
        <f>H613</f>
        <v>27</v>
      </c>
      <c r="I614" s="12">
        <f>VLOOKUP(C614,Resources!$B$3:$G$336,6,FALSE)</f>
        <v>85</v>
      </c>
      <c r="J614" s="12">
        <f>(H614/(G614/F614))*I614</f>
        <v>172.125</v>
      </c>
      <c r="K614" s="90">
        <f>L614*F614</f>
        <v>2.0250000000000004</v>
      </c>
      <c r="L614" s="90">
        <f>IF(E614="M"," ",H614/G614)</f>
        <v>0.67500000000000004</v>
      </c>
      <c r="M614" s="16">
        <f>IF($E614="L",$J614,0)</f>
        <v>0</v>
      </c>
      <c r="N614" s="16">
        <f>IF($E614="M",$J614,0)</f>
        <v>0</v>
      </c>
      <c r="O614" s="16">
        <f>IF($E614="P",$J614,0)</f>
        <v>172.125</v>
      </c>
      <c r="P614" s="16">
        <f>IF($E614="S",$J614,0)</f>
        <v>0</v>
      </c>
      <c r="Q614" s="16">
        <f>SUM(M614:P614)</f>
        <v>172.125</v>
      </c>
      <c r="R614" s="118">
        <v>32</v>
      </c>
    </row>
    <row r="615" spans="1:18" outlineLevel="1" x14ac:dyDescent="0.5">
      <c r="A615" s="131" t="s">
        <v>448</v>
      </c>
      <c r="B615" s="14">
        <v>3</v>
      </c>
      <c r="C615" s="15" t="s">
        <v>60</v>
      </c>
      <c r="D615" s="44" t="str">
        <f>VLOOKUP(Estimate!$C615,Resources!$B$3:$G$336,4,FALSE)</f>
        <v xml:space="preserve">hr   </v>
      </c>
      <c r="E615" s="44" t="str">
        <f>VLOOKUP(Estimate!$C615,Resources!$B$3:$G$336,3,FALSE)</f>
        <v>P</v>
      </c>
      <c r="F615" s="52">
        <v>1</v>
      </c>
      <c r="G615" s="12">
        <f>G613</f>
        <v>40</v>
      </c>
      <c r="H615" s="12">
        <f>H614</f>
        <v>27</v>
      </c>
      <c r="I615" s="12">
        <f>VLOOKUP(C615,Resources!$B$3:$G$336,6,FALSE)</f>
        <v>95</v>
      </c>
      <c r="J615" s="12">
        <f>(H615/(G615/F615))*I615</f>
        <v>64.125</v>
      </c>
      <c r="K615" s="90">
        <f>L615*F615</f>
        <v>0.67500000000000004</v>
      </c>
      <c r="L615" s="90">
        <f>IF(E615="M"," ",H615/G615)</f>
        <v>0.67500000000000004</v>
      </c>
      <c r="M615" s="16">
        <f>IF($E615="L",$J615,0)</f>
        <v>0</v>
      </c>
      <c r="N615" s="16">
        <f>IF($E615="M",$J615,0)</f>
        <v>0</v>
      </c>
      <c r="O615" s="16">
        <f>IF($E615="P",$J615,0)</f>
        <v>64.125</v>
      </c>
      <c r="P615" s="16">
        <f>IF($E615="S",$J615,0)</f>
        <v>0</v>
      </c>
      <c r="Q615" s="16">
        <f>SUM(M615:P615)</f>
        <v>64.125</v>
      </c>
      <c r="R615" s="118">
        <v>32</v>
      </c>
    </row>
    <row r="616" spans="1:18" outlineLevel="1" x14ac:dyDescent="0.5">
      <c r="A616" s="131" t="s">
        <v>448</v>
      </c>
      <c r="B616" s="14">
        <v>4</v>
      </c>
      <c r="C616" s="15" t="s">
        <v>7</v>
      </c>
      <c r="D616" s="44" t="str">
        <f>VLOOKUP(Estimate!$C616,Resources!$B$3:$G$336,4,FALSE)</f>
        <v xml:space="preserve">hr   </v>
      </c>
      <c r="E616" s="44" t="str">
        <f>VLOOKUP(Estimate!$C616,Resources!$B$3:$G$336,3,FALSE)</f>
        <v>L</v>
      </c>
      <c r="F616" s="52">
        <v>1</v>
      </c>
      <c r="G616" s="12">
        <f>G613</f>
        <v>40</v>
      </c>
      <c r="H616" s="12">
        <f>H615</f>
        <v>27</v>
      </c>
      <c r="I616" s="12">
        <f>VLOOKUP(C616,Resources!$B$3:$G$336,6,FALSE)</f>
        <v>38</v>
      </c>
      <c r="J616" s="12">
        <f>(H616/(G616/F616))*I616</f>
        <v>25.650000000000002</v>
      </c>
      <c r="K616" s="90">
        <f>L616*F616</f>
        <v>0.67500000000000004</v>
      </c>
      <c r="L616" s="90">
        <f>IF(E616="M"," ",H616/G616)</f>
        <v>0.67500000000000004</v>
      </c>
      <c r="M616" s="16">
        <f>IF($E616="L",$J616,0)</f>
        <v>25.650000000000002</v>
      </c>
      <c r="N616" s="16">
        <f>IF($E616="M",$J616,0)</f>
        <v>0</v>
      </c>
      <c r="O616" s="16">
        <f>IF($E616="P",$J616,0)</f>
        <v>0</v>
      </c>
      <c r="P616" s="16">
        <f>IF($E616="S",$J616,0)</f>
        <v>0</v>
      </c>
      <c r="Q616" s="16">
        <f>SUM(M616:P616)</f>
        <v>25.650000000000002</v>
      </c>
      <c r="R616" s="118">
        <v>32</v>
      </c>
    </row>
    <row r="617" spans="1:18" outlineLevel="1" x14ac:dyDescent="0.5">
      <c r="A617" s="132" t="s">
        <v>448</v>
      </c>
      <c r="B617" s="1"/>
      <c r="C617" s="2"/>
      <c r="D617" s="1"/>
      <c r="E617" s="45"/>
      <c r="F617" s="53"/>
      <c r="G617" s="11"/>
      <c r="H617" s="11"/>
      <c r="I617" s="11"/>
      <c r="J617" s="11"/>
      <c r="K617" s="91"/>
      <c r="L617" s="91"/>
      <c r="M617" s="13"/>
      <c r="N617" s="13"/>
      <c r="O617" s="13"/>
      <c r="P617" s="13"/>
      <c r="Q617" s="13"/>
      <c r="R617" s="119"/>
    </row>
    <row r="618" spans="1:18" ht="21" x14ac:dyDescent="0.5">
      <c r="A618" s="130">
        <v>130</v>
      </c>
      <c r="B618" s="7" t="s">
        <v>264</v>
      </c>
      <c r="C618" s="7" t="s">
        <v>265</v>
      </c>
      <c r="D618" s="8" t="s">
        <v>88</v>
      </c>
      <c r="E618" s="43"/>
      <c r="F618" s="51"/>
      <c r="G618" s="9"/>
      <c r="H618" s="129">
        <f>VLOOKUP($A618,'Model Inputs'!$A:$D,4)</f>
        <v>165</v>
      </c>
      <c r="I618" s="9">
        <f>J618/H618</f>
        <v>18.17802403775082</v>
      </c>
      <c r="J618" s="9">
        <f>SUBTOTAL(9,J620:J634)</f>
        <v>2999.3739662288854</v>
      </c>
      <c r="K618" s="89"/>
      <c r="L618" s="89">
        <f>ROUNDUP(MAX(L620,L622:L623,L625:L629,L631:L634)/workhrs,0)</f>
        <v>1</v>
      </c>
      <c r="M618" s="9">
        <f>SUBTOTAL(9,M620:M634)</f>
        <v>426.58366405613424</v>
      </c>
      <c r="N618" s="9">
        <f>SUBTOTAL(9,N620:N634)</f>
        <v>0</v>
      </c>
      <c r="O618" s="9">
        <f>SUBTOTAL(9,O620:O634)</f>
        <v>2572.7903021727511</v>
      </c>
      <c r="P618" s="9">
        <f>SUBTOTAL(9,P620:P634)</f>
        <v>0</v>
      </c>
      <c r="Q618" s="10">
        <f>SUM(M618:P618)</f>
        <v>2999.3739662288854</v>
      </c>
      <c r="R618" s="117"/>
    </row>
    <row r="619" spans="1:18" outlineLevel="1" x14ac:dyDescent="0.5">
      <c r="A619" s="132" t="s">
        <v>448</v>
      </c>
      <c r="B619" s="1">
        <v>1</v>
      </c>
      <c r="C619" s="2" t="s">
        <v>654</v>
      </c>
      <c r="D619" s="1"/>
      <c r="E619" s="45"/>
      <c r="F619" s="53"/>
      <c r="G619" s="11"/>
      <c r="H619" s="11"/>
      <c r="I619" s="11"/>
      <c r="J619" s="11"/>
      <c r="K619" s="91"/>
      <c r="L619" s="91"/>
      <c r="M619" s="13"/>
      <c r="N619" s="13"/>
      <c r="O619" s="13"/>
      <c r="P619" s="13"/>
      <c r="Q619" s="13"/>
      <c r="R619" s="119"/>
    </row>
    <row r="620" spans="1:18" outlineLevel="1" x14ac:dyDescent="0.5">
      <c r="A620" s="131" t="s">
        <v>448</v>
      </c>
      <c r="B620" s="14">
        <v>2</v>
      </c>
      <c r="C620" s="15" t="s">
        <v>101</v>
      </c>
      <c r="D620" s="44" t="str">
        <f>VLOOKUP(Estimate!$C620,Resources!$B$3:$G$336,4,FALSE)</f>
        <v xml:space="preserve">hr   </v>
      </c>
      <c r="E620" s="44" t="str">
        <f>VLOOKUP(Estimate!$C620,Resources!$B$3:$G$336,3,FALSE)</f>
        <v>P</v>
      </c>
      <c r="F620" s="52">
        <v>1</v>
      </c>
      <c r="G620" s="12">
        <v>133.333</v>
      </c>
      <c r="H620" s="12">
        <f>H618</f>
        <v>165</v>
      </c>
      <c r="I620" s="12">
        <f>VLOOKUP(C620,Resources!$B$3:$G$336,6,FALSE)</f>
        <v>185</v>
      </c>
      <c r="J620" s="12">
        <f>(H620/(G620/F620))*I620</f>
        <v>228.93807234518087</v>
      </c>
      <c r="K620" s="90">
        <f>L620*F620</f>
        <v>1.2375030937577345</v>
      </c>
      <c r="L620" s="90">
        <f>IF(E620="M"," ",H620/G620)</f>
        <v>1.2375030937577345</v>
      </c>
      <c r="M620" s="16">
        <f>IF($E620="L",$J620,0)</f>
        <v>0</v>
      </c>
      <c r="N620" s="16">
        <f>IF($E620="M",$J620,0)</f>
        <v>0</v>
      </c>
      <c r="O620" s="16">
        <f>IF($E620="P",$J620,0)</f>
        <v>228.93807234518087</v>
      </c>
      <c r="P620" s="16">
        <f>IF($E620="S",$J620,0)</f>
        <v>0</v>
      </c>
      <c r="Q620" s="16">
        <f>SUM(M620:P620)</f>
        <v>228.93807234518087</v>
      </c>
      <c r="R620" s="118">
        <v>52</v>
      </c>
    </row>
    <row r="621" spans="1:18" outlineLevel="1" x14ac:dyDescent="0.5">
      <c r="A621" s="132" t="s">
        <v>448</v>
      </c>
      <c r="B621" s="1">
        <v>3</v>
      </c>
      <c r="C621" s="2" t="s">
        <v>655</v>
      </c>
      <c r="D621" s="1"/>
      <c r="E621" s="45"/>
      <c r="F621" s="53"/>
      <c r="G621" s="11"/>
      <c r="H621" s="11"/>
      <c r="I621" s="11"/>
      <c r="J621" s="11"/>
      <c r="K621" s="91"/>
      <c r="L621" s="91"/>
      <c r="M621" s="13"/>
      <c r="N621" s="13"/>
      <c r="O621" s="13"/>
      <c r="P621" s="13"/>
      <c r="Q621" s="13"/>
      <c r="R621" s="119"/>
    </row>
    <row r="622" spans="1:18" outlineLevel="1" x14ac:dyDescent="0.5">
      <c r="A622" s="131">
        <v>130.1</v>
      </c>
      <c r="B622" s="14">
        <v>4</v>
      </c>
      <c r="C622" s="15" t="s">
        <v>55</v>
      </c>
      <c r="D622" s="44" t="str">
        <f>VLOOKUP(Estimate!$C622,Resources!$B$3:$G$336,4,FALSE)</f>
        <v xml:space="preserve">hr   </v>
      </c>
      <c r="E622" s="44" t="str">
        <f>VLOOKUP(Estimate!$C622,Resources!$B$3:$G$336,3,FALSE)</f>
        <v>P</v>
      </c>
      <c r="F622" s="52">
        <v>1</v>
      </c>
      <c r="G622" s="129">
        <f>VLOOKUP($A622,'Model Inputs'!$A:$D,4)</f>
        <v>88.888999999999996</v>
      </c>
      <c r="H622" s="12">
        <f>H618</f>
        <v>165</v>
      </c>
      <c r="I622" s="12">
        <f>VLOOKUP(C622,Resources!$B$3:$G$336,6,FALSE)</f>
        <v>135</v>
      </c>
      <c r="J622" s="12">
        <f>(H622/(G622/F622))*I622</f>
        <v>250.59343675820406</v>
      </c>
      <c r="K622" s="90">
        <f>L622*F622</f>
        <v>1.8562476796904004</v>
      </c>
      <c r="L622" s="90">
        <f>IF(E622="M"," ",H622/G622)</f>
        <v>1.8562476796904004</v>
      </c>
      <c r="M622" s="16">
        <f>IF($E622="L",$J622,0)</f>
        <v>0</v>
      </c>
      <c r="N622" s="16">
        <f>IF($E622="M",$J622,0)</f>
        <v>0</v>
      </c>
      <c r="O622" s="16">
        <f>IF($E622="P",$J622,0)</f>
        <v>250.59343675820406</v>
      </c>
      <c r="P622" s="16">
        <f>IF($E622="S",$J622,0)</f>
        <v>0</v>
      </c>
      <c r="Q622" s="16">
        <f>SUM(M622:P622)</f>
        <v>250.59343675820406</v>
      </c>
      <c r="R622" s="118">
        <v>52</v>
      </c>
    </row>
    <row r="623" spans="1:18" outlineLevel="1" x14ac:dyDescent="0.5">
      <c r="A623" s="131" t="s">
        <v>448</v>
      </c>
      <c r="B623" s="14">
        <v>5</v>
      </c>
      <c r="C623" s="15" t="s">
        <v>102</v>
      </c>
      <c r="D623" s="44" t="str">
        <f>VLOOKUP(Estimate!$C623,Resources!$B$3:$G$336,4,FALSE)</f>
        <v xml:space="preserve">hr   </v>
      </c>
      <c r="E623" s="44" t="str">
        <f>VLOOKUP(Estimate!$C623,Resources!$B$3:$G$336,3,FALSE)</f>
        <v>P</v>
      </c>
      <c r="F623" s="52">
        <v>3</v>
      </c>
      <c r="G623" s="12">
        <f>G622</f>
        <v>88.888999999999996</v>
      </c>
      <c r="H623" s="12">
        <f>H618</f>
        <v>165</v>
      </c>
      <c r="I623" s="12">
        <f>VLOOKUP(C623,Resources!$B$3:$G$336,6,FALSE)</f>
        <v>145</v>
      </c>
      <c r="J623" s="12">
        <f>(H623/(G623/F623))*I623</f>
        <v>807.4677406653243</v>
      </c>
      <c r="K623" s="90">
        <f>L623*F623</f>
        <v>5.5687430390712009</v>
      </c>
      <c r="L623" s="90">
        <f>IF(E623="M"," ",H623/G623)</f>
        <v>1.8562476796904004</v>
      </c>
      <c r="M623" s="16">
        <f>IF($E623="L",$J623,0)</f>
        <v>0</v>
      </c>
      <c r="N623" s="16">
        <f>IF($E623="M",$J623,0)</f>
        <v>0</v>
      </c>
      <c r="O623" s="16">
        <f>IF($E623="P",$J623,0)</f>
        <v>807.4677406653243</v>
      </c>
      <c r="P623" s="16">
        <f>IF($E623="S",$J623,0)</f>
        <v>0</v>
      </c>
      <c r="Q623" s="16">
        <f>SUM(M623:P623)</f>
        <v>807.4677406653243</v>
      </c>
      <c r="R623" s="118">
        <v>52</v>
      </c>
    </row>
    <row r="624" spans="1:18" outlineLevel="1" x14ac:dyDescent="0.5">
      <c r="A624" s="132" t="s">
        <v>448</v>
      </c>
      <c r="B624" s="1">
        <v>6</v>
      </c>
      <c r="C624" s="2" t="s">
        <v>656</v>
      </c>
      <c r="D624" s="1"/>
      <c r="E624" s="45"/>
      <c r="F624" s="53"/>
      <c r="G624" s="11"/>
      <c r="H624" s="11"/>
      <c r="I624" s="11"/>
      <c r="J624" s="11"/>
      <c r="K624" s="91"/>
      <c r="L624" s="91"/>
      <c r="M624" s="13"/>
      <c r="N624" s="13"/>
      <c r="O624" s="13"/>
      <c r="P624" s="13"/>
      <c r="Q624" s="13"/>
      <c r="R624" s="119"/>
    </row>
    <row r="625" spans="1:18" outlineLevel="1" x14ac:dyDescent="0.5">
      <c r="A625" s="131" t="s">
        <v>448</v>
      </c>
      <c r="B625" s="14">
        <v>7</v>
      </c>
      <c r="C625" s="15" t="s">
        <v>96</v>
      </c>
      <c r="D625" s="44" t="str">
        <f>VLOOKUP(Estimate!$C625,Resources!$B$3:$G$336,4,FALSE)</f>
        <v xml:space="preserve">hr   </v>
      </c>
      <c r="E625" s="44" t="str">
        <f>VLOOKUP(Estimate!$C625,Resources!$B$3:$G$336,3,FALSE)</f>
        <v>P</v>
      </c>
      <c r="F625" s="52">
        <v>1</v>
      </c>
      <c r="G625" s="12">
        <f>G622</f>
        <v>88.888999999999996</v>
      </c>
      <c r="H625" s="12">
        <f>H618</f>
        <v>165</v>
      </c>
      <c r="I625" s="12">
        <f>VLOOKUP(C625,Resources!$B$3:$G$336,6,FALSE)</f>
        <v>145</v>
      </c>
      <c r="J625" s="12">
        <f>(H625/(G625/F625))*I625</f>
        <v>269.15591355510804</v>
      </c>
      <c r="K625" s="90">
        <f>L625*F625</f>
        <v>1.8562476796904004</v>
      </c>
      <c r="L625" s="90">
        <f>IF(E625="M"," ",H625/G625)</f>
        <v>1.8562476796904004</v>
      </c>
      <c r="M625" s="16">
        <f>IF($E625="L",$J625,0)</f>
        <v>0</v>
      </c>
      <c r="N625" s="16">
        <f>IF($E625="M",$J625,0)</f>
        <v>0</v>
      </c>
      <c r="O625" s="16">
        <f>IF($E625="P",$J625,0)</f>
        <v>269.15591355510804</v>
      </c>
      <c r="P625" s="16">
        <f>IF($E625="S",$J625,0)</f>
        <v>0</v>
      </c>
      <c r="Q625" s="16">
        <f>SUM(M625:P625)</f>
        <v>269.15591355510804</v>
      </c>
      <c r="R625" s="118">
        <v>52</v>
      </c>
    </row>
    <row r="626" spans="1:18" outlineLevel="1" x14ac:dyDescent="0.5">
      <c r="A626" s="131" t="s">
        <v>448</v>
      </c>
      <c r="B626" s="14">
        <v>8</v>
      </c>
      <c r="C626" s="15" t="s">
        <v>60</v>
      </c>
      <c r="D626" s="44" t="str">
        <f>VLOOKUP(Estimate!$C626,Resources!$B$3:$G$336,4,FALSE)</f>
        <v xml:space="preserve">hr   </v>
      </c>
      <c r="E626" s="44" t="str">
        <f>VLOOKUP(Estimate!$C626,Resources!$B$3:$G$336,3,FALSE)</f>
        <v>P</v>
      </c>
      <c r="F626" s="52">
        <v>1</v>
      </c>
      <c r="G626" s="12">
        <f>G622</f>
        <v>88.888999999999996</v>
      </c>
      <c r="H626" s="12">
        <f>H625</f>
        <v>165</v>
      </c>
      <c r="I626" s="12">
        <f>VLOOKUP(C626,Resources!$B$3:$G$336,6,FALSE)</f>
        <v>95</v>
      </c>
      <c r="J626" s="12">
        <f>(H626/(G626/F626))*I626</f>
        <v>176.34352957058803</v>
      </c>
      <c r="K626" s="90">
        <f>L626*F626</f>
        <v>1.8562476796904004</v>
      </c>
      <c r="L626" s="90">
        <f>IF(E626="M"," ",H626/G626)</f>
        <v>1.8562476796904004</v>
      </c>
      <c r="M626" s="16">
        <f>IF($E626="L",$J626,0)</f>
        <v>0</v>
      </c>
      <c r="N626" s="16">
        <f>IF($E626="M",$J626,0)</f>
        <v>0</v>
      </c>
      <c r="O626" s="16">
        <f>IF($E626="P",$J626,0)</f>
        <v>176.34352957058803</v>
      </c>
      <c r="P626" s="16">
        <f>IF($E626="S",$J626,0)</f>
        <v>0</v>
      </c>
      <c r="Q626" s="16">
        <f>SUM(M626:P626)</f>
        <v>176.34352957058803</v>
      </c>
      <c r="R626" s="118">
        <v>52</v>
      </c>
    </row>
    <row r="627" spans="1:18" outlineLevel="1" x14ac:dyDescent="0.5">
      <c r="A627" s="131" t="s">
        <v>448</v>
      </c>
      <c r="B627" s="14">
        <v>9</v>
      </c>
      <c r="C627" s="15" t="s">
        <v>830</v>
      </c>
      <c r="D627" s="44" t="str">
        <f>VLOOKUP(Estimate!$C627,Resources!$B$3:$G$336,4,FALSE)</f>
        <v xml:space="preserve">hr   </v>
      </c>
      <c r="E627" s="44" t="str">
        <f>VLOOKUP(Estimate!$C627,Resources!$B$3:$G$336,3,FALSE)</f>
        <v>P</v>
      </c>
      <c r="F627" s="52">
        <v>1</v>
      </c>
      <c r="G627" s="12">
        <f>G622</f>
        <v>88.888999999999996</v>
      </c>
      <c r="H627" s="12">
        <f>H626</f>
        <v>165</v>
      </c>
      <c r="I627" s="12">
        <f>VLOOKUP(C627,Resources!$B$3:$G$336,6,FALSE)</f>
        <v>58</v>
      </c>
      <c r="J627" s="12">
        <f>(H627/(G627/F627))*I627</f>
        <v>107.66236542204322</v>
      </c>
      <c r="K627" s="90">
        <f>L627*F627</f>
        <v>1.8562476796904004</v>
      </c>
      <c r="L627" s="90">
        <f>IF(E627="M"," ",H627/G627)</f>
        <v>1.8562476796904004</v>
      </c>
      <c r="M627" s="16">
        <f>IF($E627="L",$J627,0)</f>
        <v>0</v>
      </c>
      <c r="N627" s="16">
        <f>IF($E627="M",$J627,0)</f>
        <v>0</v>
      </c>
      <c r="O627" s="16">
        <f>IF($E627="P",$J627,0)</f>
        <v>107.66236542204322</v>
      </c>
      <c r="P627" s="16">
        <f>IF($E627="S",$J627,0)</f>
        <v>0</v>
      </c>
      <c r="Q627" s="16">
        <f>SUM(M627:P627)</f>
        <v>107.66236542204322</v>
      </c>
      <c r="R627" s="118">
        <v>52</v>
      </c>
    </row>
    <row r="628" spans="1:18" outlineLevel="1" x14ac:dyDescent="0.5">
      <c r="A628" s="131" t="s">
        <v>448</v>
      </c>
      <c r="B628" s="14">
        <v>10</v>
      </c>
      <c r="C628" s="15" t="s">
        <v>7</v>
      </c>
      <c r="D628" s="44" t="str">
        <f>VLOOKUP(Estimate!$C628,Resources!$B$3:$G$336,4,FALSE)</f>
        <v xml:space="preserve">hr   </v>
      </c>
      <c r="E628" s="44" t="str">
        <f>VLOOKUP(Estimate!$C628,Resources!$B$3:$G$336,3,FALSE)</f>
        <v>L</v>
      </c>
      <c r="F628" s="52">
        <v>3</v>
      </c>
      <c r="G628" s="12">
        <f>G622</f>
        <v>88.888999999999996</v>
      </c>
      <c r="H628" s="12">
        <f>H627</f>
        <v>165</v>
      </c>
      <c r="I628" s="12">
        <f>VLOOKUP(C628,Resources!$B$3:$G$336,6,FALSE)</f>
        <v>38</v>
      </c>
      <c r="J628" s="12">
        <f>(H628/(G628/F628))*I628</f>
        <v>211.61223548470568</v>
      </c>
      <c r="K628" s="90">
        <f>L628*F628</f>
        <v>5.5687430390712009</v>
      </c>
      <c r="L628" s="90">
        <f>IF(E628="M"," ",H628/G628)</f>
        <v>1.8562476796904004</v>
      </c>
      <c r="M628" s="16">
        <f>IF($E628="L",$J628,0)</f>
        <v>211.61223548470568</v>
      </c>
      <c r="N628" s="16">
        <f>IF($E628="M",$J628,0)</f>
        <v>0</v>
      </c>
      <c r="O628" s="16">
        <f>IF($E628="P",$J628,0)</f>
        <v>0</v>
      </c>
      <c r="P628" s="16">
        <f>IF($E628="S",$J628,0)</f>
        <v>0</v>
      </c>
      <c r="Q628" s="16">
        <f>SUM(M628:P628)</f>
        <v>211.61223548470568</v>
      </c>
      <c r="R628" s="118">
        <v>52</v>
      </c>
    </row>
    <row r="629" spans="1:18" outlineLevel="1" x14ac:dyDescent="0.5">
      <c r="A629" s="131" t="s">
        <v>448</v>
      </c>
      <c r="B629" s="14">
        <v>11</v>
      </c>
      <c r="C629" s="15" t="s">
        <v>49</v>
      </c>
      <c r="D629" s="44" t="str">
        <f>VLOOKUP(Estimate!$C629,Resources!$B$3:$G$336,4,FALSE)</f>
        <v xml:space="preserve">hr   </v>
      </c>
      <c r="E629" s="44" t="str">
        <f>VLOOKUP(Estimate!$C629,Resources!$B$3:$G$336,3,FALSE)</f>
        <v>P</v>
      </c>
      <c r="F629" s="52">
        <v>1</v>
      </c>
      <c r="G629" s="12">
        <f>G622</f>
        <v>88.888999999999996</v>
      </c>
      <c r="H629" s="12">
        <f>H628</f>
        <v>165</v>
      </c>
      <c r="I629" s="12">
        <f>VLOOKUP(C629,Resources!$B$3:$G$336,6,FALSE)</f>
        <v>95</v>
      </c>
      <c r="J629" s="12">
        <f>(H629/(G629/F629))*I629</f>
        <v>176.34352957058803</v>
      </c>
      <c r="K629" s="90">
        <f>L629*F629</f>
        <v>1.8562476796904004</v>
      </c>
      <c r="L629" s="90">
        <f>IF(E629="M"," ",H629/G629)</f>
        <v>1.8562476796904004</v>
      </c>
      <c r="M629" s="16">
        <f>IF($E629="L",$J629,0)</f>
        <v>0</v>
      </c>
      <c r="N629" s="16">
        <f>IF($E629="M",$J629,0)</f>
        <v>0</v>
      </c>
      <c r="O629" s="16">
        <f>IF($E629="P",$J629,0)</f>
        <v>176.34352957058803</v>
      </c>
      <c r="P629" s="16">
        <f>IF($E629="S",$J629,0)</f>
        <v>0</v>
      </c>
      <c r="Q629" s="16">
        <f>SUM(M629:P629)</f>
        <v>176.34352957058803</v>
      </c>
      <c r="R629" s="118">
        <v>52</v>
      </c>
    </row>
    <row r="630" spans="1:18" outlineLevel="1" x14ac:dyDescent="0.5">
      <c r="A630" s="132" t="s">
        <v>448</v>
      </c>
      <c r="B630" s="1">
        <v>12</v>
      </c>
      <c r="C630" s="2" t="s">
        <v>657</v>
      </c>
      <c r="D630" s="1"/>
      <c r="E630" s="45"/>
      <c r="F630" s="53"/>
      <c r="G630" s="11"/>
      <c r="H630" s="11"/>
      <c r="I630" s="11"/>
      <c r="J630" s="11"/>
      <c r="K630" s="91"/>
      <c r="L630" s="91"/>
      <c r="M630" s="13"/>
      <c r="N630" s="13"/>
      <c r="O630" s="13"/>
      <c r="P630" s="13"/>
      <c r="Q630" s="13"/>
      <c r="R630" s="119"/>
    </row>
    <row r="631" spans="1:18" outlineLevel="1" x14ac:dyDescent="0.5">
      <c r="A631" s="131">
        <v>130.19999999999999</v>
      </c>
      <c r="B631" s="14">
        <v>13</v>
      </c>
      <c r="C631" s="15" t="s">
        <v>96</v>
      </c>
      <c r="D631" s="44" t="str">
        <f>VLOOKUP(Estimate!$C631,Resources!$B$3:$G$336,4,FALSE)</f>
        <v xml:space="preserve">hr   </v>
      </c>
      <c r="E631" s="44" t="str">
        <f>VLOOKUP(Estimate!$C631,Resources!$B$3:$G$336,3,FALSE)</f>
        <v>P</v>
      </c>
      <c r="F631" s="52">
        <v>1</v>
      </c>
      <c r="G631" s="129">
        <f>VLOOKUP($A631,'Model Inputs'!$A:$D,4)</f>
        <v>250</v>
      </c>
      <c r="H631" s="12">
        <f>H618/0.35</f>
        <v>471.42857142857144</v>
      </c>
      <c r="I631" s="12">
        <f>VLOOKUP(C631,Resources!$B$3:$G$336,6,FALSE)</f>
        <v>145</v>
      </c>
      <c r="J631" s="12">
        <f>(H631/(G631/F631))*I631</f>
        <v>273.42857142857144</v>
      </c>
      <c r="K631" s="90">
        <f>L631*F631</f>
        <v>1.8857142857142857</v>
      </c>
      <c r="L631" s="90">
        <f>IF(E631="M"," ",H631/G631)</f>
        <v>1.8857142857142857</v>
      </c>
      <c r="M631" s="16">
        <f>IF($E631="L",$J631,0)</f>
        <v>0</v>
      </c>
      <c r="N631" s="16">
        <f>IF($E631="M",$J631,0)</f>
        <v>0</v>
      </c>
      <c r="O631" s="16">
        <f>IF($E631="P",$J631,0)</f>
        <v>273.42857142857144</v>
      </c>
      <c r="P631" s="16">
        <f>IF($E631="S",$J631,0)</f>
        <v>0</v>
      </c>
      <c r="Q631" s="16">
        <f>SUM(M631:P631)</f>
        <v>273.42857142857144</v>
      </c>
      <c r="R631" s="118">
        <v>52</v>
      </c>
    </row>
    <row r="632" spans="1:18" outlineLevel="1" x14ac:dyDescent="0.5">
      <c r="A632" s="131" t="s">
        <v>448</v>
      </c>
      <c r="B632" s="14">
        <v>14</v>
      </c>
      <c r="C632" s="15" t="s">
        <v>60</v>
      </c>
      <c r="D632" s="44" t="str">
        <f>VLOOKUP(Estimate!$C632,Resources!$B$3:$G$336,4,FALSE)</f>
        <v xml:space="preserve">hr   </v>
      </c>
      <c r="E632" s="44" t="str">
        <f>VLOOKUP(Estimate!$C632,Resources!$B$3:$G$336,3,FALSE)</f>
        <v>P</v>
      </c>
      <c r="F632" s="52">
        <v>1</v>
      </c>
      <c r="G632" s="12">
        <f>G631</f>
        <v>250</v>
      </c>
      <c r="H632" s="12">
        <f>H631</f>
        <v>471.42857142857144</v>
      </c>
      <c r="I632" s="12">
        <f>VLOOKUP(C632,Resources!$B$3:$G$336,6,FALSE)</f>
        <v>95</v>
      </c>
      <c r="J632" s="12">
        <f>(H632/(G632/F632))*I632</f>
        <v>179.14285714285714</v>
      </c>
      <c r="K632" s="90">
        <f>L632*F632</f>
        <v>1.8857142857142857</v>
      </c>
      <c r="L632" s="90">
        <f>IF(E632="M"," ",H632/G632)</f>
        <v>1.8857142857142857</v>
      </c>
      <c r="M632" s="16">
        <f>IF($E632="L",$J632,0)</f>
        <v>0</v>
      </c>
      <c r="N632" s="16">
        <f>IF($E632="M",$J632,0)</f>
        <v>0</v>
      </c>
      <c r="O632" s="16">
        <f>IF($E632="P",$J632,0)</f>
        <v>179.14285714285714</v>
      </c>
      <c r="P632" s="16">
        <f>IF($E632="S",$J632,0)</f>
        <v>0</v>
      </c>
      <c r="Q632" s="16">
        <f>SUM(M632:P632)</f>
        <v>179.14285714285714</v>
      </c>
      <c r="R632" s="118">
        <v>52</v>
      </c>
    </row>
    <row r="633" spans="1:18" outlineLevel="1" x14ac:dyDescent="0.5">
      <c r="A633" s="131" t="s">
        <v>448</v>
      </c>
      <c r="B633" s="14">
        <v>15</v>
      </c>
      <c r="C633" s="15" t="s">
        <v>835</v>
      </c>
      <c r="D633" s="44" t="str">
        <f>VLOOKUP(Estimate!$C633,Resources!$B$3:$G$336,4,FALSE)</f>
        <v xml:space="preserve">hr   </v>
      </c>
      <c r="E633" s="44" t="str">
        <f>VLOOKUP(Estimate!$C633,Resources!$B$3:$G$336,3,FALSE)</f>
        <v>P</v>
      </c>
      <c r="F633" s="52">
        <v>1</v>
      </c>
      <c r="G633" s="12">
        <f>G631</f>
        <v>250</v>
      </c>
      <c r="H633" s="12">
        <f>H632</f>
        <v>471.42857142857144</v>
      </c>
      <c r="I633" s="12">
        <f>VLOOKUP(C633,Resources!$B$3:$G$336,6,FALSE)</f>
        <v>55</v>
      </c>
      <c r="J633" s="12">
        <f>(H633/(G633/F633))*I633</f>
        <v>103.71428571428571</v>
      </c>
      <c r="K633" s="90">
        <f>L633*F633</f>
        <v>1.8857142857142857</v>
      </c>
      <c r="L633" s="90">
        <f>IF(E633="M"," ",H633/G633)</f>
        <v>1.8857142857142857</v>
      </c>
      <c r="M633" s="16">
        <f>IF($E633="L",$J633,0)</f>
        <v>0</v>
      </c>
      <c r="N633" s="16">
        <f>IF($E633="M",$J633,0)</f>
        <v>0</v>
      </c>
      <c r="O633" s="16">
        <f>IF($E633="P",$J633,0)</f>
        <v>103.71428571428571</v>
      </c>
      <c r="P633" s="16">
        <f>IF($E633="S",$J633,0)</f>
        <v>0</v>
      </c>
      <c r="Q633" s="16">
        <f>SUM(M633:P633)</f>
        <v>103.71428571428571</v>
      </c>
      <c r="R633" s="118">
        <v>52</v>
      </c>
    </row>
    <row r="634" spans="1:18" outlineLevel="1" x14ac:dyDescent="0.5">
      <c r="A634" s="131" t="s">
        <v>448</v>
      </c>
      <c r="B634" s="14">
        <v>16</v>
      </c>
      <c r="C634" s="15" t="s">
        <v>7</v>
      </c>
      <c r="D634" s="44" t="str">
        <f>VLOOKUP(Estimate!$C634,Resources!$B$3:$G$336,4,FALSE)</f>
        <v xml:space="preserve">hr   </v>
      </c>
      <c r="E634" s="44" t="str">
        <f>VLOOKUP(Estimate!$C634,Resources!$B$3:$G$336,3,FALSE)</f>
        <v>L</v>
      </c>
      <c r="F634" s="52">
        <v>3</v>
      </c>
      <c r="G634" s="12">
        <f>G631</f>
        <v>250</v>
      </c>
      <c r="H634" s="12">
        <f>H633</f>
        <v>471.42857142857144</v>
      </c>
      <c r="I634" s="12">
        <f>VLOOKUP(C634,Resources!$B$3:$G$336,6,FALSE)</f>
        <v>38</v>
      </c>
      <c r="J634" s="12">
        <f>(H634/(G634/F634))*I634</f>
        <v>214.97142857142859</v>
      </c>
      <c r="K634" s="90">
        <f>L634*F634</f>
        <v>5.6571428571428566</v>
      </c>
      <c r="L634" s="90">
        <f>IF(E634="M"," ",H634/G634)</f>
        <v>1.8857142857142857</v>
      </c>
      <c r="M634" s="16">
        <f>IF($E634="L",$J634,0)</f>
        <v>214.97142857142859</v>
      </c>
      <c r="N634" s="16">
        <f>IF($E634="M",$J634,0)</f>
        <v>0</v>
      </c>
      <c r="O634" s="16">
        <f>IF($E634="P",$J634,0)</f>
        <v>0</v>
      </c>
      <c r="P634" s="16">
        <f>IF($E634="S",$J634,0)</f>
        <v>0</v>
      </c>
      <c r="Q634" s="16">
        <f>SUM(M634:P634)</f>
        <v>214.97142857142859</v>
      </c>
      <c r="R634" s="118">
        <v>52</v>
      </c>
    </row>
    <row r="635" spans="1:18" x14ac:dyDescent="0.5">
      <c r="A635" s="132" t="s">
        <v>448</v>
      </c>
      <c r="B635" s="1"/>
      <c r="C635" s="2"/>
      <c r="D635" s="1"/>
      <c r="E635" s="45"/>
      <c r="F635" s="53"/>
      <c r="G635" s="11"/>
      <c r="H635" s="11"/>
      <c r="I635" s="11"/>
      <c r="J635" s="11"/>
      <c r="K635" s="91"/>
      <c r="L635" s="91"/>
      <c r="M635" s="13"/>
      <c r="N635" s="13"/>
      <c r="O635" s="13"/>
      <c r="P635" s="13"/>
      <c r="Q635" s="13"/>
      <c r="R635" s="119"/>
    </row>
    <row r="636" spans="1:18" x14ac:dyDescent="0.5">
      <c r="A636" s="132">
        <v>131</v>
      </c>
      <c r="B636" s="1"/>
      <c r="C636" s="5" t="s">
        <v>658</v>
      </c>
      <c r="D636" s="1"/>
      <c r="E636" s="45"/>
      <c r="F636" s="53"/>
      <c r="G636" s="11"/>
      <c r="H636" s="11"/>
      <c r="I636" s="11"/>
      <c r="J636" s="11"/>
      <c r="K636" s="91"/>
      <c r="L636" s="91"/>
      <c r="M636" s="13"/>
      <c r="N636" s="13"/>
      <c r="O636" s="13"/>
      <c r="P636" s="13"/>
      <c r="Q636" s="13"/>
      <c r="R636" s="119"/>
    </row>
    <row r="637" spans="1:18" x14ac:dyDescent="0.5">
      <c r="A637" s="132">
        <v>132</v>
      </c>
      <c r="B637" s="1"/>
      <c r="C637" s="5" t="s">
        <v>659</v>
      </c>
      <c r="D637" s="1"/>
      <c r="E637" s="45"/>
      <c r="F637" s="53"/>
      <c r="G637" s="11"/>
      <c r="H637" s="11"/>
      <c r="I637" s="11"/>
      <c r="J637" s="11"/>
      <c r="K637" s="91"/>
      <c r="L637" s="91"/>
      <c r="M637" s="13"/>
      <c r="N637" s="13"/>
      <c r="O637" s="13"/>
      <c r="P637" s="13"/>
      <c r="Q637" s="13"/>
      <c r="R637" s="119"/>
    </row>
    <row r="638" spans="1:18" ht="21" x14ac:dyDescent="0.5">
      <c r="A638" s="130">
        <v>133</v>
      </c>
      <c r="B638" s="7" t="s">
        <v>266</v>
      </c>
      <c r="C638" s="7" t="s">
        <v>267</v>
      </c>
      <c r="D638" s="8" t="s">
        <v>144</v>
      </c>
      <c r="E638" s="43"/>
      <c r="F638" s="51"/>
      <c r="G638" s="9"/>
      <c r="H638" s="129">
        <f>VLOOKUP($A638,'Model Inputs'!$A:$D,4)</f>
        <v>2</v>
      </c>
      <c r="I638" s="9">
        <f>J638/H638</f>
        <v>2400</v>
      </c>
      <c r="J638" s="9">
        <f>SUBTOTAL(9,J639)</f>
        <v>4800</v>
      </c>
      <c r="K638" s="89"/>
      <c r="L638" s="89">
        <f>ROUNDUP(L639,0)</f>
        <v>2</v>
      </c>
      <c r="M638" s="9">
        <f>SUBTOTAL(9,M639)</f>
        <v>0</v>
      </c>
      <c r="N638" s="9">
        <f>SUBTOTAL(9,N639)</f>
        <v>0</v>
      </c>
      <c r="O638" s="9">
        <f>SUBTOTAL(9,O639)</f>
        <v>0</v>
      </c>
      <c r="P638" s="9">
        <f>SUBTOTAL(9,P639)</f>
        <v>4800</v>
      </c>
      <c r="Q638" s="10">
        <f>SUM(M638:P638)</f>
        <v>4800</v>
      </c>
      <c r="R638" s="117"/>
    </row>
    <row r="639" spans="1:18" outlineLevel="1" x14ac:dyDescent="0.5">
      <c r="A639" s="131" t="s">
        <v>448</v>
      </c>
      <c r="B639" s="14">
        <v>1</v>
      </c>
      <c r="C639" s="15" t="s">
        <v>268</v>
      </c>
      <c r="D639" s="44" t="str">
        <f>VLOOKUP(Estimate!$C639,Resources!$B$3:$G$336,4,FALSE)</f>
        <v xml:space="preserve">LS   </v>
      </c>
      <c r="E639" s="44" t="str">
        <f>VLOOKUP(Estimate!$C639,Resources!$B$3:$G$336,3,FALSE)</f>
        <v>S</v>
      </c>
      <c r="F639" s="52">
        <v>2400</v>
      </c>
      <c r="G639" s="12">
        <v>1</v>
      </c>
      <c r="H639" s="12">
        <f>H638</f>
        <v>2</v>
      </c>
      <c r="I639" s="12">
        <f>VLOOKUP(C639,Resources!$B$3:$G$336,6,FALSE)</f>
        <v>1</v>
      </c>
      <c r="J639" s="12">
        <f>(H639/(G639/F639))*I639</f>
        <v>4800</v>
      </c>
      <c r="K639" s="90"/>
      <c r="L639" s="90">
        <f>IF(E639="M"," ",H639/G639)</f>
        <v>2</v>
      </c>
      <c r="M639" s="16">
        <f>IF($E639="L",$J639,0)</f>
        <v>0</v>
      </c>
      <c r="N639" s="16">
        <f>IF($E639="M",$J639,0)</f>
        <v>0</v>
      </c>
      <c r="O639" s="16">
        <f>IF($E639="P",$J639,0)</f>
        <v>0</v>
      </c>
      <c r="P639" s="16">
        <f>IF($E639="S",$J639,0)</f>
        <v>4800</v>
      </c>
      <c r="Q639" s="16">
        <f>SUM(M639:P639)</f>
        <v>4800</v>
      </c>
      <c r="R639" s="118">
        <v>95</v>
      </c>
    </row>
    <row r="640" spans="1:18" outlineLevel="1" x14ac:dyDescent="0.5">
      <c r="A640" s="132" t="s">
        <v>448</v>
      </c>
      <c r="B640" s="1"/>
      <c r="C640" s="2"/>
      <c r="D640" s="1"/>
      <c r="E640" s="45"/>
      <c r="F640" s="53"/>
      <c r="G640" s="11"/>
      <c r="H640" s="11"/>
      <c r="I640" s="11"/>
      <c r="J640" s="11"/>
      <c r="K640" s="91"/>
      <c r="L640" s="91"/>
      <c r="M640" s="13"/>
      <c r="N640" s="13"/>
      <c r="O640" s="13"/>
      <c r="P640" s="13"/>
      <c r="Q640" s="13"/>
      <c r="R640" s="119"/>
    </row>
    <row r="641" spans="1:18" ht="21" x14ac:dyDescent="0.5">
      <c r="A641" s="130">
        <v>134</v>
      </c>
      <c r="B641" s="7" t="s">
        <v>269</v>
      </c>
      <c r="C641" s="7" t="s">
        <v>270</v>
      </c>
      <c r="D641" s="8" t="s">
        <v>14</v>
      </c>
      <c r="E641" s="43"/>
      <c r="F641" s="51"/>
      <c r="G641" s="9"/>
      <c r="H641" s="129">
        <f>VLOOKUP($A641,'Model Inputs'!$A:$D,4)</f>
        <v>2</v>
      </c>
      <c r="I641" s="9">
        <f>J641/H641</f>
        <v>2000</v>
      </c>
      <c r="J641" s="9">
        <f>SUBTOTAL(9,J642)</f>
        <v>4000</v>
      </c>
      <c r="K641" s="89"/>
      <c r="L641" s="89">
        <v>2</v>
      </c>
      <c r="M641" s="9">
        <f>SUBTOTAL(9,M642)</f>
        <v>0</v>
      </c>
      <c r="N641" s="9">
        <f>SUBTOTAL(9,N642)</f>
        <v>0</v>
      </c>
      <c r="O641" s="9">
        <f>SUBTOTAL(9,O642)</f>
        <v>0</v>
      </c>
      <c r="P641" s="9">
        <f>SUBTOTAL(9,P642)</f>
        <v>4000</v>
      </c>
      <c r="Q641" s="10">
        <f>SUM(M641:P641)</f>
        <v>4000</v>
      </c>
      <c r="R641" s="117"/>
    </row>
    <row r="642" spans="1:18" outlineLevel="1" x14ac:dyDescent="0.5">
      <c r="A642" s="131" t="s">
        <v>448</v>
      </c>
      <c r="B642" s="14">
        <v>1</v>
      </c>
      <c r="C642" s="15" t="s">
        <v>268</v>
      </c>
      <c r="D642" s="44" t="str">
        <f>VLOOKUP(Estimate!$C642,Resources!$B$3:$G$336,4,FALSE)</f>
        <v xml:space="preserve">LS   </v>
      </c>
      <c r="E642" s="44" t="str">
        <f>VLOOKUP(Estimate!$C642,Resources!$B$3:$G$336,3,FALSE)</f>
        <v>S</v>
      </c>
      <c r="F642" s="52">
        <v>1</v>
      </c>
      <c r="G642" s="12">
        <v>1</v>
      </c>
      <c r="H642" s="12">
        <v>4000</v>
      </c>
      <c r="I642" s="12">
        <f>VLOOKUP(C642,Resources!$B$3:$G$336,6,FALSE)</f>
        <v>1</v>
      </c>
      <c r="J642" s="12">
        <f>(H642/(G642/F642))*I642</f>
        <v>4000</v>
      </c>
      <c r="K642" s="90"/>
      <c r="L642" s="90">
        <f>IF(E642="M"," ",H642/G642)</f>
        <v>4000</v>
      </c>
      <c r="M642" s="16">
        <f>IF($E642="L",$J642,0)</f>
        <v>0</v>
      </c>
      <c r="N642" s="16">
        <f>IF($E642="M",$J642,0)</f>
        <v>0</v>
      </c>
      <c r="O642" s="16">
        <f>IF($E642="P",$J642,0)</f>
        <v>0</v>
      </c>
      <c r="P642" s="16">
        <f>IF($E642="S",$J642,0)</f>
        <v>4000</v>
      </c>
      <c r="Q642" s="16">
        <f>SUM(M642:P642)</f>
        <v>4000</v>
      </c>
      <c r="R642" s="118">
        <v>95</v>
      </c>
    </row>
    <row r="643" spans="1:18" outlineLevel="1" x14ac:dyDescent="0.5">
      <c r="A643" s="132" t="s">
        <v>448</v>
      </c>
      <c r="B643" s="1"/>
      <c r="C643" s="2"/>
      <c r="D643" s="1"/>
      <c r="E643" s="45"/>
      <c r="F643" s="53"/>
      <c r="G643" s="11"/>
      <c r="H643" s="11"/>
      <c r="I643" s="11"/>
      <c r="J643" s="11"/>
      <c r="K643" s="91"/>
      <c r="L643" s="91"/>
      <c r="M643" s="13"/>
      <c r="N643" s="13"/>
      <c r="O643" s="13"/>
      <c r="P643" s="13"/>
      <c r="Q643" s="13"/>
      <c r="R643" s="119"/>
    </row>
    <row r="644" spans="1:18" x14ac:dyDescent="0.5">
      <c r="A644" s="132">
        <v>135</v>
      </c>
      <c r="B644" s="1"/>
      <c r="C644" s="5" t="s">
        <v>660</v>
      </c>
      <c r="D644" s="1"/>
      <c r="E644" s="45"/>
      <c r="F644" s="53"/>
      <c r="G644" s="11"/>
      <c r="H644" s="11"/>
      <c r="I644" s="11"/>
      <c r="J644" s="11"/>
      <c r="K644" s="91"/>
      <c r="L644" s="91"/>
      <c r="M644" s="13"/>
      <c r="N644" s="13"/>
      <c r="O644" s="13"/>
      <c r="P644" s="13"/>
      <c r="Q644" s="13"/>
      <c r="R644" s="119"/>
    </row>
    <row r="645" spans="1:18" ht="21" x14ac:dyDescent="0.5">
      <c r="A645" s="130">
        <v>136</v>
      </c>
      <c r="B645" s="7" t="s">
        <v>271</v>
      </c>
      <c r="C645" s="7" t="s">
        <v>272</v>
      </c>
      <c r="D645" s="8" t="s">
        <v>144</v>
      </c>
      <c r="E645" s="43"/>
      <c r="F645" s="51"/>
      <c r="G645" s="9"/>
      <c r="H645" s="129">
        <f>VLOOKUP($A645,'Model Inputs'!$A:$D,4)</f>
        <v>1</v>
      </c>
      <c r="I645" s="9">
        <f>J645/H645</f>
        <v>23520</v>
      </c>
      <c r="J645" s="9">
        <f>SUBTOTAL(9,J646)</f>
        <v>23520</v>
      </c>
      <c r="K645" s="89"/>
      <c r="L645" s="89">
        <f>ROUNDUP(L646*15,0)</f>
        <v>15</v>
      </c>
      <c r="M645" s="9">
        <f>SUBTOTAL(9,M646)</f>
        <v>0</v>
      </c>
      <c r="N645" s="9">
        <f>SUBTOTAL(9,N646)</f>
        <v>0</v>
      </c>
      <c r="O645" s="9">
        <f>SUBTOTAL(9,O646)</f>
        <v>0</v>
      </c>
      <c r="P645" s="9">
        <f>SUBTOTAL(9,P646)</f>
        <v>23520</v>
      </c>
      <c r="Q645" s="10">
        <f>SUM(M645:P645)</f>
        <v>23520</v>
      </c>
      <c r="R645" s="117"/>
    </row>
    <row r="646" spans="1:18" outlineLevel="1" x14ac:dyDescent="0.5">
      <c r="A646" s="131" t="s">
        <v>448</v>
      </c>
      <c r="B646" s="14">
        <v>1</v>
      </c>
      <c r="C646" s="15" t="s">
        <v>268</v>
      </c>
      <c r="D646" s="44" t="str">
        <f>VLOOKUP(Estimate!$C646,Resources!$B$3:$G$336,4,FALSE)</f>
        <v xml:space="preserve">LS   </v>
      </c>
      <c r="E646" s="44" t="str">
        <f>VLOOKUP(Estimate!$C646,Resources!$B$3:$G$336,3,FALSE)</f>
        <v>S</v>
      </c>
      <c r="F646" s="52">
        <v>23520</v>
      </c>
      <c r="G646" s="12">
        <v>1</v>
      </c>
      <c r="H646" s="12">
        <v>1</v>
      </c>
      <c r="I646" s="12">
        <f>VLOOKUP(C646,Resources!$B$3:$G$336,6,FALSE)</f>
        <v>1</v>
      </c>
      <c r="J646" s="12">
        <f>(H646/(G646/F646))*I646</f>
        <v>23520</v>
      </c>
      <c r="K646" s="90"/>
      <c r="L646" s="90">
        <f>IF(E646="M"," ",H646/G646)</f>
        <v>1</v>
      </c>
      <c r="M646" s="16">
        <f>IF($E646="L",$J646,0)</f>
        <v>0</v>
      </c>
      <c r="N646" s="16">
        <f>IF($E646="M",$J646,0)</f>
        <v>0</v>
      </c>
      <c r="O646" s="16">
        <f>IF($E646="P",$J646,0)</f>
        <v>0</v>
      </c>
      <c r="P646" s="16">
        <f>IF($E646="S",$J646,0)</f>
        <v>23520</v>
      </c>
      <c r="Q646" s="16">
        <f>SUM(M646:P646)</f>
        <v>23520</v>
      </c>
      <c r="R646" s="118">
        <v>95</v>
      </c>
    </row>
    <row r="647" spans="1:18" outlineLevel="1" x14ac:dyDescent="0.5">
      <c r="A647" s="132" t="s">
        <v>448</v>
      </c>
      <c r="B647" s="1"/>
      <c r="C647" s="2"/>
      <c r="D647" s="1"/>
      <c r="E647" s="45"/>
      <c r="F647" s="53"/>
      <c r="G647" s="11"/>
      <c r="H647" s="11"/>
      <c r="I647" s="11"/>
      <c r="J647" s="11"/>
      <c r="K647" s="91"/>
      <c r="L647" s="91"/>
      <c r="M647" s="13"/>
      <c r="N647" s="13"/>
      <c r="O647" s="13"/>
      <c r="P647" s="13"/>
      <c r="Q647" s="13"/>
      <c r="R647" s="119"/>
    </row>
    <row r="648" spans="1:18" ht="21" x14ac:dyDescent="0.5">
      <c r="A648" s="130">
        <v>137</v>
      </c>
      <c r="B648" s="7" t="s">
        <v>273</v>
      </c>
      <c r="C648" s="7" t="s">
        <v>274</v>
      </c>
      <c r="D648" s="8" t="s">
        <v>14</v>
      </c>
      <c r="E648" s="43"/>
      <c r="F648" s="51"/>
      <c r="G648" s="9"/>
      <c r="H648" s="129">
        <f>VLOOKUP($A648,'Model Inputs'!$A:$D,4)</f>
        <v>1</v>
      </c>
      <c r="I648" s="9">
        <f>J648/H648</f>
        <v>4100</v>
      </c>
      <c r="J648" s="9">
        <f>SUBTOTAL(9,J649)</f>
        <v>4100</v>
      </c>
      <c r="K648" s="89"/>
      <c r="L648" s="89">
        <f>ROUNDUP(L649,0)</f>
        <v>2</v>
      </c>
      <c r="M648" s="9">
        <f>SUBTOTAL(9,M649)</f>
        <v>0</v>
      </c>
      <c r="N648" s="9">
        <f>SUBTOTAL(9,N649)</f>
        <v>0</v>
      </c>
      <c r="O648" s="9">
        <f>SUBTOTAL(9,O649)</f>
        <v>0</v>
      </c>
      <c r="P648" s="9">
        <f>SUBTOTAL(9,P649)</f>
        <v>4100</v>
      </c>
      <c r="Q648" s="10">
        <f>SUM(M648:P648)</f>
        <v>4100</v>
      </c>
      <c r="R648" s="117"/>
    </row>
    <row r="649" spans="1:18" outlineLevel="1" x14ac:dyDescent="0.5">
      <c r="A649" s="131" t="s">
        <v>448</v>
      </c>
      <c r="B649" s="14">
        <v>1</v>
      </c>
      <c r="C649" s="15" t="s">
        <v>268</v>
      </c>
      <c r="D649" s="44" t="str">
        <f>VLOOKUP(Estimate!$C649,Resources!$B$3:$G$336,4,FALSE)</f>
        <v xml:space="preserve">LS   </v>
      </c>
      <c r="E649" s="44" t="str">
        <f>VLOOKUP(Estimate!$C649,Resources!$B$3:$G$336,3,FALSE)</f>
        <v>S</v>
      </c>
      <c r="F649" s="52">
        <v>4100</v>
      </c>
      <c r="G649" s="12">
        <v>0.5</v>
      </c>
      <c r="H649" s="12">
        <v>1</v>
      </c>
      <c r="I649" s="12">
        <f>VLOOKUP(C649,Resources!$B$3:$G$336,6,FALSE)</f>
        <v>1</v>
      </c>
      <c r="J649" s="12">
        <f>F649*H649*I649</f>
        <v>4100</v>
      </c>
      <c r="K649" s="90"/>
      <c r="L649" s="90">
        <f>IF(E649="M"," ",H649/G649)</f>
        <v>2</v>
      </c>
      <c r="M649" s="16">
        <f>IF($E649="L",$J649,0)</f>
        <v>0</v>
      </c>
      <c r="N649" s="16">
        <f>IF($E649="M",$J649,0)</f>
        <v>0</v>
      </c>
      <c r="O649" s="16">
        <f>IF($E649="P",$J649,0)</f>
        <v>0</v>
      </c>
      <c r="P649" s="16">
        <f>IF($E649="S",$J649,0)</f>
        <v>4100</v>
      </c>
      <c r="Q649" s="16">
        <f>SUM(M649:P649)</f>
        <v>4100</v>
      </c>
      <c r="R649" s="118">
        <v>95</v>
      </c>
    </row>
    <row r="650" spans="1:18" outlineLevel="1" x14ac:dyDescent="0.5">
      <c r="A650" s="132" t="s">
        <v>448</v>
      </c>
      <c r="B650" s="1"/>
      <c r="C650" s="2"/>
      <c r="D650" s="1"/>
      <c r="E650" s="45"/>
      <c r="F650" s="53"/>
      <c r="G650" s="11"/>
      <c r="H650" s="11"/>
      <c r="I650" s="11"/>
      <c r="J650" s="11"/>
      <c r="K650" s="91"/>
      <c r="L650" s="91"/>
      <c r="M650" s="13"/>
      <c r="N650" s="13"/>
      <c r="O650" s="13"/>
      <c r="P650" s="13"/>
      <c r="Q650" s="13"/>
      <c r="R650" s="119"/>
    </row>
    <row r="651" spans="1:18" ht="21" x14ac:dyDescent="0.5">
      <c r="A651" s="130">
        <v>138</v>
      </c>
      <c r="B651" s="7" t="s">
        <v>275</v>
      </c>
      <c r="C651" s="7" t="s">
        <v>276</v>
      </c>
      <c r="D651" s="8" t="s">
        <v>14</v>
      </c>
      <c r="E651" s="43"/>
      <c r="F651" s="51"/>
      <c r="G651" s="9"/>
      <c r="H651" s="129">
        <f>VLOOKUP($A651,'Model Inputs'!$A:$D,4)</f>
        <v>1</v>
      </c>
      <c r="I651" s="9">
        <f>J651/H651</f>
        <v>2400</v>
      </c>
      <c r="J651" s="9">
        <f>SUBTOTAL(9,J652)</f>
        <v>2400</v>
      </c>
      <c r="K651" s="89"/>
      <c r="L651" s="89">
        <f>ROUNDUP(L652,0)</f>
        <v>1</v>
      </c>
      <c r="M651" s="9">
        <f>SUBTOTAL(9,M652)</f>
        <v>0</v>
      </c>
      <c r="N651" s="9">
        <f>SUBTOTAL(9,N652)</f>
        <v>0</v>
      </c>
      <c r="O651" s="9">
        <f>SUBTOTAL(9,O652)</f>
        <v>0</v>
      </c>
      <c r="P651" s="9">
        <f>SUBTOTAL(9,P652)</f>
        <v>2400</v>
      </c>
      <c r="Q651" s="10">
        <f>SUM(M651:P651)</f>
        <v>2400</v>
      </c>
      <c r="R651" s="117"/>
    </row>
    <row r="652" spans="1:18" outlineLevel="1" x14ac:dyDescent="0.5">
      <c r="A652" s="131" t="s">
        <v>448</v>
      </c>
      <c r="B652" s="14">
        <v>1</v>
      </c>
      <c r="C652" s="15" t="s">
        <v>268</v>
      </c>
      <c r="D652" s="44" t="str">
        <f>VLOOKUP(Estimate!$C652,Resources!$B$3:$G$336,4,FALSE)</f>
        <v xml:space="preserve">LS   </v>
      </c>
      <c r="E652" s="44" t="str">
        <f>VLOOKUP(Estimate!$C652,Resources!$B$3:$G$336,3,FALSE)</f>
        <v>S</v>
      </c>
      <c r="F652" s="52">
        <v>2400</v>
      </c>
      <c r="G652" s="12">
        <v>1</v>
      </c>
      <c r="H652" s="12">
        <v>1</v>
      </c>
      <c r="I652" s="12">
        <f>VLOOKUP(C652,Resources!$B$3:$G$336,6,FALSE)</f>
        <v>1</v>
      </c>
      <c r="J652" s="12">
        <f>F652*H652*I652</f>
        <v>2400</v>
      </c>
      <c r="K652" s="90"/>
      <c r="L652" s="90">
        <f>IF(E652="M"," ",H652/G652)</f>
        <v>1</v>
      </c>
      <c r="M652" s="16">
        <f>IF($E652="L",$J652,0)</f>
        <v>0</v>
      </c>
      <c r="N652" s="16">
        <f>IF($E652="M",$J652,0)</f>
        <v>0</v>
      </c>
      <c r="O652" s="16">
        <f>IF($E652="P",$J652,0)</f>
        <v>0</v>
      </c>
      <c r="P652" s="16">
        <f>IF($E652="S",$J652,0)</f>
        <v>2400</v>
      </c>
      <c r="Q652" s="16">
        <f>SUM(M652:P652)</f>
        <v>2400</v>
      </c>
      <c r="R652" s="118">
        <v>95</v>
      </c>
    </row>
    <row r="653" spans="1:18" outlineLevel="1" x14ac:dyDescent="0.5">
      <c r="A653" s="132" t="s">
        <v>448</v>
      </c>
      <c r="B653" s="1"/>
      <c r="C653" s="2"/>
      <c r="D653" s="1"/>
      <c r="E653" s="45"/>
      <c r="F653" s="53"/>
      <c r="G653" s="11"/>
      <c r="H653" s="11"/>
      <c r="I653" s="11"/>
      <c r="J653" s="11"/>
      <c r="K653" s="91"/>
      <c r="L653" s="91"/>
      <c r="M653" s="13"/>
      <c r="N653" s="13"/>
      <c r="O653" s="13"/>
      <c r="P653" s="13"/>
      <c r="Q653" s="13"/>
      <c r="R653" s="119"/>
    </row>
    <row r="654" spans="1:18" ht="21" x14ac:dyDescent="0.5">
      <c r="A654" s="130">
        <v>139</v>
      </c>
      <c r="B654" s="7" t="s">
        <v>277</v>
      </c>
      <c r="C654" s="7" t="s">
        <v>278</v>
      </c>
      <c r="D654" s="8" t="s">
        <v>144</v>
      </c>
      <c r="E654" s="43"/>
      <c r="F654" s="51"/>
      <c r="G654" s="9"/>
      <c r="H654" s="129">
        <f>VLOOKUP($A654,'Model Inputs'!$A:$D,4)</f>
        <v>1</v>
      </c>
      <c r="I654" s="9">
        <f>J654/H654</f>
        <v>1800</v>
      </c>
      <c r="J654" s="9">
        <f>SUBTOTAL(9,J655)</f>
        <v>1800</v>
      </c>
      <c r="K654" s="89"/>
      <c r="L654" s="89">
        <f>ROUNDUP(L655,0)</f>
        <v>1</v>
      </c>
      <c r="M654" s="9">
        <f>SUBTOTAL(9,M655)</f>
        <v>0</v>
      </c>
      <c r="N654" s="9">
        <f>SUBTOTAL(9,N655)</f>
        <v>0</v>
      </c>
      <c r="O654" s="9">
        <f>SUBTOTAL(9,O655)</f>
        <v>0</v>
      </c>
      <c r="P654" s="9">
        <f>SUBTOTAL(9,P655)</f>
        <v>1800</v>
      </c>
      <c r="Q654" s="10">
        <f>SUM(M654:P654)</f>
        <v>1800</v>
      </c>
      <c r="R654" s="117"/>
    </row>
    <row r="655" spans="1:18" outlineLevel="1" x14ac:dyDescent="0.5">
      <c r="A655" s="131" t="s">
        <v>448</v>
      </c>
      <c r="B655" s="14">
        <v>1</v>
      </c>
      <c r="C655" s="15" t="s">
        <v>268</v>
      </c>
      <c r="D655" s="44" t="str">
        <f>VLOOKUP(Estimate!$C655,Resources!$B$3:$G$336,4,FALSE)</f>
        <v xml:space="preserve">LS   </v>
      </c>
      <c r="E655" s="44" t="str">
        <f>VLOOKUP(Estimate!$C655,Resources!$B$3:$G$336,3,FALSE)</f>
        <v>S</v>
      </c>
      <c r="F655" s="52">
        <v>1800</v>
      </c>
      <c r="G655" s="12">
        <v>1</v>
      </c>
      <c r="H655" s="12">
        <v>1</v>
      </c>
      <c r="I655" s="12">
        <f>VLOOKUP(C655,Resources!$B$3:$G$336,6,FALSE)</f>
        <v>1</v>
      </c>
      <c r="J655" s="12">
        <f>F655*H655*I655</f>
        <v>1800</v>
      </c>
      <c r="K655" s="90"/>
      <c r="L655" s="90">
        <f>IF(E655="M"," ",H655/G655)</f>
        <v>1</v>
      </c>
      <c r="M655" s="16">
        <f>IF($E655="L",$J655,0)</f>
        <v>0</v>
      </c>
      <c r="N655" s="16">
        <f>IF($E655="M",$J655,0)</f>
        <v>0</v>
      </c>
      <c r="O655" s="16">
        <f>IF($E655="P",$J655,0)</f>
        <v>0</v>
      </c>
      <c r="P655" s="16">
        <f>IF($E655="S",$J655,0)</f>
        <v>1800</v>
      </c>
      <c r="Q655" s="16">
        <f>SUM(M655:P655)</f>
        <v>1800</v>
      </c>
      <c r="R655" s="118">
        <v>95</v>
      </c>
    </row>
    <row r="656" spans="1:18" outlineLevel="1" x14ac:dyDescent="0.5">
      <c r="A656" s="132" t="s">
        <v>448</v>
      </c>
      <c r="B656" s="1"/>
      <c r="C656" s="2"/>
      <c r="D656" s="1"/>
      <c r="E656" s="45"/>
      <c r="F656" s="53"/>
      <c r="G656" s="11"/>
      <c r="H656" s="11"/>
      <c r="I656" s="11"/>
      <c r="J656" s="11"/>
      <c r="K656" s="91"/>
      <c r="L656" s="91"/>
      <c r="M656" s="13"/>
      <c r="N656" s="13"/>
      <c r="O656" s="13"/>
      <c r="P656" s="13"/>
      <c r="Q656" s="13"/>
      <c r="R656" s="119"/>
    </row>
    <row r="657" spans="1:18" ht="21" x14ac:dyDescent="0.5">
      <c r="A657" s="130">
        <v>140</v>
      </c>
      <c r="B657" s="7" t="s">
        <v>279</v>
      </c>
      <c r="C657" s="7" t="s">
        <v>280</v>
      </c>
      <c r="D657" s="8" t="s">
        <v>14</v>
      </c>
      <c r="E657" s="43"/>
      <c r="F657" s="51"/>
      <c r="G657" s="9"/>
      <c r="H657" s="129">
        <f>VLOOKUP($A657,'Model Inputs'!$A:$D,4)</f>
        <v>1</v>
      </c>
      <c r="I657" s="9">
        <f>J657/H657</f>
        <v>3600</v>
      </c>
      <c r="J657" s="9">
        <f>SUBTOTAL(9,J658)</f>
        <v>3600</v>
      </c>
      <c r="K657" s="89"/>
      <c r="L657" s="89">
        <f>ROUNDUP(L658/workhrs,0)</f>
        <v>7</v>
      </c>
      <c r="M657" s="9">
        <f>SUBTOTAL(9,M658)</f>
        <v>0</v>
      </c>
      <c r="N657" s="9">
        <f>SUBTOTAL(9,N658)</f>
        <v>0</v>
      </c>
      <c r="O657" s="9">
        <f>SUBTOTAL(9,O658)</f>
        <v>0</v>
      </c>
      <c r="P657" s="9">
        <f>SUBTOTAL(9,P658)</f>
        <v>3600</v>
      </c>
      <c r="Q657" s="10">
        <f>SUM(M657:P657)</f>
        <v>3600</v>
      </c>
      <c r="R657" s="117"/>
    </row>
    <row r="658" spans="1:18" outlineLevel="1" x14ac:dyDescent="0.5">
      <c r="A658" s="131" t="s">
        <v>448</v>
      </c>
      <c r="B658" s="14">
        <v>1</v>
      </c>
      <c r="C658" s="15" t="s">
        <v>227</v>
      </c>
      <c r="D658" s="44" t="str">
        <f>VLOOKUP(Estimate!$C658,Resources!$B$3:$G$336,4,FALSE)</f>
        <v xml:space="preserve">Item </v>
      </c>
      <c r="E658" s="44" t="str">
        <f>VLOOKUP(Estimate!$C658,Resources!$B$3:$G$336,3,FALSE)</f>
        <v>S</v>
      </c>
      <c r="F658" s="52">
        <v>1</v>
      </c>
      <c r="G658" s="12">
        <v>1</v>
      </c>
      <c r="H658" s="12">
        <v>60</v>
      </c>
      <c r="I658" s="12">
        <f>VLOOKUP(C658,Resources!$B$3:$G$336,6,FALSE)</f>
        <v>60</v>
      </c>
      <c r="J658" s="12">
        <f>(H658/(G658/F658))*I658</f>
        <v>3600</v>
      </c>
      <c r="K658" s="90"/>
      <c r="L658" s="90">
        <f>IF(E658="M"," ",H658/G658)</f>
        <v>60</v>
      </c>
      <c r="M658" s="16">
        <f>IF($E658="L",$J658,0)</f>
        <v>0</v>
      </c>
      <c r="N658" s="16">
        <f>IF($E658="M",$J658,0)</f>
        <v>0</v>
      </c>
      <c r="O658" s="16">
        <f>IF($E658="P",$J658,0)</f>
        <v>0</v>
      </c>
      <c r="P658" s="16">
        <f>IF($E658="S",$J658,0)</f>
        <v>3600</v>
      </c>
      <c r="Q658" s="16">
        <f>SUM(M658:P658)</f>
        <v>3600</v>
      </c>
      <c r="R658" s="118">
        <v>113</v>
      </c>
    </row>
    <row r="659" spans="1:18" outlineLevel="1" x14ac:dyDescent="0.5">
      <c r="A659" s="132" t="s">
        <v>448</v>
      </c>
      <c r="B659" s="1"/>
      <c r="C659" s="2"/>
      <c r="D659" s="1"/>
      <c r="E659" s="45"/>
      <c r="F659" s="53"/>
      <c r="G659" s="11"/>
      <c r="H659" s="11"/>
      <c r="I659" s="11"/>
      <c r="J659" s="11"/>
      <c r="K659" s="91"/>
      <c r="L659" s="91"/>
      <c r="M659" s="13"/>
      <c r="N659" s="13"/>
      <c r="O659" s="13"/>
      <c r="P659" s="13"/>
      <c r="Q659" s="13"/>
      <c r="R659" s="119"/>
    </row>
    <row r="660" spans="1:18" ht="21" x14ac:dyDescent="0.5">
      <c r="A660" s="130">
        <v>141</v>
      </c>
      <c r="B660" s="7" t="s">
        <v>281</v>
      </c>
      <c r="C660" s="7" t="s">
        <v>282</v>
      </c>
      <c r="D660" s="8" t="s">
        <v>14</v>
      </c>
      <c r="E660" s="43"/>
      <c r="F660" s="51"/>
      <c r="G660" s="9"/>
      <c r="H660" s="129">
        <f>VLOOKUP($A660,'Model Inputs'!$A:$D,4)</f>
        <v>1</v>
      </c>
      <c r="I660" s="9">
        <f>J660/H660</f>
        <v>2000</v>
      </c>
      <c r="J660" s="9">
        <f>SUBTOTAL(9,J661)</f>
        <v>2000</v>
      </c>
      <c r="K660" s="89"/>
      <c r="L660" s="89">
        <f>ROUNDUP(L661,0)</f>
        <v>1</v>
      </c>
      <c r="M660" s="9">
        <f>SUBTOTAL(9,M661)</f>
        <v>0</v>
      </c>
      <c r="N660" s="9">
        <f>SUBTOTAL(9,N661)</f>
        <v>0</v>
      </c>
      <c r="O660" s="9">
        <f>SUBTOTAL(9,O661)</f>
        <v>0</v>
      </c>
      <c r="P660" s="9">
        <f>SUBTOTAL(9,P661)</f>
        <v>2000</v>
      </c>
      <c r="Q660" s="10">
        <f>SUM(M660:P660)</f>
        <v>2000</v>
      </c>
      <c r="R660" s="117"/>
    </row>
    <row r="661" spans="1:18" outlineLevel="1" x14ac:dyDescent="0.5">
      <c r="A661" s="131" t="s">
        <v>448</v>
      </c>
      <c r="B661" s="14">
        <v>1</v>
      </c>
      <c r="C661" s="15" t="s">
        <v>268</v>
      </c>
      <c r="D661" s="44" t="str">
        <f>VLOOKUP(Estimate!$C661,Resources!$B$3:$G$336,4,FALSE)</f>
        <v xml:space="preserve">LS   </v>
      </c>
      <c r="E661" s="44" t="str">
        <f>VLOOKUP(Estimate!$C661,Resources!$B$3:$G$336,3,FALSE)</f>
        <v>S</v>
      </c>
      <c r="F661" s="52">
        <v>2000</v>
      </c>
      <c r="G661" s="12">
        <v>1</v>
      </c>
      <c r="H661" s="12">
        <v>1</v>
      </c>
      <c r="I661" s="12">
        <f>VLOOKUP(C661,Resources!$B$3:$G$336,6,FALSE)</f>
        <v>1</v>
      </c>
      <c r="J661" s="12">
        <f>F661*H661*I661</f>
        <v>2000</v>
      </c>
      <c r="K661" s="90"/>
      <c r="L661" s="90">
        <f>IF(E661="M"," ",H661/G661)</f>
        <v>1</v>
      </c>
      <c r="M661" s="16">
        <f>IF($E661="L",$J661,0)</f>
        <v>0</v>
      </c>
      <c r="N661" s="16">
        <f>IF($E661="M",$J661,0)</f>
        <v>0</v>
      </c>
      <c r="O661" s="16">
        <f>IF($E661="P",$J661,0)</f>
        <v>0</v>
      </c>
      <c r="P661" s="16">
        <f>IF($E661="S",$J661,0)</f>
        <v>2000</v>
      </c>
      <c r="Q661" s="16">
        <f>SUM(M661:P661)</f>
        <v>2000</v>
      </c>
      <c r="R661" s="118">
        <v>95</v>
      </c>
    </row>
    <row r="662" spans="1:18" outlineLevel="1" x14ac:dyDescent="0.5">
      <c r="A662" s="132" t="s">
        <v>448</v>
      </c>
      <c r="B662" s="1"/>
      <c r="C662" s="2"/>
      <c r="D662" s="1"/>
      <c r="E662" s="45"/>
      <c r="F662" s="53"/>
      <c r="G662" s="11"/>
      <c r="H662" s="11"/>
      <c r="I662" s="11"/>
      <c r="J662" s="11"/>
      <c r="K662" s="91"/>
      <c r="L662" s="91"/>
      <c r="M662" s="13"/>
      <c r="N662" s="13"/>
      <c r="O662" s="13"/>
      <c r="P662" s="13"/>
      <c r="Q662" s="13"/>
      <c r="R662" s="119"/>
    </row>
    <row r="663" spans="1:18" x14ac:dyDescent="0.5">
      <c r="A663" s="132">
        <v>142</v>
      </c>
      <c r="B663" s="1"/>
      <c r="C663" s="5" t="s">
        <v>661</v>
      </c>
      <c r="D663" s="1"/>
      <c r="E663" s="45"/>
      <c r="F663" s="53"/>
      <c r="G663" s="11"/>
      <c r="H663" s="11"/>
      <c r="I663" s="11"/>
      <c r="J663" s="11"/>
      <c r="K663" s="91"/>
      <c r="L663" s="91"/>
      <c r="M663" s="13"/>
      <c r="N663" s="13"/>
      <c r="O663" s="13"/>
      <c r="P663" s="13"/>
      <c r="Q663" s="13"/>
      <c r="R663" s="119"/>
    </row>
    <row r="664" spans="1:18" ht="21" x14ac:dyDescent="0.5">
      <c r="A664" s="130">
        <v>143</v>
      </c>
      <c r="B664" s="7" t="s">
        <v>283</v>
      </c>
      <c r="C664" s="7" t="s">
        <v>284</v>
      </c>
      <c r="D664" s="8" t="s">
        <v>25</v>
      </c>
      <c r="E664" s="43"/>
      <c r="F664" s="51"/>
      <c r="G664" s="9"/>
      <c r="H664" s="129">
        <f>VLOOKUP($A664,'Model Inputs'!$A:$D,4)</f>
        <v>215</v>
      </c>
      <c r="I664" s="9">
        <f>J664/H664</f>
        <v>66.63441860465116</v>
      </c>
      <c r="J664" s="9">
        <f>SUBTOTAL(9,J665:J668)</f>
        <v>14326.4</v>
      </c>
      <c r="K664" s="89"/>
      <c r="L664" s="89">
        <v>2</v>
      </c>
      <c r="M664" s="9">
        <f>SUBTOTAL(9,M665:M668)</f>
        <v>0</v>
      </c>
      <c r="N664" s="9">
        <f>SUBTOTAL(9,N665:N668)</f>
        <v>1826.4</v>
      </c>
      <c r="O664" s="9">
        <f>SUBTOTAL(9,O665:O668)</f>
        <v>0</v>
      </c>
      <c r="P664" s="9">
        <f>SUBTOTAL(9,P665:P668)</f>
        <v>12500</v>
      </c>
      <c r="Q664" s="10">
        <f>SUM(M664:P664)</f>
        <v>14326.4</v>
      </c>
      <c r="R664" s="117"/>
    </row>
    <row r="665" spans="1:18" outlineLevel="1" x14ac:dyDescent="0.5">
      <c r="A665" s="131" t="s">
        <v>448</v>
      </c>
      <c r="B665" s="14">
        <v>1</v>
      </c>
      <c r="C665" s="15" t="s">
        <v>268</v>
      </c>
      <c r="D665" s="44" t="str">
        <f>VLOOKUP(Estimate!$C665,Resources!$B$3:$G$336,4,FALSE)</f>
        <v xml:space="preserve">LS   </v>
      </c>
      <c r="E665" s="44" t="str">
        <f>VLOOKUP(Estimate!$C665,Resources!$B$3:$G$336,3,FALSE)</f>
        <v>S</v>
      </c>
      <c r="F665" s="52">
        <v>12500</v>
      </c>
      <c r="G665" s="12">
        <v>1</v>
      </c>
      <c r="H665" s="12">
        <v>1</v>
      </c>
      <c r="I665" s="12">
        <f>VLOOKUP(C665,Resources!$B$3:$G$336,6,FALSE)</f>
        <v>1</v>
      </c>
      <c r="J665" s="12">
        <f>F665*H665</f>
        <v>12500</v>
      </c>
      <c r="K665" s="90"/>
      <c r="L665" s="90">
        <f>IF(E665="M"," ",H665/G665)</f>
        <v>1</v>
      </c>
      <c r="M665" s="16">
        <f>IF($E665="L",$J665,0)</f>
        <v>0</v>
      </c>
      <c r="N665" s="16">
        <f>IF($E665="M",$J665,0)</f>
        <v>0</v>
      </c>
      <c r="O665" s="16">
        <f>IF($E665="P",$J665,0)</f>
        <v>0</v>
      </c>
      <c r="P665" s="16">
        <f>IF($E665="S",$J665,0)</f>
        <v>12500</v>
      </c>
      <c r="Q665" s="16">
        <f>SUM(M665:P665)</f>
        <v>12500</v>
      </c>
      <c r="R665" s="118">
        <v>95</v>
      </c>
    </row>
    <row r="666" spans="1:18" outlineLevel="1" x14ac:dyDescent="0.5">
      <c r="A666" s="131" t="s">
        <v>448</v>
      </c>
      <c r="B666" s="14">
        <v>2</v>
      </c>
      <c r="C666" s="15" t="s">
        <v>285</v>
      </c>
      <c r="D666" s="44" t="str">
        <f>VLOOKUP(Estimate!$C666,Resources!$B$3:$G$336,4,FALSE)</f>
        <v xml:space="preserve">each </v>
      </c>
      <c r="E666" s="44" t="str">
        <f>VLOOKUP(Estimate!$C666,Resources!$B$3:$G$336,3,FALSE)</f>
        <v>M</v>
      </c>
      <c r="F666" s="52">
        <v>3</v>
      </c>
      <c r="G666" s="12">
        <v>1</v>
      </c>
      <c r="H666" s="12">
        <v>1</v>
      </c>
      <c r="I666" s="12">
        <f>VLOOKUP(C666,Resources!$B$3:$G$336,6,FALSE)</f>
        <v>150</v>
      </c>
      <c r="J666" s="12">
        <f>(H666/(G666/F666))*I666</f>
        <v>450</v>
      </c>
      <c r="K666" s="90"/>
      <c r="L666" s="90" t="str">
        <f>IF(E666="M"," ",H666/G666)</f>
        <v xml:space="preserve"> </v>
      </c>
      <c r="M666" s="16">
        <f>IF($E666="L",$J666,0)</f>
        <v>0</v>
      </c>
      <c r="N666" s="16">
        <f>IF($E666="M",$J666,0)</f>
        <v>450</v>
      </c>
      <c r="O666" s="16">
        <f>IF($E666="P",$J666,0)</f>
        <v>0</v>
      </c>
      <c r="P666" s="16">
        <f>IF($E666="S",$J666,0)</f>
        <v>0</v>
      </c>
      <c r="Q666" s="16">
        <f>SUM(M666:P666)</f>
        <v>450</v>
      </c>
      <c r="R666" s="118">
        <v>95</v>
      </c>
    </row>
    <row r="667" spans="1:18" outlineLevel="1" x14ac:dyDescent="0.5">
      <c r="A667" s="131" t="s">
        <v>448</v>
      </c>
      <c r="B667" s="14">
        <v>3</v>
      </c>
      <c r="C667" s="15" t="s">
        <v>286</v>
      </c>
      <c r="D667" s="44" t="str">
        <f>VLOOKUP(Estimate!$C667,Resources!$B$3:$G$336,4,FALSE)</f>
        <v xml:space="preserve">each </v>
      </c>
      <c r="E667" s="44" t="str">
        <f>VLOOKUP(Estimate!$C667,Resources!$B$3:$G$336,3,FALSE)</f>
        <v>M</v>
      </c>
      <c r="F667" s="52">
        <v>3</v>
      </c>
      <c r="G667" s="12">
        <v>1</v>
      </c>
      <c r="H667" s="12">
        <v>1</v>
      </c>
      <c r="I667" s="12">
        <f>VLOOKUP(C667,Resources!$B$3:$G$336,6,FALSE)</f>
        <v>318.8</v>
      </c>
      <c r="J667" s="12">
        <f>(H667/(G667/F667))*I667</f>
        <v>956.40000000000009</v>
      </c>
      <c r="K667" s="90"/>
      <c r="L667" s="90" t="str">
        <f>IF(E667="M"," ",H667/G667)</f>
        <v xml:space="preserve"> </v>
      </c>
      <c r="M667" s="16">
        <f>IF($E667="L",$J667,0)</f>
        <v>0</v>
      </c>
      <c r="N667" s="16">
        <f>IF($E667="M",$J667,0)</f>
        <v>956.40000000000009</v>
      </c>
      <c r="O667" s="16">
        <f>IF($E667="P",$J667,0)</f>
        <v>0</v>
      </c>
      <c r="P667" s="16">
        <f>IF($E667="S",$J667,0)</f>
        <v>0</v>
      </c>
      <c r="Q667" s="16">
        <f>SUM(M667:P667)</f>
        <v>956.40000000000009</v>
      </c>
      <c r="R667" s="118">
        <v>95</v>
      </c>
    </row>
    <row r="668" spans="1:18" outlineLevel="1" x14ac:dyDescent="0.5">
      <c r="A668" s="131" t="s">
        <v>448</v>
      </c>
      <c r="B668" s="14">
        <v>4</v>
      </c>
      <c r="C668" s="15" t="s">
        <v>287</v>
      </c>
      <c r="D668" s="44" t="str">
        <f>VLOOKUP(Estimate!$C668,Resources!$B$3:$G$336,4,FALSE)</f>
        <v xml:space="preserve">each </v>
      </c>
      <c r="E668" s="44" t="str">
        <f>VLOOKUP(Estimate!$C668,Resources!$B$3:$G$336,3,FALSE)</f>
        <v>M</v>
      </c>
      <c r="F668" s="52">
        <v>1</v>
      </c>
      <c r="G668" s="12">
        <v>1</v>
      </c>
      <c r="H668" s="12">
        <v>1</v>
      </c>
      <c r="I668" s="12">
        <f>VLOOKUP(C668,Resources!$B$3:$G$336,6,FALSE)</f>
        <v>420</v>
      </c>
      <c r="J668" s="12">
        <f>(H668/(G668/F668))*I668</f>
        <v>420</v>
      </c>
      <c r="K668" s="90"/>
      <c r="L668" s="90" t="str">
        <f>IF(E668="M"," ",H668/G668)</f>
        <v xml:space="preserve"> </v>
      </c>
      <c r="M668" s="16">
        <f>IF($E668="L",$J668,0)</f>
        <v>0</v>
      </c>
      <c r="N668" s="16">
        <f>IF($E668="M",$J668,0)</f>
        <v>420</v>
      </c>
      <c r="O668" s="16">
        <f>IF($E668="P",$J668,0)</f>
        <v>0</v>
      </c>
      <c r="P668" s="16">
        <f>IF($E668="S",$J668,0)</f>
        <v>0</v>
      </c>
      <c r="Q668" s="16">
        <f>SUM(M668:P668)</f>
        <v>420</v>
      </c>
      <c r="R668" s="118">
        <v>95</v>
      </c>
    </row>
    <row r="669" spans="1:18" outlineLevel="1" x14ac:dyDescent="0.5">
      <c r="A669" s="132" t="s">
        <v>448</v>
      </c>
      <c r="B669" s="1"/>
      <c r="C669" s="2"/>
      <c r="D669" s="1"/>
      <c r="E669" s="45"/>
      <c r="F669" s="53"/>
      <c r="G669" s="11"/>
      <c r="H669" s="11"/>
      <c r="I669" s="11"/>
      <c r="J669" s="11"/>
      <c r="K669" s="91"/>
      <c r="L669" s="91"/>
      <c r="M669" s="13"/>
      <c r="N669" s="13"/>
      <c r="O669" s="13"/>
      <c r="P669" s="13"/>
      <c r="Q669" s="13"/>
      <c r="R669" s="119"/>
    </row>
    <row r="670" spans="1:18" ht="21" x14ac:dyDescent="0.5">
      <c r="A670" s="130">
        <v>144</v>
      </c>
      <c r="B670" s="7" t="s">
        <v>288</v>
      </c>
      <c r="C670" s="7" t="s">
        <v>289</v>
      </c>
      <c r="D670" s="8" t="s">
        <v>14</v>
      </c>
      <c r="E670" s="43"/>
      <c r="F670" s="51"/>
      <c r="G670" s="9"/>
      <c r="H670" s="129">
        <f>VLOOKUP($A670,'Model Inputs'!$A:$D,4)</f>
        <v>1</v>
      </c>
      <c r="I670" s="9">
        <f>J670/H670</f>
        <v>1500</v>
      </c>
      <c r="J670" s="9">
        <f>SUBTOTAL(9,J671)</f>
        <v>1500</v>
      </c>
      <c r="K670" s="89"/>
      <c r="L670" s="89">
        <v>1</v>
      </c>
      <c r="M670" s="9">
        <f>SUBTOTAL(9,M671)</f>
        <v>0</v>
      </c>
      <c r="N670" s="9">
        <f>SUBTOTAL(9,N671)</f>
        <v>0</v>
      </c>
      <c r="O670" s="9">
        <f>SUBTOTAL(9,O671)</f>
        <v>0</v>
      </c>
      <c r="P670" s="9">
        <f>SUBTOTAL(9,P671)</f>
        <v>1500</v>
      </c>
      <c r="Q670" s="10">
        <f>SUM(M670:P670)</f>
        <v>1500</v>
      </c>
      <c r="R670" s="117"/>
    </row>
    <row r="671" spans="1:18" outlineLevel="1" x14ac:dyDescent="0.5">
      <c r="A671" s="131" t="s">
        <v>448</v>
      </c>
      <c r="B671" s="14">
        <v>1</v>
      </c>
      <c r="C671" s="15" t="s">
        <v>268</v>
      </c>
      <c r="D671" s="44" t="str">
        <f>VLOOKUP(Estimate!$C671,Resources!$B$3:$G$336,4,FALSE)</f>
        <v xml:space="preserve">LS   </v>
      </c>
      <c r="E671" s="44" t="str">
        <f>VLOOKUP(Estimate!$C671,Resources!$B$3:$G$336,3,FALSE)</f>
        <v>S</v>
      </c>
      <c r="F671" s="52">
        <v>1500</v>
      </c>
      <c r="G671" s="12">
        <v>1</v>
      </c>
      <c r="H671" s="12">
        <v>1</v>
      </c>
      <c r="I671" s="12">
        <f>VLOOKUP(C671,Resources!$B$3:$G$336,6,FALSE)</f>
        <v>1</v>
      </c>
      <c r="J671" s="12">
        <f>F671*H671*I671</f>
        <v>1500</v>
      </c>
      <c r="K671" s="90"/>
      <c r="L671" s="90">
        <f>IF(E671="M"," ",H671/G671)</f>
        <v>1</v>
      </c>
      <c r="M671" s="16">
        <f>IF($E671="L",$J671,0)</f>
        <v>0</v>
      </c>
      <c r="N671" s="16">
        <f>IF($E671="M",$J671,0)</f>
        <v>0</v>
      </c>
      <c r="O671" s="16">
        <f>IF($E671="P",$J671,0)</f>
        <v>0</v>
      </c>
      <c r="P671" s="16">
        <f>IF($E671="S",$J671,0)</f>
        <v>1500</v>
      </c>
      <c r="Q671" s="16">
        <f>SUM(M671:P671)</f>
        <v>1500</v>
      </c>
      <c r="R671" s="118">
        <v>95</v>
      </c>
    </row>
    <row r="672" spans="1:18" outlineLevel="1" x14ac:dyDescent="0.5">
      <c r="A672" s="132" t="s">
        <v>448</v>
      </c>
      <c r="B672" s="1"/>
      <c r="C672" s="2"/>
      <c r="D672" s="1"/>
      <c r="E672" s="45"/>
      <c r="F672" s="53"/>
      <c r="G672" s="11"/>
      <c r="H672" s="11"/>
      <c r="I672" s="11"/>
      <c r="J672" s="11"/>
      <c r="K672" s="91"/>
      <c r="L672" s="91"/>
      <c r="M672" s="13"/>
      <c r="N672" s="13"/>
      <c r="O672" s="13"/>
      <c r="P672" s="13"/>
      <c r="Q672" s="13"/>
      <c r="R672" s="119"/>
    </row>
    <row r="673" spans="1:18" x14ac:dyDescent="0.5">
      <c r="A673" s="132">
        <v>145</v>
      </c>
      <c r="B673" s="1"/>
      <c r="C673" s="5" t="s">
        <v>662</v>
      </c>
      <c r="D673" s="1"/>
      <c r="E673" s="45"/>
      <c r="F673" s="53"/>
      <c r="G673" s="11"/>
      <c r="H673" s="11"/>
      <c r="I673" s="11"/>
      <c r="J673" s="11"/>
      <c r="K673" s="91"/>
      <c r="L673" s="91"/>
      <c r="M673" s="13"/>
      <c r="N673" s="13"/>
      <c r="O673" s="13"/>
      <c r="P673" s="13"/>
      <c r="Q673" s="13"/>
      <c r="R673" s="119"/>
    </row>
    <row r="674" spans="1:18" ht="21" x14ac:dyDescent="0.5">
      <c r="A674" s="130">
        <v>146</v>
      </c>
      <c r="B674" s="7" t="s">
        <v>290</v>
      </c>
      <c r="C674" s="7" t="s">
        <v>291</v>
      </c>
      <c r="D674" s="8" t="s">
        <v>25</v>
      </c>
      <c r="E674" s="43"/>
      <c r="F674" s="51"/>
      <c r="G674" s="9"/>
      <c r="H674" s="129">
        <f>VLOOKUP($A674,'Model Inputs'!$A:$D,4)</f>
        <v>210</v>
      </c>
      <c r="I674" s="9">
        <f>J674/H674</f>
        <v>66.631404190476189</v>
      </c>
      <c r="J674" s="9">
        <f>SUBTOTAL(9,J675:J678)</f>
        <v>13992.594879999999</v>
      </c>
      <c r="K674" s="89"/>
      <c r="L674" s="89">
        <v>1</v>
      </c>
      <c r="M674" s="9">
        <f>SUBTOTAL(9,M675:M678)</f>
        <v>0</v>
      </c>
      <c r="N674" s="9">
        <f>SUBTOTAL(9,N675:N678)</f>
        <v>1783.8448800000001</v>
      </c>
      <c r="O674" s="9">
        <f>SUBTOTAL(9,O675:O678)</f>
        <v>0</v>
      </c>
      <c r="P674" s="9">
        <f>SUBTOTAL(9,P675:P678)</f>
        <v>12208.75</v>
      </c>
      <c r="Q674" s="10">
        <f>SUM(M674:P674)</f>
        <v>13992.594880000001</v>
      </c>
      <c r="R674" s="117"/>
    </row>
    <row r="675" spans="1:18" outlineLevel="1" x14ac:dyDescent="0.5">
      <c r="A675" s="131" t="s">
        <v>448</v>
      </c>
      <c r="B675" s="14">
        <v>1</v>
      </c>
      <c r="C675" s="15" t="s">
        <v>268</v>
      </c>
      <c r="D675" s="44" t="str">
        <f>VLOOKUP(Estimate!$C675,Resources!$B$3:$G$336,4,FALSE)</f>
        <v xml:space="preserve">LS   </v>
      </c>
      <c r="E675" s="44" t="str">
        <f>VLOOKUP(Estimate!$C675,Resources!$B$3:$G$336,3,FALSE)</f>
        <v>S</v>
      </c>
      <c r="F675" s="52">
        <v>12500</v>
      </c>
      <c r="G675" s="12">
        <v>1</v>
      </c>
      <c r="H675" s="12">
        <v>0.97670000000000001</v>
      </c>
      <c r="I675" s="12">
        <f>VLOOKUP(C675,Resources!$B$3:$G$336,6,FALSE)</f>
        <v>1</v>
      </c>
      <c r="J675" s="12">
        <f>(H675/(G675/F675))*I675</f>
        <v>12208.75</v>
      </c>
      <c r="K675" s="90"/>
      <c r="L675" s="90">
        <f>IF(E675="M"," ",H675/G675)</f>
        <v>0.97670000000000001</v>
      </c>
      <c r="M675" s="16">
        <f>IF($E675="L",$J675,0)</f>
        <v>0</v>
      </c>
      <c r="N675" s="16">
        <f>IF($E675="M",$J675,0)</f>
        <v>0</v>
      </c>
      <c r="O675" s="16">
        <f>IF($E675="P",$J675,0)</f>
        <v>0</v>
      </c>
      <c r="P675" s="16">
        <f>IF($E675="S",$J675,0)</f>
        <v>12208.75</v>
      </c>
      <c r="Q675" s="16">
        <f>SUM(M675:P675)</f>
        <v>12208.75</v>
      </c>
      <c r="R675" s="118">
        <v>103</v>
      </c>
    </row>
    <row r="676" spans="1:18" outlineLevel="1" x14ac:dyDescent="0.5">
      <c r="A676" s="131" t="s">
        <v>448</v>
      </c>
      <c r="B676" s="14">
        <v>2</v>
      </c>
      <c r="C676" s="15" t="s">
        <v>285</v>
      </c>
      <c r="D676" s="44" t="str">
        <f>VLOOKUP(Estimate!$C676,Resources!$B$3:$G$336,4,FALSE)</f>
        <v xml:space="preserve">each </v>
      </c>
      <c r="E676" s="44" t="str">
        <f>VLOOKUP(Estimate!$C676,Resources!$B$3:$G$336,3,FALSE)</f>
        <v>M</v>
      </c>
      <c r="F676" s="52">
        <v>3</v>
      </c>
      <c r="G676" s="12">
        <v>1</v>
      </c>
      <c r="H676" s="12">
        <v>0.97670000000000001</v>
      </c>
      <c r="I676" s="12">
        <f>VLOOKUP(C676,Resources!$B$3:$G$336,6,FALSE)</f>
        <v>150</v>
      </c>
      <c r="J676" s="12">
        <f>(H676/(G676/F676))*I676</f>
        <v>439.51500000000004</v>
      </c>
      <c r="K676" s="90"/>
      <c r="L676" s="90" t="str">
        <f>IF(E676="M"," ",H676/G676)</f>
        <v xml:space="preserve"> </v>
      </c>
      <c r="M676" s="16">
        <f>IF($E676="L",$J676,0)</f>
        <v>0</v>
      </c>
      <c r="N676" s="16">
        <f>IF($E676="M",$J676,0)</f>
        <v>439.51500000000004</v>
      </c>
      <c r="O676" s="16">
        <f>IF($E676="P",$J676,0)</f>
        <v>0</v>
      </c>
      <c r="P676" s="16">
        <f>IF($E676="S",$J676,0)</f>
        <v>0</v>
      </c>
      <c r="Q676" s="16">
        <f>SUM(M676:P676)</f>
        <v>439.51500000000004</v>
      </c>
      <c r="R676" s="118">
        <v>103</v>
      </c>
    </row>
    <row r="677" spans="1:18" outlineLevel="1" x14ac:dyDescent="0.5">
      <c r="A677" s="131" t="s">
        <v>448</v>
      </c>
      <c r="B677" s="14">
        <v>3</v>
      </c>
      <c r="C677" s="15" t="s">
        <v>286</v>
      </c>
      <c r="D677" s="44" t="str">
        <f>VLOOKUP(Estimate!$C677,Resources!$B$3:$G$336,4,FALSE)</f>
        <v xml:space="preserve">each </v>
      </c>
      <c r="E677" s="44" t="str">
        <f>VLOOKUP(Estimate!$C677,Resources!$B$3:$G$336,3,FALSE)</f>
        <v>M</v>
      </c>
      <c r="F677" s="52">
        <v>3</v>
      </c>
      <c r="G677" s="12">
        <v>1</v>
      </c>
      <c r="H677" s="12">
        <v>0.97670000000000001</v>
      </c>
      <c r="I677" s="12">
        <f>VLOOKUP(C677,Resources!$B$3:$G$336,6,FALSE)</f>
        <v>318.8</v>
      </c>
      <c r="J677" s="12">
        <f>(H677/(G677/F677))*I677</f>
        <v>934.11588000000017</v>
      </c>
      <c r="K677" s="90"/>
      <c r="L677" s="90" t="str">
        <f>IF(E677="M"," ",H677/G677)</f>
        <v xml:space="preserve"> </v>
      </c>
      <c r="M677" s="16">
        <f>IF($E677="L",$J677,0)</f>
        <v>0</v>
      </c>
      <c r="N677" s="16">
        <f>IF($E677="M",$J677,0)</f>
        <v>934.11588000000017</v>
      </c>
      <c r="O677" s="16">
        <f>IF($E677="P",$J677,0)</f>
        <v>0</v>
      </c>
      <c r="P677" s="16">
        <f>IF($E677="S",$J677,0)</f>
        <v>0</v>
      </c>
      <c r="Q677" s="16">
        <f>SUM(M677:P677)</f>
        <v>934.11588000000017</v>
      </c>
      <c r="R677" s="118">
        <v>103</v>
      </c>
    </row>
    <row r="678" spans="1:18" outlineLevel="1" x14ac:dyDescent="0.5">
      <c r="A678" s="131" t="s">
        <v>448</v>
      </c>
      <c r="B678" s="14">
        <v>4</v>
      </c>
      <c r="C678" s="15" t="s">
        <v>287</v>
      </c>
      <c r="D678" s="44" t="str">
        <f>VLOOKUP(Estimate!$C678,Resources!$B$3:$G$336,4,FALSE)</f>
        <v xml:space="preserve">each </v>
      </c>
      <c r="E678" s="44" t="str">
        <f>VLOOKUP(Estimate!$C678,Resources!$B$3:$G$336,3,FALSE)</f>
        <v>M</v>
      </c>
      <c r="F678" s="52">
        <v>1</v>
      </c>
      <c r="G678" s="12">
        <v>1</v>
      </c>
      <c r="H678" s="12">
        <v>0.97670000000000001</v>
      </c>
      <c r="I678" s="12">
        <f>VLOOKUP(C678,Resources!$B$3:$G$336,6,FALSE)</f>
        <v>420</v>
      </c>
      <c r="J678" s="12">
        <f>(H678/(G678/F678))*I678</f>
        <v>410.214</v>
      </c>
      <c r="K678" s="90"/>
      <c r="L678" s="90" t="str">
        <f>IF(E678="M"," ",H678/G678)</f>
        <v xml:space="preserve"> </v>
      </c>
      <c r="M678" s="16">
        <f>IF($E678="L",$J678,0)</f>
        <v>0</v>
      </c>
      <c r="N678" s="16">
        <f>IF($E678="M",$J678,0)</f>
        <v>410.214</v>
      </c>
      <c r="O678" s="16">
        <f>IF($E678="P",$J678,0)</f>
        <v>0</v>
      </c>
      <c r="P678" s="16">
        <f>IF($E678="S",$J678,0)</f>
        <v>0</v>
      </c>
      <c r="Q678" s="16">
        <f>SUM(M678:P678)</f>
        <v>410.214</v>
      </c>
      <c r="R678" s="118">
        <v>103</v>
      </c>
    </row>
    <row r="679" spans="1:18" outlineLevel="1" x14ac:dyDescent="0.5">
      <c r="A679" s="132" t="s">
        <v>448</v>
      </c>
      <c r="B679" s="1"/>
      <c r="C679" s="2"/>
      <c r="D679" s="1"/>
      <c r="E679" s="45"/>
      <c r="F679" s="53"/>
      <c r="G679" s="11"/>
      <c r="H679" s="11"/>
      <c r="I679" s="11"/>
      <c r="J679" s="11"/>
      <c r="K679" s="91"/>
      <c r="L679" s="91"/>
      <c r="M679" s="13"/>
      <c r="N679" s="13"/>
      <c r="O679" s="13"/>
      <c r="P679" s="13"/>
      <c r="Q679" s="13"/>
      <c r="R679" s="119"/>
    </row>
    <row r="680" spans="1:18" ht="21" x14ac:dyDescent="0.5">
      <c r="A680" s="130">
        <v>147</v>
      </c>
      <c r="B680" s="7" t="s">
        <v>292</v>
      </c>
      <c r="C680" s="7" t="s">
        <v>293</v>
      </c>
      <c r="D680" s="8" t="s">
        <v>144</v>
      </c>
      <c r="E680" s="43"/>
      <c r="F680" s="51"/>
      <c r="G680" s="9"/>
      <c r="H680" s="129">
        <f>VLOOKUP($A680,'Model Inputs'!$A:$D,4)</f>
        <v>1</v>
      </c>
      <c r="I680" s="9">
        <f>J680/H680</f>
        <v>2074.4</v>
      </c>
      <c r="J680" s="9">
        <f>SUBTOTAL(9,J681:J684)</f>
        <v>2074.4</v>
      </c>
      <c r="K680" s="89"/>
      <c r="L680" s="89">
        <v>1</v>
      </c>
      <c r="M680" s="9">
        <f>SUBTOTAL(9,M681:M684)</f>
        <v>0</v>
      </c>
      <c r="N680" s="9">
        <f>SUBTOTAL(9,N681:N684)</f>
        <v>1074.8</v>
      </c>
      <c r="O680" s="9">
        <f>SUBTOTAL(9,O681:O684)</f>
        <v>0</v>
      </c>
      <c r="P680" s="9">
        <f>SUBTOTAL(9,P681:P684)</f>
        <v>999.6</v>
      </c>
      <c r="Q680" s="10">
        <f>SUM(M680:P680)</f>
        <v>2074.4</v>
      </c>
      <c r="R680" s="117"/>
    </row>
    <row r="681" spans="1:18" outlineLevel="1" x14ac:dyDescent="0.5">
      <c r="A681" s="131" t="s">
        <v>448</v>
      </c>
      <c r="B681" s="14">
        <v>1</v>
      </c>
      <c r="C681" s="15" t="s">
        <v>287</v>
      </c>
      <c r="D681" s="44" t="str">
        <f>VLOOKUP(Estimate!$C681,Resources!$B$3:$G$336,4,FALSE)</f>
        <v xml:space="preserve">each </v>
      </c>
      <c r="E681" s="44" t="str">
        <f>VLOOKUP(Estimate!$C681,Resources!$B$3:$G$336,3,FALSE)</f>
        <v>M</v>
      </c>
      <c r="F681" s="52">
        <v>1</v>
      </c>
      <c r="G681" s="12">
        <v>1</v>
      </c>
      <c r="H681" s="12">
        <v>1</v>
      </c>
      <c r="I681" s="12">
        <f>VLOOKUP(C681,Resources!$B$3:$G$336,6,FALSE)</f>
        <v>420</v>
      </c>
      <c r="J681" s="12">
        <f>(H681/(G681/F681))*I681</f>
        <v>420</v>
      </c>
      <c r="K681" s="90"/>
      <c r="L681" s="90" t="str">
        <f>IF(E681="M"," ",H681/G681)</f>
        <v xml:space="preserve"> </v>
      </c>
      <c r="M681" s="16">
        <f>IF($E681="L",$J681,0)</f>
        <v>0</v>
      </c>
      <c r="N681" s="16">
        <f>IF($E681="M",$J681,0)</f>
        <v>420</v>
      </c>
      <c r="O681" s="16">
        <f>IF($E681="P",$J681,0)</f>
        <v>0</v>
      </c>
      <c r="P681" s="16">
        <f>IF($E681="S",$J681,0)</f>
        <v>0</v>
      </c>
      <c r="Q681" s="16">
        <f>SUM(M681:P681)</f>
        <v>420</v>
      </c>
      <c r="R681" s="118">
        <v>103</v>
      </c>
    </row>
    <row r="682" spans="1:18" outlineLevel="1" x14ac:dyDescent="0.5">
      <c r="A682" s="131" t="s">
        <v>448</v>
      </c>
      <c r="B682" s="14">
        <v>2</v>
      </c>
      <c r="C682" s="15" t="s">
        <v>294</v>
      </c>
      <c r="D682" s="44" t="str">
        <f>VLOOKUP(Estimate!$C682,Resources!$B$3:$G$336,4,FALSE)</f>
        <v xml:space="preserve">each </v>
      </c>
      <c r="E682" s="44" t="str">
        <f>VLOOKUP(Estimate!$C682,Resources!$B$3:$G$336,3,FALSE)</f>
        <v>M</v>
      </c>
      <c r="F682" s="52">
        <v>3</v>
      </c>
      <c r="G682" s="12">
        <v>1</v>
      </c>
      <c r="H682" s="12">
        <v>1</v>
      </c>
      <c r="I682" s="12">
        <f>VLOOKUP(C682,Resources!$B$3:$G$336,6,FALSE)</f>
        <v>112</v>
      </c>
      <c r="J682" s="12">
        <f>(H682/(G682/F682))*I682</f>
        <v>336</v>
      </c>
      <c r="K682" s="90"/>
      <c r="L682" s="90" t="str">
        <f>IF(E682="M"," ",H682/G682)</f>
        <v xml:space="preserve"> </v>
      </c>
      <c r="M682" s="16">
        <f>IF($E682="L",$J682,0)</f>
        <v>0</v>
      </c>
      <c r="N682" s="16">
        <f>IF($E682="M",$J682,0)</f>
        <v>336</v>
      </c>
      <c r="O682" s="16">
        <f>IF($E682="P",$J682,0)</f>
        <v>0</v>
      </c>
      <c r="P682" s="16">
        <f>IF($E682="S",$J682,0)</f>
        <v>0</v>
      </c>
      <c r="Q682" s="16">
        <f>SUM(M682:P682)</f>
        <v>336</v>
      </c>
      <c r="R682" s="118">
        <v>103</v>
      </c>
    </row>
    <row r="683" spans="1:18" outlineLevel="1" x14ac:dyDescent="0.5">
      <c r="A683" s="131" t="s">
        <v>448</v>
      </c>
      <c r="B683" s="14">
        <v>3</v>
      </c>
      <c r="C683" s="15" t="s">
        <v>286</v>
      </c>
      <c r="D683" s="44" t="str">
        <f>VLOOKUP(Estimate!$C683,Resources!$B$3:$G$336,4,FALSE)</f>
        <v xml:space="preserve">each </v>
      </c>
      <c r="E683" s="44" t="str">
        <f>VLOOKUP(Estimate!$C683,Resources!$B$3:$G$336,3,FALSE)</f>
        <v>M</v>
      </c>
      <c r="F683" s="52">
        <v>1</v>
      </c>
      <c r="G683" s="12">
        <v>1</v>
      </c>
      <c r="H683" s="12">
        <v>1</v>
      </c>
      <c r="I683" s="12">
        <f>VLOOKUP(C683,Resources!$B$3:$G$336,6,FALSE)</f>
        <v>318.8</v>
      </c>
      <c r="J683" s="12">
        <f>(H683/(G683/F683))*I683</f>
        <v>318.8</v>
      </c>
      <c r="K683" s="90"/>
      <c r="L683" s="90" t="str">
        <f>IF(E683="M"," ",H683/G683)</f>
        <v xml:space="preserve"> </v>
      </c>
      <c r="M683" s="16">
        <f>IF($E683="L",$J683,0)</f>
        <v>0</v>
      </c>
      <c r="N683" s="16">
        <f>IF($E683="M",$J683,0)</f>
        <v>318.8</v>
      </c>
      <c r="O683" s="16">
        <f>IF($E683="P",$J683,0)</f>
        <v>0</v>
      </c>
      <c r="P683" s="16">
        <f>IF($E683="S",$J683,0)</f>
        <v>0</v>
      </c>
      <c r="Q683" s="16">
        <f>SUM(M683:P683)</f>
        <v>318.8</v>
      </c>
      <c r="R683" s="118">
        <v>103</v>
      </c>
    </row>
    <row r="684" spans="1:18" outlineLevel="1" x14ac:dyDescent="0.5">
      <c r="A684" s="131" t="s">
        <v>448</v>
      </c>
      <c r="B684" s="14">
        <v>4</v>
      </c>
      <c r="C684" s="15" t="s">
        <v>242</v>
      </c>
      <c r="D684" s="44" t="str">
        <f>VLOOKUP(Estimate!$C684,Resources!$B$3:$G$336,4,FALSE)</f>
        <v xml:space="preserve">hr   </v>
      </c>
      <c r="E684" s="44" t="str">
        <f>VLOOKUP(Estimate!$C684,Resources!$B$3:$G$336,3,FALSE)</f>
        <v>S</v>
      </c>
      <c r="F684" s="52">
        <v>11.76</v>
      </c>
      <c r="G684" s="12">
        <v>1</v>
      </c>
      <c r="H684" s="12">
        <v>1</v>
      </c>
      <c r="I684" s="12">
        <f>VLOOKUP(C684,Resources!$B$3:$G$336,6,FALSE)</f>
        <v>85</v>
      </c>
      <c r="J684" s="12">
        <f>(H684/(G684/F684))*I684</f>
        <v>999.6</v>
      </c>
      <c r="K684" s="90"/>
      <c r="L684" s="90">
        <f>IF(E684="M"," ",H684/G684)</f>
        <v>1</v>
      </c>
      <c r="M684" s="16">
        <f>IF($E684="L",$J684,0)</f>
        <v>0</v>
      </c>
      <c r="N684" s="16">
        <f>IF($E684="M",$J684,0)</f>
        <v>0</v>
      </c>
      <c r="O684" s="16">
        <f>IF($E684="P",$J684,0)</f>
        <v>0</v>
      </c>
      <c r="P684" s="16">
        <f>IF($E684="S",$J684,0)</f>
        <v>999.6</v>
      </c>
      <c r="Q684" s="16">
        <f>SUM(M684:P684)</f>
        <v>999.6</v>
      </c>
      <c r="R684" s="118">
        <v>103</v>
      </c>
    </row>
    <row r="685" spans="1:18" outlineLevel="1" x14ac:dyDescent="0.5">
      <c r="A685" s="132" t="s">
        <v>448</v>
      </c>
      <c r="B685" s="1"/>
      <c r="C685" s="2"/>
      <c r="D685" s="1"/>
      <c r="E685" s="45"/>
      <c r="F685" s="53"/>
      <c r="G685" s="11"/>
      <c r="H685" s="11"/>
      <c r="I685" s="11"/>
      <c r="J685" s="11"/>
      <c r="K685" s="91"/>
      <c r="L685" s="91"/>
      <c r="M685" s="13"/>
      <c r="N685" s="13"/>
      <c r="O685" s="13"/>
      <c r="P685" s="13"/>
      <c r="Q685" s="13"/>
      <c r="R685" s="119"/>
    </row>
    <row r="686" spans="1:18" ht="21" x14ac:dyDescent="0.5">
      <c r="A686" s="130">
        <v>148</v>
      </c>
      <c r="B686" s="7" t="s">
        <v>295</v>
      </c>
      <c r="C686" s="7" t="s">
        <v>296</v>
      </c>
      <c r="D686" s="8" t="s">
        <v>144</v>
      </c>
      <c r="E686" s="43"/>
      <c r="F686" s="51"/>
      <c r="G686" s="9"/>
      <c r="H686" s="129">
        <f>VLOOKUP($A686,'Model Inputs'!$A:$D,4)</f>
        <v>3</v>
      </c>
      <c r="I686" s="9">
        <f>J686/H686</f>
        <v>245</v>
      </c>
      <c r="J686" s="9">
        <f>SUBTOTAL(9,J687:J688)</f>
        <v>735</v>
      </c>
      <c r="K686" s="89"/>
      <c r="L686" s="89">
        <v>1</v>
      </c>
      <c r="M686" s="9">
        <f>SUBTOTAL(9,M687:M688)</f>
        <v>0</v>
      </c>
      <c r="N686" s="9">
        <f>SUBTOTAL(9,N687:N688)</f>
        <v>225</v>
      </c>
      <c r="O686" s="9">
        <f>SUBTOTAL(9,O687:O688)</f>
        <v>0</v>
      </c>
      <c r="P686" s="9">
        <f>SUBTOTAL(9,P687:P688)</f>
        <v>510</v>
      </c>
      <c r="Q686" s="10">
        <f>SUM(M686:P686)</f>
        <v>735</v>
      </c>
      <c r="R686" s="117"/>
    </row>
    <row r="687" spans="1:18" outlineLevel="1" x14ac:dyDescent="0.5">
      <c r="A687" s="131" t="s">
        <v>448</v>
      </c>
      <c r="B687" s="14">
        <v>1</v>
      </c>
      <c r="C687" s="15" t="s">
        <v>297</v>
      </c>
      <c r="D687" s="44" t="str">
        <f>VLOOKUP(Estimate!$C687,Resources!$B$3:$G$336,4,FALSE)</f>
        <v xml:space="preserve">each </v>
      </c>
      <c r="E687" s="44" t="str">
        <f>VLOOKUP(Estimate!$C687,Resources!$B$3:$G$336,3,FALSE)</f>
        <v>M</v>
      </c>
      <c r="F687" s="52">
        <v>1</v>
      </c>
      <c r="G687" s="12">
        <v>1</v>
      </c>
      <c r="H687" s="12">
        <v>3</v>
      </c>
      <c r="I687" s="12">
        <f>VLOOKUP(C687,Resources!$B$3:$G$336,6,FALSE)</f>
        <v>75</v>
      </c>
      <c r="J687" s="12">
        <f>(H687/(G687/F687))*I687</f>
        <v>225</v>
      </c>
      <c r="K687" s="90"/>
      <c r="L687" s="90" t="str">
        <f>IF(E687="M"," ",H687/G687)</f>
        <v xml:space="preserve"> </v>
      </c>
      <c r="M687" s="16">
        <f>IF($E687="L",$J687,0)</f>
        <v>0</v>
      </c>
      <c r="N687" s="16">
        <f>IF($E687="M",$J687,0)</f>
        <v>225</v>
      </c>
      <c r="O687" s="16">
        <f>IF($E687="P",$J687,0)</f>
        <v>0</v>
      </c>
      <c r="P687" s="16">
        <f>IF($E687="S",$J687,0)</f>
        <v>0</v>
      </c>
      <c r="Q687" s="16">
        <f>SUM(M687:P687)</f>
        <v>225</v>
      </c>
      <c r="R687" s="118">
        <v>103</v>
      </c>
    </row>
    <row r="688" spans="1:18" outlineLevel="1" x14ac:dyDescent="0.5">
      <c r="A688" s="131" t="s">
        <v>448</v>
      </c>
      <c r="B688" s="14">
        <v>2</v>
      </c>
      <c r="C688" s="15" t="s">
        <v>242</v>
      </c>
      <c r="D688" s="44" t="str">
        <f>VLOOKUP(Estimate!$C688,Resources!$B$3:$G$336,4,FALSE)</f>
        <v xml:space="preserve">hr   </v>
      </c>
      <c r="E688" s="44" t="str">
        <f>VLOOKUP(Estimate!$C688,Resources!$B$3:$G$336,3,FALSE)</f>
        <v>S</v>
      </c>
      <c r="F688" s="52">
        <v>1</v>
      </c>
      <c r="G688" s="12">
        <v>1</v>
      </c>
      <c r="H688" s="12">
        <v>6</v>
      </c>
      <c r="I688" s="12">
        <f>VLOOKUP(C688,Resources!$B$3:$G$336,6,FALSE)</f>
        <v>85</v>
      </c>
      <c r="J688" s="12">
        <f>(H688/(G688/F688))*I688</f>
        <v>510</v>
      </c>
      <c r="K688" s="90"/>
      <c r="L688" s="90">
        <f>IF(E688="M"," ",H688/G688)</f>
        <v>6</v>
      </c>
      <c r="M688" s="16">
        <f>IF($E688="L",$J688,0)</f>
        <v>0</v>
      </c>
      <c r="N688" s="16">
        <f>IF($E688="M",$J688,0)</f>
        <v>0</v>
      </c>
      <c r="O688" s="16">
        <f>IF($E688="P",$J688,0)</f>
        <v>0</v>
      </c>
      <c r="P688" s="16">
        <f>IF($E688="S",$J688,0)</f>
        <v>510</v>
      </c>
      <c r="Q688" s="16">
        <f>SUM(M688:P688)</f>
        <v>510</v>
      </c>
      <c r="R688" s="118">
        <v>103</v>
      </c>
    </row>
    <row r="689" spans="1:20" outlineLevel="1" x14ac:dyDescent="0.5">
      <c r="A689" s="132" t="s">
        <v>448</v>
      </c>
      <c r="B689" s="1"/>
      <c r="C689" s="2"/>
      <c r="D689" s="1"/>
      <c r="E689" s="45"/>
      <c r="F689" s="53"/>
      <c r="G689" s="11"/>
      <c r="H689" s="11"/>
      <c r="I689" s="11"/>
      <c r="J689" s="11"/>
      <c r="K689" s="91"/>
      <c r="L689" s="91"/>
      <c r="M689" s="13"/>
      <c r="N689" s="13"/>
      <c r="O689" s="13"/>
      <c r="P689" s="13"/>
      <c r="Q689" s="13"/>
      <c r="R689" s="119"/>
    </row>
    <row r="690" spans="1:20" ht="21" x14ac:dyDescent="0.5">
      <c r="A690" s="130">
        <v>149</v>
      </c>
      <c r="B690" s="7" t="s">
        <v>298</v>
      </c>
      <c r="C690" s="7" t="s">
        <v>299</v>
      </c>
      <c r="D690" s="8" t="s">
        <v>25</v>
      </c>
      <c r="E690" s="43"/>
      <c r="F690" s="51"/>
      <c r="G690" s="9"/>
      <c r="H690" s="129">
        <f>VLOOKUP($A690,'Model Inputs'!$A:$D,4)</f>
        <v>75</v>
      </c>
      <c r="I690" s="9">
        <f>J690/H690</f>
        <v>64.301977600000001</v>
      </c>
      <c r="J690" s="9">
        <f>SUBTOTAL(9,J691:J694)</f>
        <v>4822.6483200000002</v>
      </c>
      <c r="K690" s="89"/>
      <c r="L690" s="89">
        <v>2</v>
      </c>
      <c r="M690" s="9">
        <f>SUBTOTAL(9,M691:M694)</f>
        <v>0</v>
      </c>
      <c r="N690" s="9">
        <f>SUBTOTAL(9,N691:N694)</f>
        <v>637.04831999999999</v>
      </c>
      <c r="O690" s="9">
        <f>SUBTOTAL(9,O691:O694)</f>
        <v>0</v>
      </c>
      <c r="P690" s="9">
        <f>SUBTOTAL(9,P691:P694)</f>
        <v>4185.6000000000004</v>
      </c>
      <c r="Q690" s="10">
        <f>SUM(M690:P690)</f>
        <v>4822.6483200000002</v>
      </c>
      <c r="R690" s="117"/>
    </row>
    <row r="691" spans="1:20" outlineLevel="1" x14ac:dyDescent="0.5">
      <c r="A691" s="131" t="s">
        <v>448</v>
      </c>
      <c r="B691" s="14">
        <v>1</v>
      </c>
      <c r="C691" s="15" t="s">
        <v>268</v>
      </c>
      <c r="D691" s="44" t="str">
        <f>VLOOKUP(Estimate!$C691,Resources!$B$3:$G$336,4,FALSE)</f>
        <v xml:space="preserve">LS   </v>
      </c>
      <c r="E691" s="44" t="str">
        <f>VLOOKUP(Estimate!$C691,Resources!$B$3:$G$336,3,FALSE)</f>
        <v>S</v>
      </c>
      <c r="F691" s="52">
        <v>12000</v>
      </c>
      <c r="G691" s="12">
        <v>1</v>
      </c>
      <c r="H691" s="12">
        <v>0.3488</v>
      </c>
      <c r="I691" s="12">
        <f>VLOOKUP(C691,Resources!$B$3:$G$336,6,FALSE)</f>
        <v>1</v>
      </c>
      <c r="J691" s="12">
        <f>(H691/(G691/F691))*I691</f>
        <v>4185.6000000000004</v>
      </c>
      <c r="K691" s="90"/>
      <c r="L691" s="90">
        <f>IF(E691="M"," ",H691/G691)</f>
        <v>0.3488</v>
      </c>
      <c r="M691" s="16">
        <f>IF($E691="L",$J691,0)</f>
        <v>0</v>
      </c>
      <c r="N691" s="16">
        <f>IF($E691="M",$J691,0)</f>
        <v>0</v>
      </c>
      <c r="O691" s="16">
        <f>IF($E691="P",$J691,0)</f>
        <v>0</v>
      </c>
      <c r="P691" s="16">
        <f>IF($E691="S",$J691,0)</f>
        <v>4185.6000000000004</v>
      </c>
      <c r="Q691" s="16">
        <f>SUM(M691:P691)</f>
        <v>4185.6000000000004</v>
      </c>
      <c r="R691" s="118">
        <v>103</v>
      </c>
    </row>
    <row r="692" spans="1:20" outlineLevel="1" x14ac:dyDescent="0.5">
      <c r="A692" s="131" t="s">
        <v>448</v>
      </c>
      <c r="B692" s="14">
        <v>2</v>
      </c>
      <c r="C692" s="15" t="s">
        <v>285</v>
      </c>
      <c r="D692" s="44" t="str">
        <f>VLOOKUP(Estimate!$C692,Resources!$B$3:$G$336,4,FALSE)</f>
        <v xml:space="preserve">each </v>
      </c>
      <c r="E692" s="44" t="str">
        <f>VLOOKUP(Estimate!$C692,Resources!$B$3:$G$336,3,FALSE)</f>
        <v>M</v>
      </c>
      <c r="F692" s="52">
        <v>3</v>
      </c>
      <c r="G692" s="12">
        <v>1</v>
      </c>
      <c r="H692" s="12">
        <v>0.3488</v>
      </c>
      <c r="I692" s="12">
        <f>VLOOKUP(C692,Resources!$B$3:$G$336,6,FALSE)</f>
        <v>150</v>
      </c>
      <c r="J692" s="12">
        <f>(H692/(G692/F692))*I692</f>
        <v>156.96</v>
      </c>
      <c r="K692" s="90"/>
      <c r="L692" s="90" t="str">
        <f>IF(E692="M"," ",H692/G692)</f>
        <v xml:space="preserve"> </v>
      </c>
      <c r="M692" s="16">
        <f>IF($E692="L",$J692,0)</f>
        <v>0</v>
      </c>
      <c r="N692" s="16">
        <f>IF($E692="M",$J692,0)</f>
        <v>156.96</v>
      </c>
      <c r="O692" s="16">
        <f>IF($E692="P",$J692,0)</f>
        <v>0</v>
      </c>
      <c r="P692" s="16">
        <f>IF($E692="S",$J692,0)</f>
        <v>0</v>
      </c>
      <c r="Q692" s="16">
        <f>SUM(M692:P692)</f>
        <v>156.96</v>
      </c>
      <c r="R692" s="118">
        <v>103</v>
      </c>
    </row>
    <row r="693" spans="1:20" outlineLevel="1" x14ac:dyDescent="0.5">
      <c r="A693" s="131" t="s">
        <v>448</v>
      </c>
      <c r="B693" s="14">
        <v>3</v>
      </c>
      <c r="C693" s="15" t="s">
        <v>286</v>
      </c>
      <c r="D693" s="44" t="str">
        <f>VLOOKUP(Estimate!$C693,Resources!$B$3:$G$336,4,FALSE)</f>
        <v xml:space="preserve">each </v>
      </c>
      <c r="E693" s="44" t="str">
        <f>VLOOKUP(Estimate!$C693,Resources!$B$3:$G$336,3,FALSE)</f>
        <v>M</v>
      </c>
      <c r="F693" s="52">
        <v>3</v>
      </c>
      <c r="G693" s="12">
        <v>1</v>
      </c>
      <c r="H693" s="12">
        <v>0.3488</v>
      </c>
      <c r="I693" s="12">
        <f>VLOOKUP(C693,Resources!$B$3:$G$336,6,FALSE)</f>
        <v>318.8</v>
      </c>
      <c r="J693" s="12">
        <f>(H693/(G693/F693))*I693</f>
        <v>333.59232000000003</v>
      </c>
      <c r="K693" s="90"/>
      <c r="L693" s="90" t="str">
        <f>IF(E693="M"," ",H693/G693)</f>
        <v xml:space="preserve"> </v>
      </c>
      <c r="M693" s="16">
        <f>IF($E693="L",$J693,0)</f>
        <v>0</v>
      </c>
      <c r="N693" s="16">
        <f>IF($E693="M",$J693,0)</f>
        <v>333.59232000000003</v>
      </c>
      <c r="O693" s="16">
        <f>IF($E693="P",$J693,0)</f>
        <v>0</v>
      </c>
      <c r="P693" s="16">
        <f>IF($E693="S",$J693,0)</f>
        <v>0</v>
      </c>
      <c r="Q693" s="16">
        <f>SUM(M693:P693)</f>
        <v>333.59232000000003</v>
      </c>
      <c r="R693" s="118">
        <v>103</v>
      </c>
    </row>
    <row r="694" spans="1:20" outlineLevel="1" x14ac:dyDescent="0.5">
      <c r="A694" s="131" t="s">
        <v>448</v>
      </c>
      <c r="B694" s="14">
        <v>4</v>
      </c>
      <c r="C694" s="15" t="s">
        <v>287</v>
      </c>
      <c r="D694" s="44" t="str">
        <f>VLOOKUP(Estimate!$C694,Resources!$B$3:$G$336,4,FALSE)</f>
        <v xml:space="preserve">each </v>
      </c>
      <c r="E694" s="44" t="str">
        <f>VLOOKUP(Estimate!$C694,Resources!$B$3:$G$336,3,FALSE)</f>
        <v>M</v>
      </c>
      <c r="F694" s="52">
        <v>1</v>
      </c>
      <c r="G694" s="12">
        <v>1</v>
      </c>
      <c r="H694" s="12">
        <v>0.3488</v>
      </c>
      <c r="I694" s="12">
        <f>VLOOKUP(C694,Resources!$B$3:$G$336,6,FALSE)</f>
        <v>420</v>
      </c>
      <c r="J694" s="12">
        <f>(H694/(G694/F694))*I694</f>
        <v>146.49600000000001</v>
      </c>
      <c r="K694" s="90"/>
      <c r="L694" s="90" t="str">
        <f>IF(E694="M"," ",H694/G694)</f>
        <v xml:space="preserve"> </v>
      </c>
      <c r="M694" s="16">
        <f>IF($E694="L",$J694,0)</f>
        <v>0</v>
      </c>
      <c r="N694" s="16">
        <f>IF($E694="M",$J694,0)</f>
        <v>146.49600000000001</v>
      </c>
      <c r="O694" s="16">
        <f>IF($E694="P",$J694,0)</f>
        <v>0</v>
      </c>
      <c r="P694" s="16">
        <f>IF($E694="S",$J694,0)</f>
        <v>0</v>
      </c>
      <c r="Q694" s="16">
        <f>SUM(M694:P694)</f>
        <v>146.49600000000001</v>
      </c>
      <c r="R694" s="118">
        <v>103</v>
      </c>
    </row>
    <row r="695" spans="1:20" outlineLevel="1" x14ac:dyDescent="0.5">
      <c r="A695" s="132" t="s">
        <v>448</v>
      </c>
      <c r="B695" s="1"/>
      <c r="C695" s="2"/>
      <c r="D695" s="1"/>
      <c r="E695" s="45"/>
      <c r="F695" s="53"/>
      <c r="G695" s="11"/>
      <c r="H695" s="11"/>
      <c r="I695" s="11"/>
      <c r="J695" s="11"/>
      <c r="K695" s="91"/>
      <c r="L695" s="91"/>
      <c r="M695" s="13"/>
      <c r="N695" s="13"/>
      <c r="O695" s="13"/>
      <c r="P695" s="13"/>
      <c r="Q695" s="13"/>
      <c r="R695" s="119"/>
    </row>
    <row r="696" spans="1:20" x14ac:dyDescent="0.5">
      <c r="A696" s="132">
        <v>150</v>
      </c>
      <c r="B696" s="1"/>
      <c r="C696" s="5" t="s">
        <v>663</v>
      </c>
      <c r="D696" s="1"/>
      <c r="E696" s="45"/>
      <c r="F696" s="53"/>
      <c r="G696" s="11"/>
      <c r="H696" s="11"/>
      <c r="I696" s="11"/>
      <c r="J696" s="11"/>
      <c r="K696" s="91"/>
      <c r="L696" s="91"/>
      <c r="M696" s="13"/>
      <c r="N696" s="13"/>
      <c r="O696" s="13"/>
      <c r="P696" s="13"/>
      <c r="Q696" s="13"/>
      <c r="R696" s="119"/>
    </row>
    <row r="697" spans="1:20" ht="21" x14ac:dyDescent="0.5">
      <c r="A697" s="130">
        <v>151</v>
      </c>
      <c r="B697" s="7" t="s">
        <v>300</v>
      </c>
      <c r="C697" s="7" t="s">
        <v>301</v>
      </c>
      <c r="D697" s="8" t="s">
        <v>79</v>
      </c>
      <c r="E697" s="43"/>
      <c r="F697" s="51"/>
      <c r="G697" s="9"/>
      <c r="H697" s="129">
        <f>VLOOKUP($A697,'Model Inputs'!$A:$D,4)</f>
        <v>1</v>
      </c>
      <c r="I697" s="9">
        <f>J697/H697</f>
        <v>1500.1089999999999</v>
      </c>
      <c r="J697" s="9">
        <f>SUBTOTAL(9,J698)</f>
        <v>1500.1089999999999</v>
      </c>
      <c r="K697" s="89"/>
      <c r="L697" s="89">
        <f>H698/(50/9)</f>
        <v>10.506600000000001</v>
      </c>
      <c r="M697" s="9">
        <f>SUBTOTAL(9,M698)</f>
        <v>0</v>
      </c>
      <c r="N697" s="9">
        <f>SUBTOTAL(9,N698)</f>
        <v>0</v>
      </c>
      <c r="O697" s="9">
        <f>SUBTOTAL(9,O698)</f>
        <v>0</v>
      </c>
      <c r="P697" s="9">
        <f>SUBTOTAL(9,P698)</f>
        <v>1500.1089999999999</v>
      </c>
      <c r="Q697" s="10">
        <f>SUM(M697:P697)</f>
        <v>1500.1089999999999</v>
      </c>
      <c r="R697" s="117"/>
    </row>
    <row r="698" spans="1:20" outlineLevel="1" x14ac:dyDescent="0.5">
      <c r="A698" s="131" t="s">
        <v>448</v>
      </c>
      <c r="B698" s="14">
        <v>1</v>
      </c>
      <c r="C698" s="15" t="s">
        <v>302</v>
      </c>
      <c r="D698" s="44" t="str">
        <f>VLOOKUP(Estimate!$C698,Resources!$B$3:$G$336,4,FALSE)</f>
        <v xml:space="preserve">m    </v>
      </c>
      <c r="E698" s="44" t="str">
        <f>VLOOKUP(Estimate!$C698,Resources!$B$3:$G$336,3,FALSE)</f>
        <v>S</v>
      </c>
      <c r="F698" s="52">
        <v>1</v>
      </c>
      <c r="G698" s="12">
        <v>1</v>
      </c>
      <c r="H698" s="12">
        <v>58.37</v>
      </c>
      <c r="I698" s="12">
        <f>VLOOKUP(C698,Resources!$B$3:$G$336,6,FALSE)</f>
        <v>25.7</v>
      </c>
      <c r="J698" s="12">
        <f>(H698/(G698/F698))*I698</f>
        <v>1500.1089999999999</v>
      </c>
      <c r="K698" s="90"/>
      <c r="L698" s="90">
        <f>IF(E698="M"," ",H698/G698)</f>
        <v>58.37</v>
      </c>
      <c r="M698" s="16">
        <f>IF($E698="L",$J698,0)</f>
        <v>0</v>
      </c>
      <c r="N698" s="16">
        <f>IF($E698="M",$J698,0)</f>
        <v>0</v>
      </c>
      <c r="O698" s="16">
        <f>IF($E698="P",$J698,0)</f>
        <v>0</v>
      </c>
      <c r="P698" s="16">
        <f>IF($E698="S",$J698,0)</f>
        <v>1500.1089999999999</v>
      </c>
      <c r="Q698" s="16">
        <f>SUM(M698:P698)</f>
        <v>1500.1089999999999</v>
      </c>
      <c r="R698" s="118">
        <v>131</v>
      </c>
    </row>
    <row r="699" spans="1:20" outlineLevel="1" x14ac:dyDescent="0.5">
      <c r="A699" s="132" t="s">
        <v>448</v>
      </c>
      <c r="B699" s="1"/>
      <c r="C699" s="2"/>
      <c r="D699" s="1"/>
      <c r="E699" s="45"/>
      <c r="F699" s="53"/>
      <c r="G699" s="11"/>
      <c r="H699" s="11"/>
      <c r="I699" s="11"/>
      <c r="J699" s="11"/>
      <c r="K699" s="91"/>
      <c r="L699" s="91"/>
      <c r="M699" s="13"/>
      <c r="N699" s="13"/>
      <c r="O699" s="13"/>
      <c r="P699" s="13"/>
      <c r="Q699" s="13"/>
      <c r="R699" s="119"/>
    </row>
    <row r="700" spans="1:20" x14ac:dyDescent="0.5">
      <c r="A700" s="132" t="s">
        <v>448</v>
      </c>
      <c r="B700" s="1"/>
      <c r="C700" s="2"/>
      <c r="D700" s="1"/>
      <c r="E700" s="45"/>
      <c r="F700" s="53"/>
      <c r="G700" s="11"/>
      <c r="H700" s="11"/>
      <c r="I700" s="11"/>
      <c r="J700" s="11">
        <f>SUBTOTAL(9,J4:J698)</f>
        <v>1426642.6384931533</v>
      </c>
      <c r="K700" s="91"/>
      <c r="L700" s="91"/>
      <c r="M700" s="13"/>
      <c r="N700" s="13"/>
      <c r="O700" s="13"/>
      <c r="P700" s="13"/>
      <c r="Q700" s="13"/>
      <c r="R700" s="119"/>
      <c r="T700" s="198"/>
    </row>
    <row r="701" spans="1:20" x14ac:dyDescent="0.5">
      <c r="A701" s="132">
        <v>152</v>
      </c>
      <c r="B701" s="1"/>
      <c r="C701" s="5" t="s">
        <v>664</v>
      </c>
      <c r="D701" s="1"/>
      <c r="E701" s="45"/>
      <c r="F701" s="53"/>
      <c r="G701" s="11"/>
      <c r="H701" s="11"/>
      <c r="I701" s="11"/>
      <c r="J701" s="11"/>
      <c r="K701" s="91"/>
      <c r="L701" s="91"/>
      <c r="M701" s="13"/>
      <c r="N701" s="13"/>
      <c r="O701" s="13"/>
      <c r="P701" s="13"/>
      <c r="Q701" s="13"/>
      <c r="R701" s="119"/>
    </row>
    <row r="702" spans="1:20" x14ac:dyDescent="0.5">
      <c r="A702" s="42" t="s">
        <v>448</v>
      </c>
      <c r="B702" s="4" t="s">
        <v>0</v>
      </c>
      <c r="C702" s="5" t="s">
        <v>1</v>
      </c>
      <c r="D702" s="4" t="s">
        <v>2</v>
      </c>
      <c r="E702" s="42"/>
      <c r="F702" s="50" t="s">
        <v>3</v>
      </c>
      <c r="G702" s="6" t="s">
        <v>4</v>
      </c>
      <c r="H702" s="6" t="s">
        <v>5</v>
      </c>
      <c r="I702" s="6" t="s">
        <v>6</v>
      </c>
      <c r="J702" s="6"/>
      <c r="K702" s="88"/>
      <c r="L702" s="88"/>
      <c r="M702" s="6" t="s">
        <v>7</v>
      </c>
      <c r="N702" s="6" t="s">
        <v>8</v>
      </c>
      <c r="O702" s="6" t="s">
        <v>9</v>
      </c>
      <c r="P702" s="6" t="s">
        <v>10</v>
      </c>
      <c r="Q702" s="6" t="s">
        <v>11</v>
      </c>
      <c r="R702" s="42"/>
    </row>
    <row r="703" spans="1:20" ht="21" x14ac:dyDescent="0.5">
      <c r="A703" s="130">
        <v>153</v>
      </c>
      <c r="B703" s="7" t="s">
        <v>303</v>
      </c>
      <c r="C703" s="7" t="s">
        <v>304</v>
      </c>
      <c r="D703" s="8" t="s">
        <v>14</v>
      </c>
      <c r="E703" s="43"/>
      <c r="F703" s="51"/>
      <c r="G703" s="9"/>
      <c r="H703" s="129">
        <f>VLOOKUP($A703,'Model Inputs'!$A:$D,4)</f>
        <v>1</v>
      </c>
      <c r="I703" s="9">
        <f>J703/H703</f>
        <v>33500</v>
      </c>
      <c r="J703" s="9">
        <f>SUBTOTAL(9,J704)</f>
        <v>33500</v>
      </c>
      <c r="K703" s="89"/>
      <c r="L703" s="89"/>
      <c r="M703" s="9">
        <f>SUBTOTAL(9,M704)</f>
        <v>33500</v>
      </c>
      <c r="N703" s="9">
        <f>SUBTOTAL(9,N704)</f>
        <v>0</v>
      </c>
      <c r="O703" s="9">
        <f>SUBTOTAL(9,O704)</f>
        <v>0</v>
      </c>
      <c r="P703" s="9">
        <f>SUBTOTAL(9,P704)</f>
        <v>0</v>
      </c>
      <c r="Q703" s="10">
        <f>SUM(M703:P703)</f>
        <v>33500</v>
      </c>
      <c r="R703" s="117"/>
    </row>
    <row r="704" spans="1:20" outlineLevel="1" x14ac:dyDescent="0.5">
      <c r="A704" s="131">
        <v>153.1</v>
      </c>
      <c r="B704" s="14">
        <v>1</v>
      </c>
      <c r="C704" s="15" t="s">
        <v>19</v>
      </c>
      <c r="D704" s="44" t="str">
        <f>VLOOKUP(Estimate!$C704,Resources!$B$3:$G$336,4,FALSE)</f>
        <v xml:space="preserve">week </v>
      </c>
      <c r="E704" s="44" t="str">
        <f>VLOOKUP(Estimate!$C704,Resources!$B$3:$G$336,3,FALSE)</f>
        <v>L</v>
      </c>
      <c r="F704" s="52"/>
      <c r="G704" s="12">
        <v>1</v>
      </c>
      <c r="H704" s="129">
        <f>VLOOKUP($A704,'Model Inputs'!$A:$D,4)</f>
        <v>10</v>
      </c>
      <c r="I704" s="12">
        <f>VLOOKUP(C704,Resources!$B$3:$G$336,6,FALSE)</f>
        <v>3350</v>
      </c>
      <c r="J704" s="12">
        <f>H704*I704</f>
        <v>33500</v>
      </c>
      <c r="K704" s="90"/>
      <c r="L704" s="90">
        <f>IF(E704="M"," ",H704/G704)</f>
        <v>10</v>
      </c>
      <c r="M704" s="16">
        <f>IF($E704="L",$J704,0)</f>
        <v>33500</v>
      </c>
      <c r="N704" s="16">
        <f>IF($E704="M",$J704,0)</f>
        <v>0</v>
      </c>
      <c r="O704" s="16">
        <f>IF($E704="P",$J704,0)</f>
        <v>0</v>
      </c>
      <c r="P704" s="16">
        <f>IF($E704="S",$J704,0)</f>
        <v>0</v>
      </c>
      <c r="Q704" s="16">
        <f>SUM(M704:P704)</f>
        <v>33500</v>
      </c>
      <c r="R704" s="118">
        <v>902</v>
      </c>
    </row>
    <row r="705" spans="1:19" outlineLevel="1" x14ac:dyDescent="0.5">
      <c r="A705" s="132" t="s">
        <v>448</v>
      </c>
      <c r="B705" s="1"/>
      <c r="C705" s="2"/>
      <c r="D705" s="1"/>
      <c r="E705" s="45"/>
      <c r="F705" s="53"/>
      <c r="G705" s="11"/>
      <c r="H705" s="11"/>
      <c r="I705" s="11"/>
      <c r="J705" s="11"/>
      <c r="K705" s="91"/>
      <c r="L705" s="91"/>
      <c r="M705" s="13"/>
      <c r="N705" s="13"/>
      <c r="O705" s="13"/>
      <c r="P705" s="13"/>
      <c r="Q705" s="13"/>
      <c r="R705" s="119"/>
    </row>
    <row r="706" spans="1:19" ht="21" x14ac:dyDescent="0.5">
      <c r="A706" s="130">
        <v>154</v>
      </c>
      <c r="B706" s="7" t="s">
        <v>305</v>
      </c>
      <c r="C706" s="7" t="s">
        <v>21</v>
      </c>
      <c r="D706" s="8" t="s">
        <v>14</v>
      </c>
      <c r="E706" s="43"/>
      <c r="F706" s="51"/>
      <c r="G706" s="9"/>
      <c r="H706" s="129">
        <f>VLOOKUP($A706,'Model Inputs'!$A:$D,4)</f>
        <v>1</v>
      </c>
      <c r="I706" s="9">
        <f>J706/H706</f>
        <v>19500</v>
      </c>
      <c r="J706" s="9">
        <f>SUBTOTAL(9,J707)</f>
        <v>19500</v>
      </c>
      <c r="K706" s="89"/>
      <c r="L706" s="89"/>
      <c r="M706" s="9">
        <f>SUBTOTAL(9,M707)</f>
        <v>19500</v>
      </c>
      <c r="N706" s="9">
        <f>SUBTOTAL(9,N707)</f>
        <v>0</v>
      </c>
      <c r="O706" s="9">
        <f>SUBTOTAL(9,O707)</f>
        <v>0</v>
      </c>
      <c r="P706" s="9">
        <f>SUBTOTAL(9,P707)</f>
        <v>0</v>
      </c>
      <c r="Q706" s="10">
        <f>SUM(M706:P706)</f>
        <v>19500</v>
      </c>
      <c r="R706" s="117"/>
    </row>
    <row r="707" spans="1:19" outlineLevel="1" x14ac:dyDescent="0.5">
      <c r="A707" s="131">
        <v>154.1</v>
      </c>
      <c r="B707" s="14">
        <v>1</v>
      </c>
      <c r="C707" s="15" t="s">
        <v>21</v>
      </c>
      <c r="D707" s="44" t="str">
        <f>VLOOKUP(Estimate!$C707,Resources!$B$3:$G$336,4,FALSE)</f>
        <v xml:space="preserve">week </v>
      </c>
      <c r="E707" s="44" t="str">
        <f>VLOOKUP(Estimate!$C707,Resources!$B$3:$G$336,3,FALSE)</f>
        <v>L</v>
      </c>
      <c r="F707" s="52"/>
      <c r="G707" s="12">
        <v>1</v>
      </c>
      <c r="H707" s="129">
        <f>VLOOKUP($A707,'Model Inputs'!$A:$D,4)</f>
        <v>6</v>
      </c>
      <c r="I707" s="12">
        <f>VLOOKUP(C707,Resources!$B$3:$G$336,6,FALSE)</f>
        <v>3250</v>
      </c>
      <c r="J707" s="12">
        <f>H707*I707</f>
        <v>19500</v>
      </c>
      <c r="K707" s="90"/>
      <c r="L707" s="90">
        <f>IF(E707="M"," ",H707/G707)</f>
        <v>6</v>
      </c>
      <c r="M707" s="16">
        <f>IF($E707="L",$J707,0)</f>
        <v>19500</v>
      </c>
      <c r="N707" s="16">
        <f>IF($E707="M",$J707,0)</f>
        <v>0</v>
      </c>
      <c r="O707" s="16">
        <f>IF($E707="P",$J707,0)</f>
        <v>0</v>
      </c>
      <c r="P707" s="16">
        <f>IF($E707="S",$J707,0)</f>
        <v>0</v>
      </c>
      <c r="Q707" s="16">
        <f>SUM(M707:P707)</f>
        <v>19500</v>
      </c>
      <c r="R707" s="118">
        <v>901</v>
      </c>
    </row>
    <row r="708" spans="1:19" outlineLevel="1" x14ac:dyDescent="0.5">
      <c r="A708" s="132" t="s">
        <v>448</v>
      </c>
      <c r="B708" s="1"/>
      <c r="C708" s="2"/>
      <c r="D708" s="1"/>
      <c r="E708" s="45"/>
      <c r="F708" s="53"/>
      <c r="G708" s="11"/>
      <c r="H708" s="11"/>
      <c r="I708" s="11"/>
      <c r="J708" s="11"/>
      <c r="K708" s="91"/>
      <c r="L708" s="91"/>
      <c r="M708" s="13"/>
      <c r="N708" s="13"/>
      <c r="O708" s="13"/>
      <c r="P708" s="13"/>
      <c r="Q708" s="13"/>
      <c r="R708" s="119"/>
    </row>
    <row r="709" spans="1:19" ht="21" x14ac:dyDescent="0.5">
      <c r="A709" s="130">
        <v>155</v>
      </c>
      <c r="B709" s="7" t="s">
        <v>306</v>
      </c>
      <c r="C709" s="7" t="s">
        <v>307</v>
      </c>
      <c r="D709" s="8" t="s">
        <v>14</v>
      </c>
      <c r="E709" s="43"/>
      <c r="F709" s="51"/>
      <c r="G709" s="9"/>
      <c r="H709" s="129">
        <f>VLOOKUP($A709,'Model Inputs'!$A:$D,4)</f>
        <v>1</v>
      </c>
      <c r="I709" s="9">
        <f>J709/H709</f>
        <v>26240</v>
      </c>
      <c r="J709" s="9">
        <f>SUBTOTAL(9,J710:J711)</f>
        <v>26240</v>
      </c>
      <c r="K709" s="89"/>
      <c r="L709" s="89"/>
      <c r="M709" s="9">
        <f>SUBTOTAL(9,M710:M711)</f>
        <v>0</v>
      </c>
      <c r="N709" s="9">
        <f>SUBTOTAL(9,N710:N711)</f>
        <v>0</v>
      </c>
      <c r="O709" s="9">
        <f>SUBTOTAL(9,O710:O711)</f>
        <v>26240</v>
      </c>
      <c r="P709" s="9">
        <f>SUBTOTAL(9,P710:P711)</f>
        <v>0</v>
      </c>
      <c r="Q709" s="10">
        <f>SUM(M709:P709)</f>
        <v>26240</v>
      </c>
      <c r="R709" s="117"/>
    </row>
    <row r="710" spans="1:19" outlineLevel="1" x14ac:dyDescent="0.5">
      <c r="A710" s="131">
        <v>155.1</v>
      </c>
      <c r="B710" s="14">
        <v>1</v>
      </c>
      <c r="C710" s="15" t="s">
        <v>60</v>
      </c>
      <c r="D710" s="44" t="str">
        <f>VLOOKUP(Estimate!$C710,Resources!$B$3:$G$336,4,FALSE)</f>
        <v xml:space="preserve">hr   </v>
      </c>
      <c r="E710" s="44" t="str">
        <f>VLOOKUP(Estimate!$C710,Resources!$B$3:$G$336,3,FALSE)</f>
        <v>P</v>
      </c>
      <c r="F710" s="52"/>
      <c r="G710" s="12">
        <v>1</v>
      </c>
      <c r="H710" s="129">
        <f>VLOOKUP($A710,'Model Inputs'!$A:$D,4)</f>
        <v>100</v>
      </c>
      <c r="I710" s="12">
        <f>VLOOKUP(C710,Resources!$B$3:$G$336,6,FALSE)</f>
        <v>95</v>
      </c>
      <c r="J710" s="12">
        <f>H710*I710</f>
        <v>9500</v>
      </c>
      <c r="K710" s="90"/>
      <c r="L710" s="90">
        <f>IF(E710="M"," ",H710/G710)</f>
        <v>100</v>
      </c>
      <c r="M710" s="16">
        <f>IF($E710="L",$J710,0)</f>
        <v>0</v>
      </c>
      <c r="N710" s="16">
        <f>IF($E710="M",$J710,0)</f>
        <v>0</v>
      </c>
      <c r="O710" s="16">
        <f>IF($E710="P",$J710,0)</f>
        <v>9500</v>
      </c>
      <c r="P710" s="16">
        <f>IF($E710="S",$J710,0)</f>
        <v>0</v>
      </c>
      <c r="Q710" s="16">
        <f>SUM(M710:P710)</f>
        <v>9500</v>
      </c>
      <c r="R710" s="118">
        <v>151</v>
      </c>
    </row>
    <row r="711" spans="1:19" outlineLevel="1" x14ac:dyDescent="0.5">
      <c r="A711" s="131">
        <v>155.19999999999999</v>
      </c>
      <c r="B711" s="14">
        <v>2</v>
      </c>
      <c r="C711" s="15" t="s">
        <v>59</v>
      </c>
      <c r="D711" s="44" t="str">
        <f>VLOOKUP(Estimate!$C711,Resources!$B$3:$G$336,4,FALSE)</f>
        <v xml:space="preserve">hr   </v>
      </c>
      <c r="E711" s="44" t="str">
        <f>VLOOKUP(Estimate!$C711,Resources!$B$3:$G$336,3,FALSE)</f>
        <v>P</v>
      </c>
      <c r="F711" s="52"/>
      <c r="G711" s="12">
        <v>1</v>
      </c>
      <c r="H711" s="129">
        <f>VLOOKUP($A711,'Model Inputs'!$A:$D,4)</f>
        <v>360</v>
      </c>
      <c r="I711" s="12">
        <f>VLOOKUP(C711,Resources!$B$3:$G$336,6,FALSE)</f>
        <v>46.5</v>
      </c>
      <c r="J711" s="12">
        <f>H711*I711</f>
        <v>16740</v>
      </c>
      <c r="K711" s="90"/>
      <c r="L711" s="90">
        <f>IF(E711="M"," ",H711/G711)</f>
        <v>360</v>
      </c>
      <c r="M711" s="16">
        <f>IF($E711="L",$J711,0)</f>
        <v>0</v>
      </c>
      <c r="N711" s="16">
        <f>IF($E711="M",$J711,0)</f>
        <v>0</v>
      </c>
      <c r="O711" s="16">
        <f>IF($E711="P",$J711,0)</f>
        <v>16740</v>
      </c>
      <c r="P711" s="16">
        <f>IF($E711="S",$J711,0)</f>
        <v>0</v>
      </c>
      <c r="Q711" s="16">
        <f>SUM(M711:P711)</f>
        <v>16740</v>
      </c>
      <c r="R711" s="118">
        <v>910</v>
      </c>
      <c r="S711" s="3" t="s">
        <v>448</v>
      </c>
    </row>
    <row r="712" spans="1:19" outlineLevel="1" x14ac:dyDescent="0.5">
      <c r="A712" s="132" t="s">
        <v>448</v>
      </c>
      <c r="B712" s="1"/>
      <c r="C712" s="2"/>
      <c r="D712" s="1"/>
      <c r="E712" s="45"/>
      <c r="F712" s="53"/>
      <c r="G712" s="11"/>
      <c r="H712" s="11"/>
      <c r="I712" s="11"/>
      <c r="J712" s="11"/>
      <c r="K712" s="91"/>
      <c r="L712" s="91"/>
      <c r="M712" s="13"/>
      <c r="N712" s="13"/>
      <c r="O712" s="13"/>
      <c r="P712" s="13"/>
      <c r="Q712" s="13"/>
      <c r="R712" s="119"/>
    </row>
    <row r="713" spans="1:19" ht="21" x14ac:dyDescent="0.5">
      <c r="A713" s="130">
        <v>156</v>
      </c>
      <c r="B713" s="7" t="s">
        <v>308</v>
      </c>
      <c r="C713" s="7" t="s">
        <v>309</v>
      </c>
      <c r="D713" s="8" t="s">
        <v>14</v>
      </c>
      <c r="E713" s="43"/>
      <c r="F713" s="51"/>
      <c r="G713" s="9"/>
      <c r="H713" s="129">
        <f>VLOOKUP($A713,'Model Inputs'!$A:$D,4)</f>
        <v>1</v>
      </c>
      <c r="I713" s="9">
        <f>J713/H713</f>
        <v>3324</v>
      </c>
      <c r="J713" s="9">
        <f>SUBTOTAL(9,J714)</f>
        <v>3324</v>
      </c>
      <c r="K713" s="89"/>
      <c r="L713" s="89"/>
      <c r="M713" s="9">
        <f>SUBTOTAL(9,M714)</f>
        <v>0</v>
      </c>
      <c r="N713" s="9">
        <f>SUBTOTAL(9,N714)</f>
        <v>0</v>
      </c>
      <c r="O713" s="9">
        <f>SUBTOTAL(9,O714)</f>
        <v>3324</v>
      </c>
      <c r="P713" s="9">
        <f>SUBTOTAL(9,P714)</f>
        <v>0</v>
      </c>
      <c r="Q713" s="10">
        <f>SUM(M713:P713)</f>
        <v>3324</v>
      </c>
      <c r="R713" s="117"/>
    </row>
    <row r="714" spans="1:19" outlineLevel="1" x14ac:dyDescent="0.5">
      <c r="A714" s="131">
        <v>156.1</v>
      </c>
      <c r="B714" s="14">
        <v>1</v>
      </c>
      <c r="C714" s="15" t="s">
        <v>309</v>
      </c>
      <c r="D714" s="44" t="str">
        <f>VLOOKUP(Estimate!$C714,Resources!$B$3:$G$336,4,FALSE)</f>
        <v xml:space="preserve">week </v>
      </c>
      <c r="E714" s="44" t="str">
        <f>VLOOKUP(Estimate!$C714,Resources!$B$3:$G$336,3,FALSE)</f>
        <v>P</v>
      </c>
      <c r="F714" s="52"/>
      <c r="G714" s="12">
        <v>1</v>
      </c>
      <c r="H714" s="129">
        <f>VLOOKUP($A714,'Model Inputs'!$A:$D,4)</f>
        <v>12</v>
      </c>
      <c r="I714" s="12">
        <f>VLOOKUP(C714,Resources!$B$3:$G$336,6,FALSE)</f>
        <v>277</v>
      </c>
      <c r="J714" s="12">
        <f>H714*I714</f>
        <v>3324</v>
      </c>
      <c r="K714" s="90"/>
      <c r="L714" s="90">
        <f>IF(E714="M"," ",H714/G714)</f>
        <v>12</v>
      </c>
      <c r="M714" s="16">
        <f>IF($E714="L",$J714,0)</f>
        <v>0</v>
      </c>
      <c r="N714" s="16">
        <f>IF($E714="M",$J714,0)</f>
        <v>0</v>
      </c>
      <c r="O714" s="16">
        <f>IF($E714="P",$J714,0)</f>
        <v>3324</v>
      </c>
      <c r="P714" s="16">
        <f>IF($E714="S",$J714,0)</f>
        <v>0</v>
      </c>
      <c r="Q714" s="16">
        <f>SUM(M714:P714)</f>
        <v>3324</v>
      </c>
      <c r="R714" s="118">
        <v>905</v>
      </c>
    </row>
    <row r="715" spans="1:19" outlineLevel="1" x14ac:dyDescent="0.5">
      <c r="A715" s="132" t="s">
        <v>448</v>
      </c>
      <c r="B715" s="1"/>
      <c r="C715" s="2"/>
      <c r="D715" s="1"/>
      <c r="E715" s="45"/>
      <c r="F715" s="53"/>
      <c r="G715" s="11"/>
      <c r="H715" s="11"/>
      <c r="I715" s="11"/>
      <c r="J715" s="11"/>
      <c r="K715" s="91"/>
      <c r="L715" s="91"/>
      <c r="M715" s="13"/>
      <c r="N715" s="13"/>
      <c r="O715" s="13"/>
      <c r="P715" s="13"/>
      <c r="Q715" s="13"/>
      <c r="R715" s="119"/>
    </row>
    <row r="716" spans="1:19" ht="21" x14ac:dyDescent="0.5">
      <c r="A716" s="130">
        <v>157</v>
      </c>
      <c r="B716" s="7" t="s">
        <v>310</v>
      </c>
      <c r="C716" s="7" t="s">
        <v>311</v>
      </c>
      <c r="D716" s="8" t="s">
        <v>14</v>
      </c>
      <c r="E716" s="43"/>
      <c r="F716" s="51"/>
      <c r="G716" s="9"/>
      <c r="H716" s="129">
        <f>VLOOKUP($A716,'Model Inputs'!$A:$D,4)</f>
        <v>1</v>
      </c>
      <c r="I716" s="9">
        <f>J716/H716</f>
        <v>17936</v>
      </c>
      <c r="J716" s="9">
        <f>SUBTOTAL(9,J717)</f>
        <v>17936</v>
      </c>
      <c r="K716" s="89"/>
      <c r="L716" s="89"/>
      <c r="M716" s="9">
        <f>SUBTOTAL(9,M717)</f>
        <v>0</v>
      </c>
      <c r="N716" s="9">
        <f>SUBTOTAL(9,N717)</f>
        <v>0</v>
      </c>
      <c r="O716" s="9">
        <f>SUBTOTAL(9,O717)</f>
        <v>17936</v>
      </c>
      <c r="P716" s="9">
        <f>SUBTOTAL(9,P717)</f>
        <v>0</v>
      </c>
      <c r="Q716" s="10">
        <f>SUM(M716:P716)</f>
        <v>17936</v>
      </c>
      <c r="R716" s="117"/>
    </row>
    <row r="717" spans="1:19" outlineLevel="1" x14ac:dyDescent="0.5">
      <c r="A717" s="131">
        <v>157.1</v>
      </c>
      <c r="B717" s="14">
        <v>1</v>
      </c>
      <c r="C717" s="15" t="s">
        <v>312</v>
      </c>
      <c r="D717" s="44" t="str">
        <f>VLOOKUP(Estimate!$C717,Resources!$B$3:$G$336,4,FALSE)</f>
        <v xml:space="preserve">week </v>
      </c>
      <c r="E717" s="44" t="str">
        <f>VLOOKUP(Estimate!$C717,Resources!$B$3:$G$336,3,FALSE)</f>
        <v>P</v>
      </c>
      <c r="F717" s="52">
        <v>1</v>
      </c>
      <c r="G717" s="12">
        <v>1</v>
      </c>
      <c r="H717" s="129">
        <f>VLOOKUP($A717,'Model Inputs'!$A:$D,4)</f>
        <v>16</v>
      </c>
      <c r="I717" s="12">
        <f>VLOOKUP(C717,Resources!$B$3:$G$336,6,FALSE)</f>
        <v>1121</v>
      </c>
      <c r="J717" s="12">
        <f>(H717/(G717/F717))*I717</f>
        <v>17936</v>
      </c>
      <c r="K717" s="90"/>
      <c r="L717" s="90">
        <f>IF(E717="M"," ",H717/G717)</f>
        <v>16</v>
      </c>
      <c r="M717" s="16">
        <f>IF($E717="L",$J717,0)</f>
        <v>0</v>
      </c>
      <c r="N717" s="16">
        <f>IF($E717="M",$J717,0)</f>
        <v>0</v>
      </c>
      <c r="O717" s="16">
        <f>IF($E717="P",$J717,0)</f>
        <v>17936</v>
      </c>
      <c r="P717" s="16">
        <f>IF($E717="S",$J717,0)</f>
        <v>0</v>
      </c>
      <c r="Q717" s="16">
        <f>SUM(M717:P717)</f>
        <v>17936</v>
      </c>
      <c r="R717" s="118">
        <v>903</v>
      </c>
    </row>
    <row r="718" spans="1:19" outlineLevel="1" x14ac:dyDescent="0.5">
      <c r="A718" s="132" t="s">
        <v>448</v>
      </c>
      <c r="B718" s="1"/>
      <c r="C718" s="2"/>
      <c r="D718" s="1"/>
      <c r="E718" s="45"/>
      <c r="F718" s="53"/>
      <c r="G718" s="11"/>
      <c r="H718" s="11"/>
      <c r="I718" s="11"/>
      <c r="J718" s="11"/>
      <c r="K718" s="91"/>
      <c r="L718" s="91"/>
      <c r="M718" s="13"/>
      <c r="N718" s="13"/>
      <c r="O718" s="13"/>
      <c r="P718" s="13"/>
      <c r="Q718" s="13"/>
      <c r="R718" s="119"/>
    </row>
    <row r="719" spans="1:19" ht="21" x14ac:dyDescent="0.5">
      <c r="A719" s="130">
        <v>158</v>
      </c>
      <c r="B719" s="7" t="s">
        <v>313</v>
      </c>
      <c r="C719" s="7" t="s">
        <v>314</v>
      </c>
      <c r="D719" s="8" t="s">
        <v>14</v>
      </c>
      <c r="E719" s="43"/>
      <c r="F719" s="51"/>
      <c r="G719" s="9"/>
      <c r="H719" s="129">
        <f>VLOOKUP($A719,'Model Inputs'!$A:$D,4)</f>
        <v>1</v>
      </c>
      <c r="I719" s="9">
        <f>J719/H719</f>
        <v>380</v>
      </c>
      <c r="J719" s="9">
        <f>SUBTOTAL(9,J720)</f>
        <v>380</v>
      </c>
      <c r="K719" s="89"/>
      <c r="L719" s="89"/>
      <c r="M719" s="9">
        <f>SUBTOTAL(9,M720)</f>
        <v>380</v>
      </c>
      <c r="N719" s="9">
        <f>SUBTOTAL(9,N720)</f>
        <v>0</v>
      </c>
      <c r="O719" s="9">
        <f>SUBTOTAL(9,O720)</f>
        <v>0</v>
      </c>
      <c r="P719" s="9">
        <f>SUBTOTAL(9,P720)</f>
        <v>0</v>
      </c>
      <c r="Q719" s="10">
        <f>SUM(M719:P719)</f>
        <v>380</v>
      </c>
      <c r="R719" s="117"/>
    </row>
    <row r="720" spans="1:19" outlineLevel="1" x14ac:dyDescent="0.5">
      <c r="A720" s="131">
        <v>158.1</v>
      </c>
      <c r="B720" s="14">
        <v>1</v>
      </c>
      <c r="C720" s="15" t="s">
        <v>7</v>
      </c>
      <c r="D720" s="44" t="str">
        <f>VLOOKUP(Estimate!$C720,Resources!$B$3:$G$336,4,FALSE)</f>
        <v xml:space="preserve">hr   </v>
      </c>
      <c r="E720" s="44" t="str">
        <f>VLOOKUP(Estimate!$C720,Resources!$B$3:$G$336,3,FALSE)</f>
        <v>L</v>
      </c>
      <c r="F720" s="52">
        <v>4</v>
      </c>
      <c r="G720" s="12">
        <v>4</v>
      </c>
      <c r="H720" s="129">
        <f>VLOOKUP($A720,'Model Inputs'!$A:$D,4)</f>
        <v>160</v>
      </c>
      <c r="I720" s="12">
        <f>VLOOKUP(C720,Resources!$B$3:$G$336,6,FALSE)</f>
        <v>38</v>
      </c>
      <c r="J720" s="12">
        <f>(H720/(G720*F720))*I720</f>
        <v>380</v>
      </c>
      <c r="K720" s="90"/>
      <c r="L720" s="90">
        <f>IF(E720="M"," ",H720/G720)</f>
        <v>40</v>
      </c>
      <c r="M720" s="16">
        <f>IF($E720="L",$J720,0)</f>
        <v>380</v>
      </c>
      <c r="N720" s="16">
        <f>IF($E720="M",$J720,0)</f>
        <v>0</v>
      </c>
      <c r="O720" s="16">
        <f>IF($E720="P",$J720,0)</f>
        <v>0</v>
      </c>
      <c r="P720" s="16">
        <f>IF($E720="S",$J720,0)</f>
        <v>0</v>
      </c>
      <c r="Q720" s="16">
        <f>SUM(M720:P720)</f>
        <v>380</v>
      </c>
      <c r="R720" s="118" t="s">
        <v>967</v>
      </c>
      <c r="S720" s="3">
        <f>G7422</f>
        <v>0</v>
      </c>
    </row>
    <row r="721" spans="1:25" x14ac:dyDescent="0.5">
      <c r="A721" s="48" t="s">
        <v>448</v>
      </c>
    </row>
    <row r="722" spans="1:25" x14ac:dyDescent="0.5">
      <c r="A722" s="48" t="s">
        <v>448</v>
      </c>
    </row>
    <row r="723" spans="1:25" x14ac:dyDescent="0.5">
      <c r="A723" s="48" t="s">
        <v>448</v>
      </c>
    </row>
    <row r="724" spans="1:25" ht="12" x14ac:dyDescent="0.5">
      <c r="A724" s="42" t="s">
        <v>448</v>
      </c>
      <c r="B724" s="4" t="s">
        <v>969</v>
      </c>
      <c r="C724" s="5" t="s">
        <v>1</v>
      </c>
      <c r="D724" s="4" t="s">
        <v>2</v>
      </c>
      <c r="E724" s="42" t="s">
        <v>910</v>
      </c>
      <c r="F724" s="50" t="s">
        <v>3</v>
      </c>
      <c r="G724" s="6" t="s">
        <v>445</v>
      </c>
      <c r="H724" s="6" t="s">
        <v>5</v>
      </c>
      <c r="I724" s="6" t="s">
        <v>6</v>
      </c>
      <c r="J724" s="6" t="s">
        <v>443</v>
      </c>
      <c r="K724" s="88" t="s">
        <v>935</v>
      </c>
      <c r="L724" s="88" t="s">
        <v>444</v>
      </c>
      <c r="M724" s="6" t="s">
        <v>7</v>
      </c>
      <c r="N724" s="6" t="s">
        <v>8</v>
      </c>
      <c r="O724" s="6" t="s">
        <v>9</v>
      </c>
      <c r="P724" s="6" t="s">
        <v>10</v>
      </c>
      <c r="Q724" s="6" t="s">
        <v>11</v>
      </c>
      <c r="R724" s="42" t="s">
        <v>941</v>
      </c>
      <c r="T724" s="57"/>
      <c r="U724" s="57"/>
      <c r="V724" s="57"/>
      <c r="W724" s="57"/>
      <c r="X724" s="57"/>
      <c r="Y724" s="57"/>
    </row>
    <row r="725" spans="1:25" ht="21" x14ac:dyDescent="0.5">
      <c r="A725" s="130">
        <v>159</v>
      </c>
      <c r="B725" s="7" t="s">
        <v>446</v>
      </c>
      <c r="C725" s="7" t="s">
        <v>447</v>
      </c>
      <c r="D725" s="8" t="s">
        <v>79</v>
      </c>
      <c r="E725" s="43"/>
      <c r="F725" s="51"/>
      <c r="G725" s="9"/>
      <c r="H725" s="129">
        <f>VLOOKUP($A725,'Model Inputs'!$A:$D,4)</f>
        <v>1</v>
      </c>
      <c r="I725" s="9"/>
      <c r="J725" s="9">
        <f>SUBTOTAL(9,J727:J729)</f>
        <v>2728</v>
      </c>
      <c r="K725" s="89"/>
      <c r="L725" s="89">
        <f>MAX(L727:L729)/workhrs</f>
        <v>1</v>
      </c>
      <c r="M725" s="9">
        <f>SUBTOTAL(9,M727:M729)</f>
        <v>513</v>
      </c>
      <c r="N725" s="9">
        <f t="shared" ref="N725:Q725" si="59">SUBTOTAL(9,N727:N729)</f>
        <v>0</v>
      </c>
      <c r="O725" s="9">
        <f t="shared" si="59"/>
        <v>1215</v>
      </c>
      <c r="P725" s="9">
        <f t="shared" si="59"/>
        <v>1000</v>
      </c>
      <c r="Q725" s="9">
        <f t="shared" si="59"/>
        <v>2728</v>
      </c>
      <c r="R725" s="43"/>
    </row>
    <row r="726" spans="1:25" outlineLevel="1" x14ac:dyDescent="0.5">
      <c r="A726" s="132" t="s">
        <v>448</v>
      </c>
      <c r="B726" s="1">
        <v>1</v>
      </c>
      <c r="C726" s="2"/>
      <c r="D726" s="1"/>
      <c r="E726" s="45"/>
      <c r="F726" s="53"/>
      <c r="G726" s="11"/>
      <c r="H726" s="11"/>
      <c r="I726" s="11"/>
      <c r="J726" s="11"/>
      <c r="K726" s="91"/>
      <c r="L726" s="91"/>
      <c r="M726" s="13"/>
      <c r="N726" s="13"/>
      <c r="O726" s="13"/>
      <c r="P726" s="13"/>
      <c r="Q726" s="13"/>
      <c r="R726" s="119"/>
    </row>
    <row r="727" spans="1:25" outlineLevel="1" x14ac:dyDescent="0.5">
      <c r="A727" s="131">
        <v>159.1</v>
      </c>
      <c r="B727" s="14">
        <v>2</v>
      </c>
      <c r="C727" s="15" t="s">
        <v>55</v>
      </c>
      <c r="D727" s="44" t="str">
        <f>VLOOKUP(Estimate!$C727,Resources!$B$3:$G$336,4,FALSE)</f>
        <v xml:space="preserve">hr   </v>
      </c>
      <c r="E727" s="44" t="str">
        <f>VLOOKUP(Estimate!$C727,Resources!$B$3:$G$336,3,FALSE)</f>
        <v>P</v>
      </c>
      <c r="F727" s="52">
        <v>1</v>
      </c>
      <c r="G727" s="12">
        <v>1</v>
      </c>
      <c r="H727" s="129">
        <f>VLOOKUP($A727,'Model Inputs'!$A:$D,4)</f>
        <v>9</v>
      </c>
      <c r="I727" s="12">
        <f>VLOOKUP(C727,Resources!$B$3:$G$336,6,FALSE)</f>
        <v>135</v>
      </c>
      <c r="J727" s="12">
        <f>(H727/(G727/F727))*I727</f>
        <v>1215</v>
      </c>
      <c r="K727" s="90">
        <f>L727*F727</f>
        <v>9</v>
      </c>
      <c r="L727" s="90">
        <f>IF(E727="M"," ",H727/G727)</f>
        <v>9</v>
      </c>
      <c r="M727" s="16">
        <f>IF($E727="L",$J727,0)</f>
        <v>0</v>
      </c>
      <c r="N727" s="16">
        <f>IF($E727="M",$J727,0)</f>
        <v>0</v>
      </c>
      <c r="O727" s="16">
        <f>IF($E727="P",$J727,0)</f>
        <v>1215</v>
      </c>
      <c r="P727" s="16">
        <f>IF($E727="S",$J727,0)</f>
        <v>0</v>
      </c>
      <c r="Q727" s="16">
        <f>SUM(M727:P727)</f>
        <v>1215</v>
      </c>
      <c r="R727" s="118">
        <v>22</v>
      </c>
    </row>
    <row r="728" spans="1:25" outlineLevel="1" x14ac:dyDescent="0.5">
      <c r="A728" s="131" t="s">
        <v>448</v>
      </c>
      <c r="B728" s="14">
        <v>3</v>
      </c>
      <c r="C728" s="15" t="s">
        <v>7</v>
      </c>
      <c r="D728" s="44" t="str">
        <f>VLOOKUP(Estimate!$C728,Resources!$B$3:$G$336,4,FALSE)</f>
        <v xml:space="preserve">hr   </v>
      </c>
      <c r="E728" s="44" t="str">
        <f>VLOOKUP(Estimate!$C728,Resources!$B$3:$G$336,3,FALSE)</f>
        <v>L</v>
      </c>
      <c r="F728" s="52">
        <v>3</v>
      </c>
      <c r="G728" s="12">
        <v>1</v>
      </c>
      <c r="H728" s="12">
        <f>H727/2</f>
        <v>4.5</v>
      </c>
      <c r="I728" s="12">
        <f>VLOOKUP(C728,Resources!$B$3:$G$336,6,FALSE)</f>
        <v>38</v>
      </c>
      <c r="J728" s="12">
        <f>(H728/(G728/F728))*I728</f>
        <v>513</v>
      </c>
      <c r="K728" s="90">
        <f>L728*F728</f>
        <v>13.5</v>
      </c>
      <c r="L728" s="90">
        <f>IF(E728="M"," ",H728/G728)</f>
        <v>4.5</v>
      </c>
      <c r="M728" s="16">
        <f>IF($E728="L",$J728,0)</f>
        <v>513</v>
      </c>
      <c r="N728" s="16">
        <f>IF($E728="M",$J728,0)</f>
        <v>0</v>
      </c>
      <c r="O728" s="16">
        <f>IF($E728="P",$J728,0)</f>
        <v>0</v>
      </c>
      <c r="P728" s="16">
        <f>IF($E728="S",$J728,0)</f>
        <v>0</v>
      </c>
      <c r="Q728" s="16">
        <f>SUM(M728:P728)</f>
        <v>513</v>
      </c>
      <c r="R728" s="118">
        <v>22</v>
      </c>
    </row>
    <row r="729" spans="1:25" outlineLevel="1" x14ac:dyDescent="0.5">
      <c r="A729" s="131" t="s">
        <v>448</v>
      </c>
      <c r="B729" s="14">
        <v>4</v>
      </c>
      <c r="C729" s="15" t="s">
        <v>56</v>
      </c>
      <c r="D729" s="44" t="str">
        <f>VLOOKUP(Estimate!$C729,Resources!$B$3:$G$336,4,FALSE)</f>
        <v xml:space="preserve">Item </v>
      </c>
      <c r="E729" s="44" t="str">
        <f>VLOOKUP(Estimate!$C729,Resources!$B$3:$G$336,3,FALSE)</f>
        <v>S</v>
      </c>
      <c r="F729" s="52">
        <v>1</v>
      </c>
      <c r="G729" s="12">
        <f>1847*6</f>
        <v>11082</v>
      </c>
      <c r="H729" s="12">
        <v>1847</v>
      </c>
      <c r="I729" s="12">
        <f>VLOOKUP(C729,Resources!$B$3:$G$336,6,FALSE)</f>
        <v>6000</v>
      </c>
      <c r="J729" s="12">
        <f>(H729/(G729/F729))*I729</f>
        <v>1000</v>
      </c>
      <c r="K729" s="90">
        <f>L729*F729</f>
        <v>0.16666666666666666</v>
      </c>
      <c r="L729" s="90">
        <f>IF(E729="M"," ",H729/G729)</f>
        <v>0.16666666666666666</v>
      </c>
      <c r="M729" s="16">
        <f>IF($E729="L",$J729,0)</f>
        <v>0</v>
      </c>
      <c r="N729" s="16">
        <f>IF($E729="M",$J729,0)</f>
        <v>0</v>
      </c>
      <c r="O729" s="16">
        <f>IF($E729="P",$J729,0)</f>
        <v>0</v>
      </c>
      <c r="P729" s="16">
        <f>IF($E729="S",$J729,0)</f>
        <v>1000</v>
      </c>
      <c r="Q729" s="16">
        <f>SUM(M729:P729)</f>
        <v>1000</v>
      </c>
      <c r="R729" s="118">
        <v>23</v>
      </c>
    </row>
    <row r="730" spans="1:25" s="22" customFormat="1" outlineLevel="1" x14ac:dyDescent="0.5">
      <c r="A730" s="133" t="s">
        <v>448</v>
      </c>
      <c r="B730" s="18"/>
      <c r="C730" s="19"/>
      <c r="D730" s="46"/>
      <c r="E730" s="46"/>
      <c r="F730" s="54"/>
      <c r="G730" s="20"/>
      <c r="H730" s="20"/>
      <c r="I730" s="20"/>
      <c r="J730" s="20"/>
      <c r="K730" s="92"/>
      <c r="L730" s="92"/>
      <c r="M730" s="21"/>
      <c r="N730" s="21"/>
      <c r="O730" s="21"/>
      <c r="P730" s="21"/>
      <c r="Q730" s="21"/>
      <c r="R730" s="120"/>
    </row>
    <row r="731" spans="1:25" x14ac:dyDescent="0.5">
      <c r="A731" s="130">
        <v>160</v>
      </c>
      <c r="B731" s="7" t="s">
        <v>464</v>
      </c>
      <c r="C731" s="7" t="s">
        <v>465</v>
      </c>
      <c r="D731" s="8" t="s">
        <v>451</v>
      </c>
      <c r="E731" s="43"/>
      <c r="F731" s="51"/>
      <c r="G731" s="9"/>
      <c r="H731" s="129">
        <f>VLOOKUP($A731,'Model Inputs'!$A:$D,4)</f>
        <v>1</v>
      </c>
      <c r="I731" s="9"/>
      <c r="J731" s="9"/>
      <c r="K731" s="89"/>
      <c r="L731" s="89"/>
      <c r="M731" s="9"/>
      <c r="N731" s="9"/>
      <c r="O731" s="9"/>
      <c r="P731" s="9"/>
      <c r="Q731" s="9"/>
      <c r="R731" s="43"/>
    </row>
    <row r="732" spans="1:25" x14ac:dyDescent="0.5">
      <c r="A732" s="130">
        <v>161</v>
      </c>
      <c r="B732" s="7" t="s">
        <v>466</v>
      </c>
      <c r="C732" s="7" t="s">
        <v>467</v>
      </c>
      <c r="D732" s="8" t="s">
        <v>72</v>
      </c>
      <c r="E732" s="43"/>
      <c r="F732" s="51"/>
      <c r="G732" s="9"/>
      <c r="H732" s="129">
        <f>VLOOKUP($A732,'Model Inputs'!$A:$D,4)</f>
        <v>0</v>
      </c>
      <c r="I732" s="9"/>
      <c r="J732" s="9">
        <f>SUBTOTAL(9,J734:J743)</f>
        <v>0</v>
      </c>
      <c r="K732" s="89"/>
      <c r="L732" s="89">
        <f>MAX(L734:L743)/workhrs</f>
        <v>0</v>
      </c>
      <c r="M732" s="9">
        <f>SUBTOTAL(9,M734:M743)</f>
        <v>0</v>
      </c>
      <c r="N732" s="9">
        <f t="shared" ref="N732:Q732" si="60">SUBTOTAL(9,N734:N743)</f>
        <v>0</v>
      </c>
      <c r="O732" s="9">
        <f t="shared" si="60"/>
        <v>0</v>
      </c>
      <c r="P732" s="9">
        <f t="shared" si="60"/>
        <v>0</v>
      </c>
      <c r="Q732" s="9">
        <f t="shared" si="60"/>
        <v>0</v>
      </c>
      <c r="R732" s="43"/>
    </row>
    <row r="733" spans="1:25" outlineLevel="1" x14ac:dyDescent="0.5">
      <c r="A733" s="132" t="s">
        <v>448</v>
      </c>
      <c r="B733" s="1">
        <v>1</v>
      </c>
      <c r="C733" s="2" t="s">
        <v>911</v>
      </c>
      <c r="D733" s="1"/>
      <c r="E733" s="45"/>
      <c r="F733" s="53"/>
      <c r="G733" s="11"/>
      <c r="H733" s="11"/>
      <c r="I733" s="11"/>
      <c r="J733" s="11"/>
      <c r="K733" s="91"/>
      <c r="L733" s="91"/>
      <c r="M733" s="13"/>
      <c r="N733" s="13"/>
      <c r="O733" s="13"/>
      <c r="P733" s="13"/>
      <c r="Q733" s="13"/>
      <c r="R733" s="119"/>
    </row>
    <row r="734" spans="1:25" outlineLevel="1" x14ac:dyDescent="0.5">
      <c r="A734" s="131">
        <v>161.1</v>
      </c>
      <c r="B734" s="14">
        <v>2</v>
      </c>
      <c r="C734" s="15" t="s">
        <v>101</v>
      </c>
      <c r="D734" s="44" t="str">
        <f>VLOOKUP(Estimate!$C734,Resources!$B$3:$G$336,4,FALSE)</f>
        <v xml:space="preserve">hr   </v>
      </c>
      <c r="E734" s="44" t="str">
        <f>VLOOKUP(Estimate!$C734,Resources!$B$3:$G$336,3,FALSE)</f>
        <v>P</v>
      </c>
      <c r="F734" s="52">
        <v>1</v>
      </c>
      <c r="G734" s="129">
        <f>VLOOKUP($A734,'Model Inputs'!$A:$D,4)</f>
        <v>133.333</v>
      </c>
      <c r="H734" s="12">
        <f>H732</f>
        <v>0</v>
      </c>
      <c r="I734" s="12">
        <f>VLOOKUP(C734,Resources!$B$3:$G$336,6,FALSE)</f>
        <v>185</v>
      </c>
      <c r="J734" s="12">
        <f>(H734/(G734/F734))*I734</f>
        <v>0</v>
      </c>
      <c r="K734" s="90">
        <f>L734*F734</f>
        <v>0</v>
      </c>
      <c r="L734" s="90">
        <f>IF(E734="M"," ",H734/G734)</f>
        <v>0</v>
      </c>
      <c r="M734" s="16">
        <f>IF($E734="L",$J734,0)</f>
        <v>0</v>
      </c>
      <c r="N734" s="16">
        <f>IF($E734="M",$J734,0)</f>
        <v>0</v>
      </c>
      <c r="O734" s="16">
        <f>IF($E734="P",$J734,0)</f>
        <v>0</v>
      </c>
      <c r="P734" s="16">
        <f>IF($E734="S",$J734,0)</f>
        <v>0</v>
      </c>
      <c r="Q734" s="16">
        <f>SUM(M734:P734)</f>
        <v>0</v>
      </c>
      <c r="R734" s="118">
        <v>52</v>
      </c>
    </row>
    <row r="735" spans="1:25" outlineLevel="1" x14ac:dyDescent="0.5">
      <c r="A735" s="132" t="s">
        <v>448</v>
      </c>
      <c r="B735" s="1">
        <v>3</v>
      </c>
      <c r="C735" s="2" t="s">
        <v>655</v>
      </c>
      <c r="D735" s="1"/>
      <c r="E735" s="45"/>
      <c r="F735" s="53"/>
      <c r="G735" s="11"/>
      <c r="H735" s="11"/>
      <c r="I735" s="11"/>
      <c r="J735" s="11"/>
      <c r="K735" s="91"/>
      <c r="L735" s="91"/>
      <c r="M735" s="13"/>
      <c r="N735" s="13"/>
      <c r="O735" s="13"/>
      <c r="P735" s="13"/>
      <c r="Q735" s="13"/>
      <c r="R735" s="119"/>
    </row>
    <row r="736" spans="1:25" outlineLevel="1" x14ac:dyDescent="0.5">
      <c r="A736" s="131">
        <v>161.19999999999999</v>
      </c>
      <c r="B736" s="14">
        <v>4</v>
      </c>
      <c r="C736" s="15" t="s">
        <v>55</v>
      </c>
      <c r="D736" s="44" t="str">
        <f>VLOOKUP(Estimate!$C736,Resources!$B$3:$G$336,4,FALSE)</f>
        <v xml:space="preserve">hr   </v>
      </c>
      <c r="E736" s="44" t="str">
        <f>VLOOKUP(Estimate!$C736,Resources!$B$3:$G$336,3,FALSE)</f>
        <v>P</v>
      </c>
      <c r="F736" s="52">
        <v>1</v>
      </c>
      <c r="G736" s="129">
        <f>VLOOKUP($A736,'Model Inputs'!$A:$D,4)</f>
        <v>88.888999999999996</v>
      </c>
      <c r="H736" s="12">
        <f>H732</f>
        <v>0</v>
      </c>
      <c r="I736" s="12">
        <f>VLOOKUP(C736,Resources!$B$3:$G$336,6,FALSE)</f>
        <v>135</v>
      </c>
      <c r="J736" s="12">
        <f>(H736/(G736/F736))*I736</f>
        <v>0</v>
      </c>
      <c r="K736" s="90">
        <f>L736*F736</f>
        <v>0</v>
      </c>
      <c r="L736" s="90">
        <f>IF(E736="M"," ",H736/G736)</f>
        <v>0</v>
      </c>
      <c r="M736" s="16">
        <f>IF($E736="L",$J736,0)</f>
        <v>0</v>
      </c>
      <c r="N736" s="16">
        <f>IF($E736="M",$J736,0)</f>
        <v>0</v>
      </c>
      <c r="O736" s="16">
        <f>IF($E736="P",$J736,0)</f>
        <v>0</v>
      </c>
      <c r="P736" s="16">
        <f>IF($E736="S",$J736,0)</f>
        <v>0</v>
      </c>
      <c r="Q736" s="16">
        <f>SUM(M736:P736)</f>
        <v>0</v>
      </c>
      <c r="R736" s="118">
        <v>52</v>
      </c>
    </row>
    <row r="737" spans="1:75" outlineLevel="1" x14ac:dyDescent="0.5">
      <c r="A737" s="131" t="s">
        <v>448</v>
      </c>
      <c r="B737" s="14">
        <v>5</v>
      </c>
      <c r="C737" s="15" t="s">
        <v>102</v>
      </c>
      <c r="D737" s="44" t="str">
        <f>VLOOKUP(Estimate!$C737,Resources!$B$3:$G$336,4,FALSE)</f>
        <v xml:space="preserve">hr   </v>
      </c>
      <c r="E737" s="44" t="str">
        <f>VLOOKUP(Estimate!$C737,Resources!$B$3:$G$336,3,FALSE)</f>
        <v>P</v>
      </c>
      <c r="F737" s="52">
        <v>3</v>
      </c>
      <c r="G737" s="12">
        <f>G736</f>
        <v>88.888999999999996</v>
      </c>
      <c r="H737" s="12">
        <f>H732</f>
        <v>0</v>
      </c>
      <c r="I737" s="12">
        <f>VLOOKUP(C737,Resources!$B$3:$G$336,6,FALSE)</f>
        <v>145</v>
      </c>
      <c r="J737" s="12">
        <f>(H737/(G737/F737))*I737</f>
        <v>0</v>
      </c>
      <c r="K737" s="90">
        <f>L737*F737</f>
        <v>0</v>
      </c>
      <c r="L737" s="90">
        <f>IF(E737="M"," ",H737/G737)</f>
        <v>0</v>
      </c>
      <c r="M737" s="16">
        <f>IF($E737="L",$J737,0)</f>
        <v>0</v>
      </c>
      <c r="N737" s="16">
        <f>IF($E737="M",$J737,0)</f>
        <v>0</v>
      </c>
      <c r="O737" s="16">
        <f>IF($E737="P",$J737,0)</f>
        <v>0</v>
      </c>
      <c r="P737" s="16">
        <f>IF($E737="S",$J737,0)</f>
        <v>0</v>
      </c>
      <c r="Q737" s="16">
        <f>SUM(M737:P737)</f>
        <v>0</v>
      </c>
      <c r="R737" s="118">
        <v>52</v>
      </c>
    </row>
    <row r="738" spans="1:75" outlineLevel="1" x14ac:dyDescent="0.5">
      <c r="A738" s="132" t="s">
        <v>448</v>
      </c>
      <c r="B738" s="1">
        <v>6</v>
      </c>
      <c r="C738" s="2" t="s">
        <v>656</v>
      </c>
      <c r="D738" s="1"/>
      <c r="E738" s="45"/>
      <c r="F738" s="53"/>
      <c r="G738" s="11"/>
      <c r="H738" s="11"/>
      <c r="I738" s="11"/>
      <c r="J738" s="11"/>
      <c r="K738" s="91"/>
      <c r="L738" s="91"/>
      <c r="M738" s="13"/>
      <c r="N738" s="13"/>
      <c r="O738" s="13"/>
      <c r="P738" s="13"/>
      <c r="Q738" s="13"/>
      <c r="R738" s="119"/>
    </row>
    <row r="739" spans="1:75" outlineLevel="1" x14ac:dyDescent="0.5">
      <c r="A739" s="131" t="s">
        <v>448</v>
      </c>
      <c r="B739" s="14">
        <v>7</v>
      </c>
      <c r="C739" s="15" t="s">
        <v>96</v>
      </c>
      <c r="D739" s="44" t="str">
        <f>VLOOKUP(Estimate!$C739,Resources!$B$3:$G$336,4,FALSE)</f>
        <v xml:space="preserve">hr   </v>
      </c>
      <c r="E739" s="44" t="str">
        <f>VLOOKUP(Estimate!$C739,Resources!$B$3:$G$336,3,FALSE)</f>
        <v>P</v>
      </c>
      <c r="F739" s="52">
        <v>1</v>
      </c>
      <c r="G739" s="12">
        <f>G736</f>
        <v>88.888999999999996</v>
      </c>
      <c r="H739" s="12">
        <f>H732</f>
        <v>0</v>
      </c>
      <c r="I739" s="12">
        <f>VLOOKUP(C739,Resources!$B$3:$G$336,6,FALSE)</f>
        <v>145</v>
      </c>
      <c r="J739" s="12">
        <f>(H739/(G739/F739))*I739</f>
        <v>0</v>
      </c>
      <c r="K739" s="90">
        <f>L739*F739</f>
        <v>0</v>
      </c>
      <c r="L739" s="90">
        <f>IF(E739="M"," ",H739/G739)</f>
        <v>0</v>
      </c>
      <c r="M739" s="16">
        <f>IF($E739="L",$J739,0)</f>
        <v>0</v>
      </c>
      <c r="N739" s="16">
        <f>IF($E739="M",$J739,0)</f>
        <v>0</v>
      </c>
      <c r="O739" s="16">
        <f>IF($E739="P",$J739,0)</f>
        <v>0</v>
      </c>
      <c r="P739" s="16">
        <f>IF($E739="S",$J739,0)</f>
        <v>0</v>
      </c>
      <c r="Q739" s="16">
        <f>SUM(M739:P739)</f>
        <v>0</v>
      </c>
      <c r="R739" s="118">
        <v>52</v>
      </c>
    </row>
    <row r="740" spans="1:75" outlineLevel="1" x14ac:dyDescent="0.5">
      <c r="A740" s="131" t="s">
        <v>448</v>
      </c>
      <c r="B740" s="14">
        <v>8</v>
      </c>
      <c r="C740" s="15" t="s">
        <v>60</v>
      </c>
      <c r="D740" s="44" t="str">
        <f>VLOOKUP(Estimate!$C740,Resources!$B$3:$G$336,4,FALSE)</f>
        <v xml:space="preserve">hr   </v>
      </c>
      <c r="E740" s="44" t="str">
        <f>VLOOKUP(Estimate!$C740,Resources!$B$3:$G$336,3,FALSE)</f>
        <v>P</v>
      </c>
      <c r="F740" s="52">
        <v>1</v>
      </c>
      <c r="G740" s="12">
        <f>G736</f>
        <v>88.888999999999996</v>
      </c>
      <c r="H740" s="12">
        <f>H732</f>
        <v>0</v>
      </c>
      <c r="I740" s="12">
        <f>VLOOKUP(C740,Resources!$B$3:$G$336,6,FALSE)</f>
        <v>95</v>
      </c>
      <c r="J740" s="12">
        <f>(H740/(G740/F740))*I740</f>
        <v>0</v>
      </c>
      <c r="K740" s="90">
        <f>L740*F740</f>
        <v>0</v>
      </c>
      <c r="L740" s="90">
        <f>IF(E740="M"," ",H740/G740)</f>
        <v>0</v>
      </c>
      <c r="M740" s="16">
        <f>IF($E740="L",$J740,0)</f>
        <v>0</v>
      </c>
      <c r="N740" s="16">
        <f>IF($E740="M",$J740,0)</f>
        <v>0</v>
      </c>
      <c r="O740" s="16">
        <f>IF($E740="P",$J740,0)</f>
        <v>0</v>
      </c>
      <c r="P740" s="16">
        <f>IF($E740="S",$J740,0)</f>
        <v>0</v>
      </c>
      <c r="Q740" s="16">
        <f>SUM(M740:P740)</f>
        <v>0</v>
      </c>
      <c r="R740" s="118">
        <v>52</v>
      </c>
    </row>
    <row r="741" spans="1:75" outlineLevel="1" x14ac:dyDescent="0.5">
      <c r="A741" s="131" t="s">
        <v>448</v>
      </c>
      <c r="B741" s="14">
        <v>9</v>
      </c>
      <c r="C741" s="15" t="s">
        <v>830</v>
      </c>
      <c r="D741" s="44" t="str">
        <f>VLOOKUP(Estimate!$C741,Resources!$B$3:$G$336,4,FALSE)</f>
        <v xml:space="preserve">hr   </v>
      </c>
      <c r="E741" s="44" t="str">
        <f>VLOOKUP(Estimate!$C741,Resources!$B$3:$G$336,3,FALSE)</f>
        <v>P</v>
      </c>
      <c r="F741" s="52">
        <v>1</v>
      </c>
      <c r="G741" s="12">
        <f>G736</f>
        <v>88.888999999999996</v>
      </c>
      <c r="H741" s="12">
        <f>H732</f>
        <v>0</v>
      </c>
      <c r="I741" s="12">
        <f>VLOOKUP(C741,Resources!$B$3:$G$336,6,FALSE)</f>
        <v>58</v>
      </c>
      <c r="J741" s="12">
        <f>(H741/(G741/F741))*I741</f>
        <v>0</v>
      </c>
      <c r="K741" s="90">
        <f>L741*F741</f>
        <v>0</v>
      </c>
      <c r="L741" s="90">
        <f>IF(E741="M"," ",H741/G741)</f>
        <v>0</v>
      </c>
      <c r="M741" s="16">
        <f>IF($E741="L",$J741,0)</f>
        <v>0</v>
      </c>
      <c r="N741" s="16">
        <f>IF($E741="M",$J741,0)</f>
        <v>0</v>
      </c>
      <c r="O741" s="16">
        <f>IF($E741="P",$J741,0)</f>
        <v>0</v>
      </c>
      <c r="P741" s="16">
        <f>IF($E741="S",$J741,0)</f>
        <v>0</v>
      </c>
      <c r="Q741" s="16">
        <f>SUM(M741:P741)</f>
        <v>0</v>
      </c>
      <c r="R741" s="118">
        <v>52</v>
      </c>
    </row>
    <row r="742" spans="1:75" outlineLevel="1" x14ac:dyDescent="0.5">
      <c r="A742" s="131" t="s">
        <v>448</v>
      </c>
      <c r="B742" s="14">
        <v>10</v>
      </c>
      <c r="C742" s="15" t="s">
        <v>7</v>
      </c>
      <c r="D742" s="44" t="str">
        <f>VLOOKUP(Estimate!$C742,Resources!$B$3:$G$336,4,FALSE)</f>
        <v xml:space="preserve">hr   </v>
      </c>
      <c r="E742" s="44" t="str">
        <f>VLOOKUP(Estimate!$C742,Resources!$B$3:$G$336,3,FALSE)</f>
        <v>L</v>
      </c>
      <c r="F742" s="52">
        <v>3</v>
      </c>
      <c r="G742" s="12">
        <f>G736</f>
        <v>88.888999999999996</v>
      </c>
      <c r="H742" s="12">
        <f>H732</f>
        <v>0</v>
      </c>
      <c r="I742" s="12">
        <f>VLOOKUP(C742,Resources!$B$3:$G$336,6,FALSE)</f>
        <v>38</v>
      </c>
      <c r="J742" s="12">
        <f>(H742/(G742/F742))*I742</f>
        <v>0</v>
      </c>
      <c r="K742" s="90">
        <f>L742*F742</f>
        <v>0</v>
      </c>
      <c r="L742" s="90">
        <f>IF(E742="M"," ",H742/G742)</f>
        <v>0</v>
      </c>
      <c r="M742" s="16">
        <f>IF($E742="L",$J742,0)</f>
        <v>0</v>
      </c>
      <c r="N742" s="16">
        <f>IF($E742="M",$J742,0)</f>
        <v>0</v>
      </c>
      <c r="O742" s="16">
        <f>IF($E742="P",$J742,0)</f>
        <v>0</v>
      </c>
      <c r="P742" s="16">
        <f>IF($E742="S",$J742,0)</f>
        <v>0</v>
      </c>
      <c r="Q742" s="16">
        <f>SUM(M742:P742)</f>
        <v>0</v>
      </c>
      <c r="R742" s="118">
        <v>52</v>
      </c>
    </row>
    <row r="743" spans="1:75" outlineLevel="1" x14ac:dyDescent="0.5">
      <c r="A743" s="131" t="s">
        <v>448</v>
      </c>
      <c r="B743" s="14">
        <v>11</v>
      </c>
      <c r="C743" s="15" t="s">
        <v>49</v>
      </c>
      <c r="D743" s="44" t="str">
        <f>VLOOKUP(Estimate!$C743,Resources!$B$3:$G$336,4,FALSE)</f>
        <v xml:space="preserve">hr   </v>
      </c>
      <c r="E743" s="44" t="str">
        <f>VLOOKUP(Estimate!$C743,Resources!$B$3:$G$336,3,FALSE)</f>
        <v>P</v>
      </c>
      <c r="F743" s="52">
        <v>1</v>
      </c>
      <c r="G743" s="12">
        <f>G736</f>
        <v>88.888999999999996</v>
      </c>
      <c r="H743" s="12">
        <f>H732</f>
        <v>0</v>
      </c>
      <c r="I743" s="12">
        <f>VLOOKUP(C743,Resources!$B$3:$G$336,6,FALSE)</f>
        <v>95</v>
      </c>
      <c r="J743" s="12">
        <f>(H743/(G743/F743))*I743</f>
        <v>0</v>
      </c>
      <c r="K743" s="90">
        <f>L743*F743</f>
        <v>0</v>
      </c>
      <c r="L743" s="90">
        <f>IF(E743="M"," ",H743/G743)</f>
        <v>0</v>
      </c>
      <c r="M743" s="16">
        <f>IF($E743="L",$J743,0)</f>
        <v>0</v>
      </c>
      <c r="N743" s="16">
        <f>IF($E743="M",$J743,0)</f>
        <v>0</v>
      </c>
      <c r="O743" s="16">
        <f>IF($E743="P",$J743,0)</f>
        <v>0</v>
      </c>
      <c r="P743" s="16">
        <f>IF($E743="S",$J743,0)</f>
        <v>0</v>
      </c>
      <c r="Q743" s="16">
        <f>SUM(M743:P743)</f>
        <v>0</v>
      </c>
      <c r="R743" s="118">
        <v>52</v>
      </c>
    </row>
    <row r="744" spans="1:75" customFormat="1" ht="14.25" customHeight="1" x14ac:dyDescent="0.65">
      <c r="A744" s="47" t="s">
        <v>448</v>
      </c>
      <c r="B744" s="30"/>
      <c r="C744" s="31"/>
      <c r="D744" s="55"/>
      <c r="E744" s="47"/>
      <c r="F744" s="56"/>
      <c r="G744" s="56"/>
      <c r="H744" s="32"/>
      <c r="I744" s="32"/>
      <c r="J744" s="32"/>
      <c r="K744" s="32"/>
      <c r="L744" s="32"/>
      <c r="M744" s="33"/>
      <c r="N744" s="33"/>
      <c r="O744" s="33"/>
      <c r="P744" s="93"/>
      <c r="Q744" s="93"/>
      <c r="R744" s="122"/>
      <c r="S744" s="33"/>
      <c r="T744" s="34"/>
      <c r="BW744" s="28"/>
    </row>
    <row r="745" spans="1:75" ht="21" x14ac:dyDescent="0.5">
      <c r="A745" s="130">
        <v>162</v>
      </c>
      <c r="B745" s="7" t="s">
        <v>449</v>
      </c>
      <c r="C745" s="7" t="s">
        <v>450</v>
      </c>
      <c r="D745" s="8"/>
      <c r="E745" s="43"/>
      <c r="F745" s="51" t="s">
        <v>451</v>
      </c>
      <c r="G745" s="9"/>
      <c r="H745" s="129">
        <f>VLOOKUP($A745,'Model Inputs'!$A:$D,4)</f>
        <v>1</v>
      </c>
      <c r="I745" s="9"/>
      <c r="J745" s="9">
        <f>SUBTOTAL(9,J748:J789)</f>
        <v>4551.3451757793064</v>
      </c>
      <c r="K745" s="89"/>
      <c r="L745" s="89">
        <f>SUM(L746,L759,L765,L772,L779)</f>
        <v>0.23637738796496033</v>
      </c>
      <c r="M745" s="9">
        <f>SUBTOTAL(9,M748:M789)</f>
        <v>207.41843814728739</v>
      </c>
      <c r="N745" s="9">
        <f t="shared" ref="N745:Q745" si="61">SUBTOTAL(9,N748:N789)</f>
        <v>840.06625000000008</v>
      </c>
      <c r="O745" s="9">
        <f t="shared" si="61"/>
        <v>1164.8454876320191</v>
      </c>
      <c r="P745" s="9">
        <f t="shared" si="61"/>
        <v>2339.0149999999999</v>
      </c>
      <c r="Q745" s="9">
        <f t="shared" si="61"/>
        <v>4551.3451757793064</v>
      </c>
      <c r="R745" s="117"/>
    </row>
    <row r="746" spans="1:75" x14ac:dyDescent="0.5">
      <c r="A746" s="130">
        <v>163</v>
      </c>
      <c r="B746" s="7" t="s">
        <v>452</v>
      </c>
      <c r="C746" s="7" t="s">
        <v>453</v>
      </c>
      <c r="D746" s="8" t="s">
        <v>72</v>
      </c>
      <c r="E746" s="43"/>
      <c r="F746" s="51"/>
      <c r="G746" s="9"/>
      <c r="H746" s="129">
        <f>VLOOKUP($A746,'Model Inputs'!$A:$D,4)</f>
        <v>62</v>
      </c>
      <c r="I746" s="9"/>
      <c r="J746" s="9">
        <f>SUBTOTAL(9,J748:J757)</f>
        <v>837.23177605483636</v>
      </c>
      <c r="K746" s="89"/>
      <c r="L746" s="89">
        <f>MAX(L748:L757)/workhrs</f>
        <v>7.7499903125121089E-2</v>
      </c>
      <c r="M746" s="9">
        <f>SUBTOTAL(9,M748:M757)</f>
        <v>79.514900606374241</v>
      </c>
      <c r="N746" s="9">
        <f t="shared" ref="N746:Q746" si="62">SUBTOTAL(9,N748:N757)</f>
        <v>0</v>
      </c>
      <c r="O746" s="9">
        <f t="shared" si="62"/>
        <v>757.71687544846213</v>
      </c>
      <c r="P746" s="9">
        <f t="shared" si="62"/>
        <v>0</v>
      </c>
      <c r="Q746" s="9">
        <f t="shared" si="62"/>
        <v>837.23177605483636</v>
      </c>
      <c r="R746" s="117"/>
    </row>
    <row r="747" spans="1:75" outlineLevel="1" x14ac:dyDescent="0.5">
      <c r="A747" s="132" t="s">
        <v>448</v>
      </c>
      <c r="B747" s="1">
        <v>1</v>
      </c>
      <c r="C747" s="2" t="s">
        <v>911</v>
      </c>
      <c r="D747" s="1"/>
      <c r="E747" s="45"/>
      <c r="F747" s="53"/>
      <c r="G747" s="11"/>
      <c r="H747" s="11"/>
      <c r="I747" s="11"/>
      <c r="J747" s="11"/>
      <c r="K747" s="91"/>
      <c r="L747" s="91"/>
      <c r="M747" s="13"/>
      <c r="N747" s="13"/>
      <c r="O747" s="13"/>
      <c r="P747" s="13"/>
      <c r="Q747" s="13"/>
      <c r="R747" s="119"/>
    </row>
    <row r="748" spans="1:75" outlineLevel="1" x14ac:dyDescent="0.5">
      <c r="A748" s="131">
        <v>163.1</v>
      </c>
      <c r="B748" s="14">
        <v>2</v>
      </c>
      <c r="C748" s="15" t="s">
        <v>101</v>
      </c>
      <c r="D748" s="44" t="str">
        <f>VLOOKUP(Estimate!$C748,Resources!$B$3:$G$336,4,FALSE)</f>
        <v xml:space="preserve">hr   </v>
      </c>
      <c r="E748" s="44" t="str">
        <f>VLOOKUP(Estimate!$C748,Resources!$B$3:$G$336,3,FALSE)</f>
        <v>P</v>
      </c>
      <c r="F748" s="52">
        <v>1</v>
      </c>
      <c r="G748" s="129">
        <f>VLOOKUP($A748,'Model Inputs'!$A:$D,4)</f>
        <v>133.333</v>
      </c>
      <c r="H748" s="12">
        <f>H746</f>
        <v>62</v>
      </c>
      <c r="I748" s="12">
        <f>VLOOKUP(C748,Resources!$B$3:$G$336,6,FALSE)</f>
        <v>185</v>
      </c>
      <c r="J748" s="12">
        <f>(H748/(G748/F748))*I748</f>
        <v>86.025215063037649</v>
      </c>
      <c r="K748" s="90">
        <f>L748*F748</f>
        <v>0.46500116250290624</v>
      </c>
      <c r="L748" s="90">
        <f>IF(E748="M"," ",H748/G748)</f>
        <v>0.46500116250290624</v>
      </c>
      <c r="M748" s="16">
        <f>IF($E748="L",$J748,0)</f>
        <v>0</v>
      </c>
      <c r="N748" s="16">
        <f>IF($E748="M",$J748,0)</f>
        <v>0</v>
      </c>
      <c r="O748" s="16">
        <f>IF($E748="P",$J748,0)</f>
        <v>86.025215063037649</v>
      </c>
      <c r="P748" s="16">
        <f>IF($E748="S",$J748,0)</f>
        <v>0</v>
      </c>
      <c r="Q748" s="16">
        <f>SUM(M748:P748)</f>
        <v>86.025215063037649</v>
      </c>
      <c r="R748" s="118">
        <v>52</v>
      </c>
    </row>
    <row r="749" spans="1:75" outlineLevel="1" x14ac:dyDescent="0.5">
      <c r="A749" s="132" t="s">
        <v>448</v>
      </c>
      <c r="B749" s="1">
        <v>3</v>
      </c>
      <c r="C749" s="2" t="s">
        <v>655</v>
      </c>
      <c r="D749" s="1"/>
      <c r="E749" s="45"/>
      <c r="F749" s="53"/>
      <c r="G749" s="11"/>
      <c r="H749" s="11"/>
      <c r="I749" s="11"/>
      <c r="J749" s="11"/>
      <c r="K749" s="91"/>
      <c r="L749" s="91"/>
      <c r="M749" s="13"/>
      <c r="N749" s="13"/>
      <c r="O749" s="13"/>
      <c r="P749" s="13"/>
      <c r="Q749" s="13"/>
      <c r="R749" s="119"/>
    </row>
    <row r="750" spans="1:75" outlineLevel="1" x14ac:dyDescent="0.5">
      <c r="A750" s="131">
        <v>163.19999999999999</v>
      </c>
      <c r="B750" s="14">
        <v>4</v>
      </c>
      <c r="C750" s="15" t="s">
        <v>55</v>
      </c>
      <c r="D750" s="44" t="str">
        <f>VLOOKUP(Estimate!$C750,Resources!$B$3:$G$336,4,FALSE)</f>
        <v xml:space="preserve">hr   </v>
      </c>
      <c r="E750" s="44" t="str">
        <f>VLOOKUP(Estimate!$C750,Resources!$B$3:$G$336,3,FALSE)</f>
        <v>P</v>
      </c>
      <c r="F750" s="52">
        <v>1</v>
      </c>
      <c r="G750" s="129">
        <f>VLOOKUP($A750,'Model Inputs'!$A:$D,4)</f>
        <v>88.888999999999996</v>
      </c>
      <c r="H750" s="12">
        <f>H746</f>
        <v>62</v>
      </c>
      <c r="I750" s="12">
        <f>VLOOKUP(C750,Resources!$B$3:$G$336,6,FALSE)</f>
        <v>135</v>
      </c>
      <c r="J750" s="12">
        <f>(H750/(G750/F750))*I750</f>
        <v>94.162382297022134</v>
      </c>
      <c r="K750" s="90">
        <f>L750*F750</f>
        <v>0.69749912812608983</v>
      </c>
      <c r="L750" s="90">
        <f>IF(E750="M"," ",H750/G750)</f>
        <v>0.69749912812608983</v>
      </c>
      <c r="M750" s="16">
        <f>IF($E750="L",$J750,0)</f>
        <v>0</v>
      </c>
      <c r="N750" s="16">
        <f>IF($E750="M",$J750,0)</f>
        <v>0</v>
      </c>
      <c r="O750" s="16">
        <f>IF($E750="P",$J750,0)</f>
        <v>94.162382297022134</v>
      </c>
      <c r="P750" s="16">
        <f>IF($E750="S",$J750,0)</f>
        <v>0</v>
      </c>
      <c r="Q750" s="16">
        <f>SUM(M750:P750)</f>
        <v>94.162382297022134</v>
      </c>
      <c r="R750" s="118">
        <v>52</v>
      </c>
    </row>
    <row r="751" spans="1:75" outlineLevel="1" x14ac:dyDescent="0.5">
      <c r="A751" s="131" t="s">
        <v>448</v>
      </c>
      <c r="B751" s="14">
        <v>5</v>
      </c>
      <c r="C751" s="15" t="s">
        <v>102</v>
      </c>
      <c r="D751" s="44" t="str">
        <f>VLOOKUP(Estimate!$C751,Resources!$B$3:$G$336,4,FALSE)</f>
        <v xml:space="preserve">hr   </v>
      </c>
      <c r="E751" s="44" t="str">
        <f>VLOOKUP(Estimate!$C751,Resources!$B$3:$G$336,3,FALSE)</f>
        <v>P</v>
      </c>
      <c r="F751" s="52">
        <v>3</v>
      </c>
      <c r="G751" s="12">
        <f>G750</f>
        <v>88.888999999999996</v>
      </c>
      <c r="H751" s="12">
        <f>H746</f>
        <v>62</v>
      </c>
      <c r="I751" s="12">
        <f>VLOOKUP(C751,Resources!$B$3:$G$336,6,FALSE)</f>
        <v>145</v>
      </c>
      <c r="J751" s="12">
        <f>(H751/(G751/F751))*I751</f>
        <v>303.41212073484905</v>
      </c>
      <c r="K751" s="90">
        <f>L751*F751</f>
        <v>2.0924973843782695</v>
      </c>
      <c r="L751" s="90">
        <f>IF(E751="M"," ",H751/G751)</f>
        <v>0.69749912812608983</v>
      </c>
      <c r="M751" s="16">
        <f>IF($E751="L",$J751,0)</f>
        <v>0</v>
      </c>
      <c r="N751" s="16">
        <f>IF($E751="M",$J751,0)</f>
        <v>0</v>
      </c>
      <c r="O751" s="16">
        <f>IF($E751="P",$J751,0)</f>
        <v>303.41212073484905</v>
      </c>
      <c r="P751" s="16">
        <f>IF($E751="S",$J751,0)</f>
        <v>0</v>
      </c>
      <c r="Q751" s="16">
        <f>SUM(M751:P751)</f>
        <v>303.41212073484905</v>
      </c>
      <c r="R751" s="118">
        <v>52</v>
      </c>
    </row>
    <row r="752" spans="1:75" outlineLevel="1" x14ac:dyDescent="0.5">
      <c r="A752" s="132" t="s">
        <v>448</v>
      </c>
      <c r="B752" s="1">
        <v>6</v>
      </c>
      <c r="C752" s="2" t="s">
        <v>656</v>
      </c>
      <c r="D752" s="1"/>
      <c r="E752" s="45"/>
      <c r="F752" s="53"/>
      <c r="G752" s="11"/>
      <c r="H752" s="11"/>
      <c r="I752" s="11"/>
      <c r="J752" s="11"/>
      <c r="K752" s="91"/>
      <c r="L752" s="91"/>
      <c r="M752" s="13"/>
      <c r="N752" s="13"/>
      <c r="O752" s="13"/>
      <c r="P752" s="13"/>
      <c r="Q752" s="13"/>
      <c r="R752" s="119"/>
    </row>
    <row r="753" spans="1:75" outlineLevel="1" x14ac:dyDescent="0.5">
      <c r="A753" s="131" t="s">
        <v>448</v>
      </c>
      <c r="B753" s="14">
        <v>7</v>
      </c>
      <c r="C753" s="15" t="s">
        <v>96</v>
      </c>
      <c r="D753" s="44" t="str">
        <f>VLOOKUP(Estimate!$C753,Resources!$B$3:$G$336,4,FALSE)</f>
        <v xml:space="preserve">hr   </v>
      </c>
      <c r="E753" s="44" t="str">
        <f>VLOOKUP(Estimate!$C753,Resources!$B$3:$G$336,3,FALSE)</f>
        <v>P</v>
      </c>
      <c r="F753" s="52">
        <v>1</v>
      </c>
      <c r="G753" s="12">
        <f>G750</f>
        <v>88.888999999999996</v>
      </c>
      <c r="H753" s="12">
        <f>H746</f>
        <v>62</v>
      </c>
      <c r="I753" s="12">
        <f>VLOOKUP(C753,Resources!$B$3:$G$336,6,FALSE)</f>
        <v>145</v>
      </c>
      <c r="J753" s="12">
        <f>(H753/(G753/F753))*I753</f>
        <v>101.13737357828302</v>
      </c>
      <c r="K753" s="90">
        <f>L753*F753</f>
        <v>0.69749912812608983</v>
      </c>
      <c r="L753" s="90">
        <f>IF(E753="M"," ",H753/G753)</f>
        <v>0.69749912812608983</v>
      </c>
      <c r="M753" s="16">
        <f>IF($E753="L",$J753,0)</f>
        <v>0</v>
      </c>
      <c r="N753" s="16">
        <f>IF($E753="M",$J753,0)</f>
        <v>0</v>
      </c>
      <c r="O753" s="16">
        <f>IF($E753="P",$J753,0)</f>
        <v>101.13737357828302</v>
      </c>
      <c r="P753" s="16">
        <f>IF($E753="S",$J753,0)</f>
        <v>0</v>
      </c>
      <c r="Q753" s="16">
        <f>SUM(M753:P753)</f>
        <v>101.13737357828302</v>
      </c>
      <c r="R753" s="118">
        <v>52</v>
      </c>
    </row>
    <row r="754" spans="1:75" outlineLevel="1" x14ac:dyDescent="0.5">
      <c r="A754" s="131" t="s">
        <v>448</v>
      </c>
      <c r="B754" s="14">
        <v>8</v>
      </c>
      <c r="C754" s="15" t="s">
        <v>60</v>
      </c>
      <c r="D754" s="44" t="str">
        <f>VLOOKUP(Estimate!$C754,Resources!$B$3:$G$336,4,FALSE)</f>
        <v xml:space="preserve">hr   </v>
      </c>
      <c r="E754" s="44" t="str">
        <f>VLOOKUP(Estimate!$C754,Resources!$B$3:$G$336,3,FALSE)</f>
        <v>P</v>
      </c>
      <c r="F754" s="52">
        <v>1</v>
      </c>
      <c r="G754" s="12">
        <f>G750</f>
        <v>88.888999999999996</v>
      </c>
      <c r="H754" s="12">
        <f>H746</f>
        <v>62</v>
      </c>
      <c r="I754" s="12">
        <f>VLOOKUP(C754,Resources!$B$3:$G$336,6,FALSE)</f>
        <v>95</v>
      </c>
      <c r="J754" s="12">
        <f>(H754/(G754/F754))*I754</f>
        <v>66.262417171978541</v>
      </c>
      <c r="K754" s="90">
        <f>L754*F754</f>
        <v>0.69749912812608983</v>
      </c>
      <c r="L754" s="90">
        <f>IF(E754="M"," ",H754/G754)</f>
        <v>0.69749912812608983</v>
      </c>
      <c r="M754" s="16">
        <f>IF($E754="L",$J754,0)</f>
        <v>0</v>
      </c>
      <c r="N754" s="16">
        <f>IF($E754="M",$J754,0)</f>
        <v>0</v>
      </c>
      <c r="O754" s="16">
        <f>IF($E754="P",$J754,0)</f>
        <v>66.262417171978541</v>
      </c>
      <c r="P754" s="16">
        <f>IF($E754="S",$J754,0)</f>
        <v>0</v>
      </c>
      <c r="Q754" s="16">
        <f>SUM(M754:P754)</f>
        <v>66.262417171978541</v>
      </c>
      <c r="R754" s="118">
        <v>52</v>
      </c>
    </row>
    <row r="755" spans="1:75" outlineLevel="1" x14ac:dyDescent="0.5">
      <c r="A755" s="131" t="s">
        <v>448</v>
      </c>
      <c r="B755" s="14">
        <v>9</v>
      </c>
      <c r="C755" s="15" t="s">
        <v>830</v>
      </c>
      <c r="D755" s="44" t="str">
        <f>VLOOKUP(Estimate!$C755,Resources!$B$3:$G$336,4,FALSE)</f>
        <v xml:space="preserve">hr   </v>
      </c>
      <c r="E755" s="44" t="str">
        <f>VLOOKUP(Estimate!$C755,Resources!$B$3:$G$336,3,FALSE)</f>
        <v>P</v>
      </c>
      <c r="F755" s="52">
        <v>1</v>
      </c>
      <c r="G755" s="12">
        <f>G750</f>
        <v>88.888999999999996</v>
      </c>
      <c r="H755" s="12">
        <f>H746</f>
        <v>62</v>
      </c>
      <c r="I755" s="12">
        <f>VLOOKUP(C755,Resources!$B$3:$G$336,6,FALSE)</f>
        <v>58</v>
      </c>
      <c r="J755" s="12">
        <f>(H755/(G755/F755))*I755</f>
        <v>40.45494943131321</v>
      </c>
      <c r="K755" s="90">
        <f>L755*F755</f>
        <v>0.69749912812608983</v>
      </c>
      <c r="L755" s="90">
        <f>IF(E755="M"," ",H755/G755)</f>
        <v>0.69749912812608983</v>
      </c>
      <c r="M755" s="16">
        <f>IF($E755="L",$J755,0)</f>
        <v>0</v>
      </c>
      <c r="N755" s="16">
        <f>IF($E755="M",$J755,0)</f>
        <v>0</v>
      </c>
      <c r="O755" s="16">
        <f>IF($E755="P",$J755,0)</f>
        <v>40.45494943131321</v>
      </c>
      <c r="P755" s="16">
        <f>IF($E755="S",$J755,0)</f>
        <v>0</v>
      </c>
      <c r="Q755" s="16">
        <f>SUM(M755:P755)</f>
        <v>40.45494943131321</v>
      </c>
      <c r="R755" s="118">
        <v>52</v>
      </c>
    </row>
    <row r="756" spans="1:75" outlineLevel="1" x14ac:dyDescent="0.5">
      <c r="A756" s="131" t="s">
        <v>448</v>
      </c>
      <c r="B756" s="14">
        <v>10</v>
      </c>
      <c r="C756" s="15" t="s">
        <v>7</v>
      </c>
      <c r="D756" s="44" t="str">
        <f>VLOOKUP(Estimate!$C756,Resources!$B$3:$G$336,4,FALSE)</f>
        <v xml:space="preserve">hr   </v>
      </c>
      <c r="E756" s="44" t="str">
        <f>VLOOKUP(Estimate!$C756,Resources!$B$3:$G$336,3,FALSE)</f>
        <v>L</v>
      </c>
      <c r="F756" s="52">
        <v>3</v>
      </c>
      <c r="G756" s="12">
        <f>G750</f>
        <v>88.888999999999996</v>
      </c>
      <c r="H756" s="12">
        <f>H746</f>
        <v>62</v>
      </c>
      <c r="I756" s="12">
        <f>VLOOKUP(C756,Resources!$B$3:$G$336,6,FALSE)</f>
        <v>38</v>
      </c>
      <c r="J756" s="12">
        <f>(H756/(G756/F756))*I756</f>
        <v>79.514900606374241</v>
      </c>
      <c r="K756" s="90">
        <f>L756*F756</f>
        <v>2.0924973843782695</v>
      </c>
      <c r="L756" s="90">
        <f>IF(E756="M"," ",H756/G756)</f>
        <v>0.69749912812608983</v>
      </c>
      <c r="M756" s="16">
        <f>IF($E756="L",$J756,0)</f>
        <v>79.514900606374241</v>
      </c>
      <c r="N756" s="16">
        <f>IF($E756="M",$J756,0)</f>
        <v>0</v>
      </c>
      <c r="O756" s="16">
        <f>IF($E756="P",$J756,0)</f>
        <v>0</v>
      </c>
      <c r="P756" s="16">
        <f>IF($E756="S",$J756,0)</f>
        <v>0</v>
      </c>
      <c r="Q756" s="16">
        <f>SUM(M756:P756)</f>
        <v>79.514900606374241</v>
      </c>
      <c r="R756" s="118">
        <v>52</v>
      </c>
    </row>
    <row r="757" spans="1:75" outlineLevel="1" x14ac:dyDescent="0.5">
      <c r="A757" s="131" t="s">
        <v>448</v>
      </c>
      <c r="B757" s="14">
        <v>11</v>
      </c>
      <c r="C757" s="15" t="s">
        <v>49</v>
      </c>
      <c r="D757" s="44" t="str">
        <f>VLOOKUP(Estimate!$C757,Resources!$B$3:$G$336,4,FALSE)</f>
        <v xml:space="preserve">hr   </v>
      </c>
      <c r="E757" s="44" t="str">
        <f>VLOOKUP(Estimate!$C757,Resources!$B$3:$G$336,3,FALSE)</f>
        <v>P</v>
      </c>
      <c r="F757" s="52">
        <v>1</v>
      </c>
      <c r="G757" s="12">
        <f>G750</f>
        <v>88.888999999999996</v>
      </c>
      <c r="H757" s="12">
        <f>H746</f>
        <v>62</v>
      </c>
      <c r="I757" s="12">
        <f>VLOOKUP(C757,Resources!$B$3:$G$336,6,FALSE)</f>
        <v>95</v>
      </c>
      <c r="J757" s="12">
        <f>(H757/(G757/F757))*I757</f>
        <v>66.262417171978541</v>
      </c>
      <c r="K757" s="90">
        <f>L757*F757</f>
        <v>0.69749912812608983</v>
      </c>
      <c r="L757" s="90">
        <f>IF(E757="M"," ",H757/G757)</f>
        <v>0.69749912812608983</v>
      </c>
      <c r="M757" s="16">
        <f>IF($E757="L",$J757,0)</f>
        <v>0</v>
      </c>
      <c r="N757" s="16">
        <f>IF($E757="M",$J757,0)</f>
        <v>0</v>
      </c>
      <c r="O757" s="16">
        <f>IF($E757="P",$J757,0)</f>
        <v>66.262417171978541</v>
      </c>
      <c r="P757" s="16">
        <f>IF($E757="S",$J757,0)</f>
        <v>0</v>
      </c>
      <c r="Q757" s="16">
        <f>SUM(M757:P757)</f>
        <v>66.262417171978541</v>
      </c>
      <c r="R757" s="118">
        <v>52</v>
      </c>
    </row>
    <row r="758" spans="1:75" ht="14.25" customHeight="1" outlineLevel="1" x14ac:dyDescent="0.5">
      <c r="A758" s="132" t="s">
        <v>448</v>
      </c>
      <c r="B758" s="1"/>
      <c r="C758" s="2"/>
      <c r="D758" s="1"/>
      <c r="E758" s="45"/>
      <c r="F758" s="53"/>
      <c r="G758" s="53"/>
      <c r="H758" s="11"/>
      <c r="I758" s="11"/>
      <c r="J758" s="11"/>
      <c r="K758" s="11"/>
      <c r="L758" s="11"/>
      <c r="M758" s="11"/>
      <c r="N758" s="11"/>
      <c r="O758" s="11"/>
      <c r="P758" s="91"/>
      <c r="Q758" s="91"/>
      <c r="R758" s="121"/>
      <c r="S758" s="13"/>
      <c r="T758" s="13"/>
      <c r="U758" s="13"/>
      <c r="V758" s="13"/>
      <c r="BR758" s="3"/>
      <c r="BW758" s="83"/>
    </row>
    <row r="759" spans="1:75" x14ac:dyDescent="0.5">
      <c r="A759" s="130">
        <v>164</v>
      </c>
      <c r="B759" s="7" t="s">
        <v>454</v>
      </c>
      <c r="C759" s="7" t="s">
        <v>455</v>
      </c>
      <c r="D759" s="8" t="s">
        <v>83</v>
      </c>
      <c r="E759" s="43"/>
      <c r="F759" s="51"/>
      <c r="G759" s="9"/>
      <c r="H759" s="129">
        <f>VLOOKUP($A759,'Model Inputs'!$A:$D,4)</f>
        <v>80</v>
      </c>
      <c r="I759" s="9"/>
      <c r="J759" s="9">
        <f>SUBTOTAL(9,J760:J763)</f>
        <v>162.99682539682539</v>
      </c>
      <c r="K759" s="89"/>
      <c r="L759" s="89">
        <f>MAX(L760:L763)/workhrs</f>
        <v>5.0793650793650794E-2</v>
      </c>
      <c r="M759" s="9">
        <f>SUBTOTAL(9,M760:M763)</f>
        <v>34.74285714285714</v>
      </c>
      <c r="N759" s="9">
        <f t="shared" ref="N759:Q759" si="63">SUBTOTAL(9,N760:N763)</f>
        <v>0</v>
      </c>
      <c r="O759" s="9">
        <f t="shared" si="63"/>
        <v>128.25396825396825</v>
      </c>
      <c r="P759" s="9">
        <f t="shared" si="63"/>
        <v>0</v>
      </c>
      <c r="Q759" s="9">
        <f t="shared" si="63"/>
        <v>162.99682539682539</v>
      </c>
      <c r="R759" s="43"/>
    </row>
    <row r="760" spans="1:75" outlineLevel="1" x14ac:dyDescent="0.5">
      <c r="A760" s="131">
        <v>164.1</v>
      </c>
      <c r="B760" s="14">
        <v>1</v>
      </c>
      <c r="C760" s="15" t="s">
        <v>96</v>
      </c>
      <c r="D760" s="44" t="str">
        <f>VLOOKUP(Estimate!$C760,Resources!$B$3:$G$336,4,FALSE)</f>
        <v xml:space="preserve">hr   </v>
      </c>
      <c r="E760" s="44" t="str">
        <f>VLOOKUP(Estimate!$C760,Resources!$B$3:$G$336,3,FALSE)</f>
        <v>P</v>
      </c>
      <c r="F760" s="52">
        <v>1</v>
      </c>
      <c r="G760" s="129">
        <f>VLOOKUP($A760,'Model Inputs'!$A:$D,4)</f>
        <v>175</v>
      </c>
      <c r="H760" s="12">
        <f>H759</f>
        <v>80</v>
      </c>
      <c r="I760" s="12">
        <f>VLOOKUP(C760,Resources!$B$3:$G$336,6,FALSE)</f>
        <v>145</v>
      </c>
      <c r="J760" s="12">
        <f>(H760/(G760/F760))*I760</f>
        <v>66.285714285714278</v>
      </c>
      <c r="K760" s="90">
        <f>L760*F760</f>
        <v>0.45714285714285713</v>
      </c>
      <c r="L760" s="90">
        <f>IF(E760="M"," ",H760/G760)</f>
        <v>0.45714285714285713</v>
      </c>
      <c r="M760" s="16">
        <f>IF($E760="L",$J760,0)</f>
        <v>0</v>
      </c>
      <c r="N760" s="16">
        <f>IF($E760="M",$J760,0)</f>
        <v>0</v>
      </c>
      <c r="O760" s="16">
        <f>IF($E760="P",$J760,0)</f>
        <v>66.285714285714278</v>
      </c>
      <c r="P760" s="16">
        <f>IF($E760="S",$J760,0)</f>
        <v>0</v>
      </c>
      <c r="Q760" s="16">
        <f>SUM(M760:P760)</f>
        <v>66.285714285714278</v>
      </c>
      <c r="R760" s="118">
        <v>61</v>
      </c>
    </row>
    <row r="761" spans="1:75" outlineLevel="1" x14ac:dyDescent="0.5">
      <c r="A761" s="131" t="s">
        <v>448</v>
      </c>
      <c r="B761" s="14">
        <v>2</v>
      </c>
      <c r="C761" s="15" t="s">
        <v>110</v>
      </c>
      <c r="D761" s="44" t="str">
        <f>VLOOKUP(Estimate!$C761,Resources!$B$3:$G$336,4,FALSE)</f>
        <v xml:space="preserve">day  </v>
      </c>
      <c r="E761" s="44" t="str">
        <f>VLOOKUP(Estimate!$C761,Resources!$B$3:$G$336,3,FALSE)</f>
        <v>P</v>
      </c>
      <c r="F761" s="52">
        <v>1</v>
      </c>
      <c r="G761" s="12">
        <f>G760*9</f>
        <v>1575</v>
      </c>
      <c r="H761" s="12">
        <f>H760</f>
        <v>80</v>
      </c>
      <c r="I761" s="12">
        <f>VLOOKUP(C761,Resources!$B$3:$G$336,6,FALSE)</f>
        <v>365</v>
      </c>
      <c r="J761" s="12">
        <f>(H761/(G761/F761))*I761</f>
        <v>18.539682539682541</v>
      </c>
      <c r="K761" s="90">
        <f>L761*F761</f>
        <v>5.0793650793650794E-2</v>
      </c>
      <c r="L761" s="90">
        <f>IF(E761="M"," ",H761/G761)</f>
        <v>5.0793650793650794E-2</v>
      </c>
      <c r="M761" s="16">
        <f>IF($E761="L",$J761,0)</f>
        <v>0</v>
      </c>
      <c r="N761" s="16">
        <f>IF($E761="M",$J761,0)</f>
        <v>0</v>
      </c>
      <c r="O761" s="16">
        <f>IF($E761="P",$J761,0)</f>
        <v>18.539682539682541</v>
      </c>
      <c r="P761" s="16">
        <f>IF($E761="S",$J761,0)</f>
        <v>0</v>
      </c>
      <c r="Q761" s="16">
        <f>SUM(M761:P761)</f>
        <v>18.539682539682541</v>
      </c>
      <c r="R761" s="118">
        <v>61</v>
      </c>
    </row>
    <row r="762" spans="1:75" outlineLevel="1" x14ac:dyDescent="0.5">
      <c r="A762" s="131" t="s">
        <v>448</v>
      </c>
      <c r="B762" s="14">
        <v>3</v>
      </c>
      <c r="C762" s="15" t="s">
        <v>60</v>
      </c>
      <c r="D762" s="44" t="str">
        <f>VLOOKUP(Estimate!$C762,Resources!$B$3:$G$336,4,FALSE)</f>
        <v xml:space="preserve">hr   </v>
      </c>
      <c r="E762" s="44" t="str">
        <f>VLOOKUP(Estimate!$C762,Resources!$B$3:$G$336,3,FALSE)</f>
        <v>P</v>
      </c>
      <c r="F762" s="52">
        <v>1</v>
      </c>
      <c r="G762" s="12">
        <f>G760</f>
        <v>175</v>
      </c>
      <c r="H762" s="12">
        <f>H761</f>
        <v>80</v>
      </c>
      <c r="I762" s="12">
        <f>VLOOKUP(C762,Resources!$B$3:$G$336,6,FALSE)</f>
        <v>95</v>
      </c>
      <c r="J762" s="12">
        <f>(H762/(G762/F762))*I762</f>
        <v>43.428571428571431</v>
      </c>
      <c r="K762" s="90">
        <f>L762*F762</f>
        <v>0.45714285714285713</v>
      </c>
      <c r="L762" s="90">
        <f>IF(E762="M"," ",H762/G762)</f>
        <v>0.45714285714285713</v>
      </c>
      <c r="M762" s="16">
        <f>IF($E762="L",$J762,0)</f>
        <v>0</v>
      </c>
      <c r="N762" s="16">
        <f>IF($E762="M",$J762,0)</f>
        <v>0</v>
      </c>
      <c r="O762" s="16">
        <f>IF($E762="P",$J762,0)</f>
        <v>43.428571428571431</v>
      </c>
      <c r="P762" s="16">
        <f>IF($E762="S",$J762,0)</f>
        <v>0</v>
      </c>
      <c r="Q762" s="16">
        <f>SUM(M762:P762)</f>
        <v>43.428571428571431</v>
      </c>
      <c r="R762" s="118">
        <v>61</v>
      </c>
    </row>
    <row r="763" spans="1:75" outlineLevel="1" x14ac:dyDescent="0.5">
      <c r="A763" s="131" t="s">
        <v>448</v>
      </c>
      <c r="B763" s="14">
        <v>4</v>
      </c>
      <c r="C763" s="15" t="s">
        <v>7</v>
      </c>
      <c r="D763" s="44" t="str">
        <f>VLOOKUP(Estimate!$C763,Resources!$B$3:$G$336,4,FALSE)</f>
        <v xml:space="preserve">hr   </v>
      </c>
      <c r="E763" s="44" t="str">
        <f>VLOOKUP(Estimate!$C763,Resources!$B$3:$G$336,3,FALSE)</f>
        <v>L</v>
      </c>
      <c r="F763" s="52">
        <v>2</v>
      </c>
      <c r="G763" s="12">
        <f>G760</f>
        <v>175</v>
      </c>
      <c r="H763" s="12">
        <f>H762</f>
        <v>80</v>
      </c>
      <c r="I763" s="12">
        <f>VLOOKUP(C763,Resources!$B$3:$G$336,6,FALSE)</f>
        <v>38</v>
      </c>
      <c r="J763" s="12">
        <f>(H763/(G763/F763))*I763</f>
        <v>34.74285714285714</v>
      </c>
      <c r="K763" s="90">
        <f>L763*F763</f>
        <v>0.91428571428571426</v>
      </c>
      <c r="L763" s="90">
        <f>IF(E763="M"," ",H763/G763)</f>
        <v>0.45714285714285713</v>
      </c>
      <c r="M763" s="16">
        <f>IF($E763="L",$J763,0)</f>
        <v>34.74285714285714</v>
      </c>
      <c r="N763" s="16">
        <f>IF($E763="M",$J763,0)</f>
        <v>0</v>
      </c>
      <c r="O763" s="16">
        <f>IF($E763="P",$J763,0)</f>
        <v>0</v>
      </c>
      <c r="P763" s="16">
        <f>IF($E763="S",$J763,0)</f>
        <v>0</v>
      </c>
      <c r="Q763" s="16">
        <f>SUM(M763:P763)</f>
        <v>34.74285714285714</v>
      </c>
      <c r="R763" s="118">
        <v>61</v>
      </c>
    </row>
    <row r="764" spans="1:75" ht="14.25" customHeight="1" outlineLevel="1" x14ac:dyDescent="0.5">
      <c r="A764" s="132" t="s">
        <v>448</v>
      </c>
      <c r="B764" s="1"/>
      <c r="C764" s="2"/>
      <c r="D764" s="1"/>
      <c r="E764" s="45"/>
      <c r="F764" s="53"/>
      <c r="G764" s="53"/>
      <c r="H764" s="11"/>
      <c r="I764" s="11"/>
      <c r="J764" s="11"/>
      <c r="K764" s="11"/>
      <c r="L764" s="11"/>
      <c r="M764" s="11"/>
      <c r="N764" s="11"/>
      <c r="O764" s="11"/>
      <c r="P764" s="91"/>
      <c r="Q764" s="91"/>
      <c r="R764" s="121"/>
      <c r="S764" s="13"/>
      <c r="T764" s="13"/>
      <c r="U764" s="13"/>
      <c r="V764" s="13"/>
      <c r="BR764" s="3"/>
      <c r="BW764" s="83"/>
    </row>
    <row r="765" spans="1:75" x14ac:dyDescent="0.5">
      <c r="A765" s="130">
        <v>165</v>
      </c>
      <c r="B765" s="7" t="s">
        <v>460</v>
      </c>
      <c r="C765" s="7" t="s">
        <v>461</v>
      </c>
      <c r="D765" s="8" t="s">
        <v>72</v>
      </c>
      <c r="E765" s="43"/>
      <c r="F765" s="51"/>
      <c r="G765" s="9"/>
      <c r="H765" s="129">
        <f>VLOOKUP($A765,'Model Inputs'!$A:$D,4)</f>
        <v>8</v>
      </c>
      <c r="I765" s="9"/>
      <c r="J765" s="9">
        <f>SUBTOTAL(9,J766:J770)</f>
        <v>489.22944180159487</v>
      </c>
      <c r="K765" s="89"/>
      <c r="L765" s="89">
        <f>MAX(L767:L770)/workhrs</f>
        <v>2.6857066122668218E-2</v>
      </c>
      <c r="M765" s="9">
        <f>SUBTOTAL(9,M766:M770)</f>
        <v>27.555349841857595</v>
      </c>
      <c r="N765" s="9">
        <f t="shared" ref="N765:Q765" si="64">SUBTOTAL(9,N766:N770)</f>
        <v>393.86</v>
      </c>
      <c r="O765" s="9">
        <f t="shared" si="64"/>
        <v>67.814091959737254</v>
      </c>
      <c r="P765" s="9">
        <f t="shared" si="64"/>
        <v>0</v>
      </c>
      <c r="Q765" s="9">
        <f t="shared" si="64"/>
        <v>489.22944180159487</v>
      </c>
      <c r="R765" s="43"/>
    </row>
    <row r="766" spans="1:75" outlineLevel="1" x14ac:dyDescent="0.5">
      <c r="A766" s="131" t="s">
        <v>448</v>
      </c>
      <c r="B766" s="14">
        <v>1</v>
      </c>
      <c r="C766" s="15" t="s">
        <v>115</v>
      </c>
      <c r="D766" s="44" t="str">
        <f>VLOOKUP(Estimate!$C766,Resources!$B$3:$G$336,4,FALSE)</f>
        <v>tonne</v>
      </c>
      <c r="E766" s="44" t="str">
        <f>VLOOKUP(Estimate!$C766,Resources!$B$3:$G$336,3,FALSE)</f>
        <v>M</v>
      </c>
      <c r="F766" s="52">
        <v>1</v>
      </c>
      <c r="G766" s="12">
        <v>1</v>
      </c>
      <c r="H766" s="12">
        <f>H765*2.35</f>
        <v>18.8</v>
      </c>
      <c r="I766" s="12">
        <f>VLOOKUP(C766,Resources!$B$3:$G$336,6,FALSE)</f>
        <v>20.95</v>
      </c>
      <c r="J766" s="12">
        <f>(H766/(G766/F766))*I766</f>
        <v>393.86</v>
      </c>
      <c r="K766" s="90"/>
      <c r="L766" s="90" t="str">
        <f>IF(E766="M"," ",H766/G766)</f>
        <v xml:space="preserve"> </v>
      </c>
      <c r="M766" s="16">
        <f>IF($E766="L",$J766,0)</f>
        <v>0</v>
      </c>
      <c r="N766" s="16">
        <f>IF($E766="M",$J766,0)</f>
        <v>393.86</v>
      </c>
      <c r="O766" s="16">
        <f>IF($E766="P",$J766,0)</f>
        <v>0</v>
      </c>
      <c r="P766" s="16">
        <f>IF($E766="S",$J766,0)</f>
        <v>0</v>
      </c>
      <c r="Q766" s="16">
        <f t="shared" ref="Q766:Q770" si="65">SUM(M766:P766)</f>
        <v>393.86</v>
      </c>
      <c r="R766" s="118" t="s">
        <v>948</v>
      </c>
    </row>
    <row r="767" spans="1:75" outlineLevel="1" x14ac:dyDescent="0.5">
      <c r="A767" s="131">
        <v>165.1</v>
      </c>
      <c r="B767" s="14">
        <v>2</v>
      </c>
      <c r="C767" s="15" t="s">
        <v>96</v>
      </c>
      <c r="D767" s="44" t="str">
        <f>VLOOKUP(Estimate!$C767,Resources!$B$3:$G$336,4,FALSE)</f>
        <v xml:space="preserve">hr   </v>
      </c>
      <c r="E767" s="44" t="str">
        <f>VLOOKUP(Estimate!$C767,Resources!$B$3:$G$336,3,FALSE)</f>
        <v>P</v>
      </c>
      <c r="F767" s="52">
        <v>1</v>
      </c>
      <c r="G767" s="129">
        <f>VLOOKUP($A767,'Model Inputs'!$A:$D,4)</f>
        <v>77.778000000000006</v>
      </c>
      <c r="H767" s="12">
        <f>H766</f>
        <v>18.8</v>
      </c>
      <c r="I767" s="12">
        <f>VLOOKUP(C767,Resources!$B$3:$G$336,6,FALSE)</f>
        <v>145</v>
      </c>
      <c r="J767" s="12">
        <f>(H767/(G767/F767))*I767</f>
        <v>35.048471290082027</v>
      </c>
      <c r="K767" s="90">
        <f>L767*F767</f>
        <v>0.24171359510401397</v>
      </c>
      <c r="L767" s="90">
        <f>IF(E767="M"," ",H767/G767)</f>
        <v>0.24171359510401397</v>
      </c>
      <c r="M767" s="16">
        <f>IF($E767="L",$J767,0)</f>
        <v>0</v>
      </c>
      <c r="N767" s="16">
        <f>IF($E767="M",$J767,0)</f>
        <v>0</v>
      </c>
      <c r="O767" s="16">
        <f>IF($E767="P",$J767,0)</f>
        <v>35.048471290082027</v>
      </c>
      <c r="P767" s="16">
        <f>IF($E767="S",$J767,0)</f>
        <v>0</v>
      </c>
      <c r="Q767" s="16">
        <f t="shared" si="65"/>
        <v>35.048471290082027</v>
      </c>
      <c r="R767" s="118">
        <v>62</v>
      </c>
    </row>
    <row r="768" spans="1:75" outlineLevel="1" x14ac:dyDescent="0.5">
      <c r="A768" s="131" t="s">
        <v>448</v>
      </c>
      <c r="B768" s="14">
        <v>3</v>
      </c>
      <c r="C768" s="15" t="s">
        <v>60</v>
      </c>
      <c r="D768" s="44" t="str">
        <f>VLOOKUP(Estimate!$C768,Resources!$B$3:$G$336,4,FALSE)</f>
        <v xml:space="preserve">hr   </v>
      </c>
      <c r="E768" s="44" t="str">
        <f>VLOOKUP(Estimate!$C768,Resources!$B$3:$G$336,3,FALSE)</f>
        <v>P</v>
      </c>
      <c r="F768" s="52">
        <v>1</v>
      </c>
      <c r="G768" s="12">
        <f>G767</f>
        <v>77.778000000000006</v>
      </c>
      <c r="H768" s="12">
        <f>H767</f>
        <v>18.8</v>
      </c>
      <c r="I768" s="12">
        <f>VLOOKUP(C768,Resources!$B$3:$G$336,6,FALSE)</f>
        <v>95</v>
      </c>
      <c r="J768" s="12">
        <f>(H768/(G768/F768))*I768</f>
        <v>22.962791534881326</v>
      </c>
      <c r="K768" s="90">
        <f>L768*F768</f>
        <v>0.24171359510401397</v>
      </c>
      <c r="L768" s="90">
        <f>IF(E768="M"," ",H768/G768)</f>
        <v>0.24171359510401397</v>
      </c>
      <c r="M768" s="16">
        <f>IF($E768="L",$J768,0)</f>
        <v>0</v>
      </c>
      <c r="N768" s="16">
        <f>IF($E768="M",$J768,0)</f>
        <v>0</v>
      </c>
      <c r="O768" s="16">
        <f>IF($E768="P",$J768,0)</f>
        <v>22.962791534881326</v>
      </c>
      <c r="P768" s="16">
        <f>IF($E768="S",$J768,0)</f>
        <v>0</v>
      </c>
      <c r="Q768" s="16">
        <f t="shared" si="65"/>
        <v>22.962791534881326</v>
      </c>
      <c r="R768" s="118">
        <v>62</v>
      </c>
    </row>
    <row r="769" spans="1:75" outlineLevel="1" x14ac:dyDescent="0.5">
      <c r="A769" s="131" t="s">
        <v>448</v>
      </c>
      <c r="B769" s="14">
        <v>4</v>
      </c>
      <c r="C769" s="15" t="s">
        <v>110</v>
      </c>
      <c r="D769" s="44" t="str">
        <f>VLOOKUP(Estimate!$C769,Resources!$B$3:$G$336,4,FALSE)</f>
        <v xml:space="preserve">day  </v>
      </c>
      <c r="E769" s="44" t="str">
        <f>VLOOKUP(Estimate!$C769,Resources!$B$3:$G$336,3,FALSE)</f>
        <v>P</v>
      </c>
      <c r="F769" s="52">
        <v>1</v>
      </c>
      <c r="G769" s="12">
        <f>G767*9</f>
        <v>700.00200000000007</v>
      </c>
      <c r="H769" s="12">
        <f>H768</f>
        <v>18.8</v>
      </c>
      <c r="I769" s="12">
        <f>VLOOKUP(C769,Resources!$B$3:$G$336,6,FALSE)</f>
        <v>365</v>
      </c>
      <c r="J769" s="12">
        <f>(H769/(G769/F769))*I769</f>
        <v>9.8028291347738996</v>
      </c>
      <c r="K769" s="90">
        <f>L769*F769</f>
        <v>2.6857066122668218E-2</v>
      </c>
      <c r="L769" s="90">
        <f>IF(E769="M"," ",H769/G769)</f>
        <v>2.6857066122668218E-2</v>
      </c>
      <c r="M769" s="16">
        <f>IF($E769="L",$J769,0)</f>
        <v>0</v>
      </c>
      <c r="N769" s="16">
        <f>IF($E769="M",$J769,0)</f>
        <v>0</v>
      </c>
      <c r="O769" s="16">
        <f>IF($E769="P",$J769,0)</f>
        <v>9.8028291347738996</v>
      </c>
      <c r="P769" s="16">
        <f>IF($E769="S",$J769,0)</f>
        <v>0</v>
      </c>
      <c r="Q769" s="16">
        <f t="shared" si="65"/>
        <v>9.8028291347738996</v>
      </c>
      <c r="R769" s="118">
        <v>62</v>
      </c>
    </row>
    <row r="770" spans="1:75" outlineLevel="1" x14ac:dyDescent="0.5">
      <c r="A770" s="131" t="s">
        <v>448</v>
      </c>
      <c r="B770" s="14">
        <v>5</v>
      </c>
      <c r="C770" s="15" t="s">
        <v>7</v>
      </c>
      <c r="D770" s="44" t="str">
        <f>VLOOKUP(Estimate!$C770,Resources!$B$3:$G$336,4,FALSE)</f>
        <v xml:space="preserve">hr   </v>
      </c>
      <c r="E770" s="44" t="str">
        <f>VLOOKUP(Estimate!$C770,Resources!$B$3:$G$336,3,FALSE)</f>
        <v>L</v>
      </c>
      <c r="F770" s="52">
        <v>3</v>
      </c>
      <c r="G770" s="12">
        <f>G767</f>
        <v>77.778000000000006</v>
      </c>
      <c r="H770" s="12">
        <f>H769</f>
        <v>18.8</v>
      </c>
      <c r="I770" s="12">
        <f>VLOOKUP(C770,Resources!$B$3:$G$336,6,FALSE)</f>
        <v>38</v>
      </c>
      <c r="J770" s="12">
        <f>(H770/(G770/F770))*I770</f>
        <v>27.555349841857595</v>
      </c>
      <c r="K770" s="90">
        <f>L770*F770</f>
        <v>0.72514078531204196</v>
      </c>
      <c r="L770" s="90">
        <f>IF(E770="M"," ",H770/G770)</f>
        <v>0.24171359510401397</v>
      </c>
      <c r="M770" s="16">
        <f>IF($E770="L",$J770,0)</f>
        <v>27.555349841857595</v>
      </c>
      <c r="N770" s="16">
        <f>IF($E770="M",$J770,0)</f>
        <v>0</v>
      </c>
      <c r="O770" s="16">
        <f>IF($E770="P",$J770,0)</f>
        <v>0</v>
      </c>
      <c r="P770" s="16">
        <f>IF($E770="S",$J770,0)</f>
        <v>0</v>
      </c>
      <c r="Q770" s="16">
        <f t="shared" si="65"/>
        <v>27.555349841857595</v>
      </c>
      <c r="R770" s="118">
        <v>62</v>
      </c>
    </row>
    <row r="771" spans="1:75" customFormat="1" ht="14.25" customHeight="1" x14ac:dyDescent="0.65">
      <c r="A771" s="47" t="s">
        <v>448</v>
      </c>
      <c r="B771" s="30"/>
      <c r="C771" s="31"/>
      <c r="D771" s="55"/>
      <c r="E771" s="47"/>
      <c r="F771" s="56"/>
      <c r="G771" s="56"/>
      <c r="H771" s="32"/>
      <c r="I771" s="32"/>
      <c r="J771" s="32"/>
      <c r="K771" s="32"/>
      <c r="L771" s="32"/>
      <c r="M771" s="33"/>
      <c r="N771" s="33"/>
      <c r="O771" s="33"/>
      <c r="P771" s="93"/>
      <c r="Q771" s="93"/>
      <c r="R771" s="122"/>
      <c r="S771" s="33"/>
      <c r="T771" s="34"/>
      <c r="BW771" s="28"/>
    </row>
    <row r="772" spans="1:75" x14ac:dyDescent="0.5">
      <c r="A772" s="130">
        <v>166</v>
      </c>
      <c r="B772" s="7" t="s">
        <v>462</v>
      </c>
      <c r="C772" s="7" t="s">
        <v>463</v>
      </c>
      <c r="D772" s="8" t="s">
        <v>72</v>
      </c>
      <c r="E772" s="43"/>
      <c r="F772" s="51"/>
      <c r="G772" s="9"/>
      <c r="H772" s="129">
        <f>VLOOKUP($A772,'Model Inputs'!$A:$D,4)</f>
        <v>8.75</v>
      </c>
      <c r="I772" s="9"/>
      <c r="J772" s="9">
        <f>SUBTOTAL(9,J773:J777)</f>
        <v>550.51657697049438</v>
      </c>
      <c r="K772" s="89"/>
      <c r="L772" s="89">
        <f>MAX(L774:L777)/workhrs</f>
        <v>2.9374916071668367E-2</v>
      </c>
      <c r="M772" s="9">
        <f>SUBTOTAL(9,M773:M777)</f>
        <v>30.138663889531742</v>
      </c>
      <c r="N772" s="9">
        <f t="shared" ref="N772:Q772" si="66">SUBTOTAL(9,N773:N777)</f>
        <v>446.20625000000001</v>
      </c>
      <c r="O772" s="9">
        <f t="shared" si="66"/>
        <v>74.171663080962617</v>
      </c>
      <c r="P772" s="9">
        <f t="shared" si="66"/>
        <v>0</v>
      </c>
      <c r="Q772" s="9">
        <f t="shared" si="66"/>
        <v>550.51657697049438</v>
      </c>
      <c r="R772" s="43"/>
    </row>
    <row r="773" spans="1:75" outlineLevel="1" x14ac:dyDescent="0.5">
      <c r="A773" s="131" t="s">
        <v>448</v>
      </c>
      <c r="B773" s="14">
        <v>1</v>
      </c>
      <c r="C773" s="15" t="s">
        <v>721</v>
      </c>
      <c r="D773" s="44" t="str">
        <f>VLOOKUP(Estimate!$C773,Resources!$B$3:$G$336,4,FALSE)</f>
        <v>tonne</v>
      </c>
      <c r="E773" s="44" t="str">
        <f>VLOOKUP(Estimate!$C773,Resources!$B$3:$G$336,3,FALSE)</f>
        <v>M</v>
      </c>
      <c r="F773" s="52">
        <v>1</v>
      </c>
      <c r="G773" s="12">
        <v>1</v>
      </c>
      <c r="H773" s="12">
        <f>H772*2.35</f>
        <v>20.5625</v>
      </c>
      <c r="I773" s="12">
        <f>VLOOKUP(C773,Resources!$B$3:$G$336,6,FALSE)</f>
        <v>21.7</v>
      </c>
      <c r="J773" s="12">
        <f>(H773/(G773/F773))*I773</f>
        <v>446.20625000000001</v>
      </c>
      <c r="K773" s="90"/>
      <c r="L773" s="90" t="str">
        <f>IF(E773="M"," ",H773/G773)</f>
        <v xml:space="preserve"> </v>
      </c>
      <c r="M773" s="16">
        <f>IF($E773="L",$J773,0)</f>
        <v>0</v>
      </c>
      <c r="N773" s="16">
        <f>IF($E773="M",$J773,0)</f>
        <v>446.20625000000001</v>
      </c>
      <c r="O773" s="16">
        <f>IF($E773="P",$J773,0)</f>
        <v>0</v>
      </c>
      <c r="P773" s="16">
        <f>IF($E773="S",$J773,0)</f>
        <v>0</v>
      </c>
      <c r="Q773" s="16">
        <f t="shared" ref="Q773:Q777" si="67">SUM(M773:P773)</f>
        <v>446.20625000000001</v>
      </c>
      <c r="R773" s="118" t="s">
        <v>948</v>
      </c>
    </row>
    <row r="774" spans="1:75" outlineLevel="1" x14ac:dyDescent="0.5">
      <c r="A774" s="131">
        <v>166.1</v>
      </c>
      <c r="B774" s="14">
        <v>2</v>
      </c>
      <c r="C774" s="15" t="s">
        <v>96</v>
      </c>
      <c r="D774" s="44" t="str">
        <f>VLOOKUP(Estimate!$C774,Resources!$B$3:$G$336,4,FALSE)</f>
        <v xml:space="preserve">hr   </v>
      </c>
      <c r="E774" s="44" t="str">
        <f>VLOOKUP(Estimate!$C774,Resources!$B$3:$G$336,3,FALSE)</f>
        <v>P</v>
      </c>
      <c r="F774" s="52">
        <v>1</v>
      </c>
      <c r="G774" s="129">
        <f>VLOOKUP($A774,'Model Inputs'!$A:$D,4)</f>
        <v>77.778000000000006</v>
      </c>
      <c r="H774" s="12">
        <f>H773</f>
        <v>20.5625</v>
      </c>
      <c r="I774" s="12">
        <f>VLOOKUP(C774,Resources!$B$3:$G$336,6,FALSE)</f>
        <v>145</v>
      </c>
      <c r="J774" s="12">
        <f>(H774/(G774/F774))*I774</f>
        <v>38.334265473527218</v>
      </c>
      <c r="K774" s="90">
        <f>L774*F774</f>
        <v>0.2643742446450153</v>
      </c>
      <c r="L774" s="90">
        <f>IF(E774="M"," ",H774/G774)</f>
        <v>0.2643742446450153</v>
      </c>
      <c r="M774" s="16">
        <f>IF($E774="L",$J774,0)</f>
        <v>0</v>
      </c>
      <c r="N774" s="16">
        <f>IF($E774="M",$J774,0)</f>
        <v>0</v>
      </c>
      <c r="O774" s="16">
        <f>IF($E774="P",$J774,0)</f>
        <v>38.334265473527218</v>
      </c>
      <c r="P774" s="16">
        <f>IF($E774="S",$J774,0)</f>
        <v>0</v>
      </c>
      <c r="Q774" s="16">
        <f t="shared" si="67"/>
        <v>38.334265473527218</v>
      </c>
      <c r="R774" s="118">
        <v>62</v>
      </c>
    </row>
    <row r="775" spans="1:75" outlineLevel="1" x14ac:dyDescent="0.5">
      <c r="A775" s="131" t="s">
        <v>448</v>
      </c>
      <c r="B775" s="14">
        <v>3</v>
      </c>
      <c r="C775" s="15" t="s">
        <v>60</v>
      </c>
      <c r="D775" s="44" t="str">
        <f>VLOOKUP(Estimate!$C775,Resources!$B$3:$G$336,4,FALSE)</f>
        <v xml:space="preserve">hr   </v>
      </c>
      <c r="E775" s="44" t="str">
        <f>VLOOKUP(Estimate!$C775,Resources!$B$3:$G$336,3,FALSE)</f>
        <v>P</v>
      </c>
      <c r="F775" s="52">
        <v>1</v>
      </c>
      <c r="G775" s="12">
        <f>G774</f>
        <v>77.778000000000006</v>
      </c>
      <c r="H775" s="12">
        <f>H774</f>
        <v>20.5625</v>
      </c>
      <c r="I775" s="12">
        <f>VLOOKUP(C775,Resources!$B$3:$G$336,6,FALSE)</f>
        <v>95</v>
      </c>
      <c r="J775" s="12">
        <f>(H775/(G775/F775))*I775</f>
        <v>25.115553241276455</v>
      </c>
      <c r="K775" s="90">
        <f>L775*F775</f>
        <v>0.2643742446450153</v>
      </c>
      <c r="L775" s="90">
        <f>IF(E775="M"," ",H775/G775)</f>
        <v>0.2643742446450153</v>
      </c>
      <c r="M775" s="16">
        <f>IF($E775="L",$J775,0)</f>
        <v>0</v>
      </c>
      <c r="N775" s="16">
        <f>IF($E775="M",$J775,0)</f>
        <v>0</v>
      </c>
      <c r="O775" s="16">
        <f>IF($E775="P",$J775,0)</f>
        <v>25.115553241276455</v>
      </c>
      <c r="P775" s="16">
        <f>IF($E775="S",$J775,0)</f>
        <v>0</v>
      </c>
      <c r="Q775" s="16">
        <f t="shared" si="67"/>
        <v>25.115553241276455</v>
      </c>
      <c r="R775" s="118">
        <v>62</v>
      </c>
    </row>
    <row r="776" spans="1:75" outlineLevel="1" x14ac:dyDescent="0.5">
      <c r="A776" s="131" t="s">
        <v>448</v>
      </c>
      <c r="B776" s="14">
        <v>4</v>
      </c>
      <c r="C776" s="15" t="s">
        <v>110</v>
      </c>
      <c r="D776" s="44" t="str">
        <f>VLOOKUP(Estimate!$C776,Resources!$B$3:$G$336,4,FALSE)</f>
        <v xml:space="preserve">day  </v>
      </c>
      <c r="E776" s="44" t="str">
        <f>VLOOKUP(Estimate!$C776,Resources!$B$3:$G$336,3,FALSE)</f>
        <v>P</v>
      </c>
      <c r="F776" s="52">
        <v>1</v>
      </c>
      <c r="G776" s="12">
        <f>G774*9</f>
        <v>700.00200000000007</v>
      </c>
      <c r="H776" s="12">
        <f>H775</f>
        <v>20.5625</v>
      </c>
      <c r="I776" s="12">
        <f>VLOOKUP(C776,Resources!$B$3:$G$336,6,FALSE)</f>
        <v>365</v>
      </c>
      <c r="J776" s="12">
        <f>(H776/(G776/F776))*I776</f>
        <v>10.721844366158953</v>
      </c>
      <c r="K776" s="90">
        <f>L776*F776</f>
        <v>2.9374916071668363E-2</v>
      </c>
      <c r="L776" s="90">
        <f>IF(E776="M"," ",H776/G776)</f>
        <v>2.9374916071668363E-2</v>
      </c>
      <c r="M776" s="16">
        <f>IF($E776="L",$J776,0)</f>
        <v>0</v>
      </c>
      <c r="N776" s="16">
        <f>IF($E776="M",$J776,0)</f>
        <v>0</v>
      </c>
      <c r="O776" s="16">
        <f>IF($E776="P",$J776,0)</f>
        <v>10.721844366158953</v>
      </c>
      <c r="P776" s="16">
        <f>IF($E776="S",$J776,0)</f>
        <v>0</v>
      </c>
      <c r="Q776" s="16">
        <f t="shared" si="67"/>
        <v>10.721844366158953</v>
      </c>
      <c r="R776" s="118">
        <v>62</v>
      </c>
    </row>
    <row r="777" spans="1:75" outlineLevel="1" x14ac:dyDescent="0.5">
      <c r="A777" s="131" t="s">
        <v>448</v>
      </c>
      <c r="B777" s="14">
        <v>5</v>
      </c>
      <c r="C777" s="15" t="s">
        <v>7</v>
      </c>
      <c r="D777" s="44" t="str">
        <f>VLOOKUP(Estimate!$C777,Resources!$B$3:$G$336,4,FALSE)</f>
        <v xml:space="preserve">hr   </v>
      </c>
      <c r="E777" s="44" t="str">
        <f>VLOOKUP(Estimate!$C777,Resources!$B$3:$G$336,3,FALSE)</f>
        <v>L</v>
      </c>
      <c r="F777" s="52">
        <v>3</v>
      </c>
      <c r="G777" s="12">
        <f>G774</f>
        <v>77.778000000000006</v>
      </c>
      <c r="H777" s="12">
        <f>H776</f>
        <v>20.5625</v>
      </c>
      <c r="I777" s="12">
        <f>VLOOKUP(C777,Resources!$B$3:$G$336,6,FALSE)</f>
        <v>38</v>
      </c>
      <c r="J777" s="12">
        <f>(H777/(G777/F777))*I777</f>
        <v>30.138663889531742</v>
      </c>
      <c r="K777" s="90">
        <f>L777*F777</f>
        <v>0.79312273393504595</v>
      </c>
      <c r="L777" s="90">
        <f>IF(E777="M"," ",H777/G777)</f>
        <v>0.2643742446450153</v>
      </c>
      <c r="M777" s="16">
        <f>IF($E777="L",$J777,0)</f>
        <v>30.138663889531742</v>
      </c>
      <c r="N777" s="16">
        <f>IF($E777="M",$J777,0)</f>
        <v>0</v>
      </c>
      <c r="O777" s="16">
        <f>IF($E777="P",$J777,0)</f>
        <v>0</v>
      </c>
      <c r="P777" s="16">
        <f>IF($E777="S",$J777,0)</f>
        <v>0</v>
      </c>
      <c r="Q777" s="16">
        <f t="shared" si="67"/>
        <v>30.138663889531742</v>
      </c>
      <c r="R777" s="118">
        <v>62</v>
      </c>
    </row>
    <row r="778" spans="1:75" customFormat="1" ht="14.25" customHeight="1" x14ac:dyDescent="0.65">
      <c r="A778" s="47" t="s">
        <v>448</v>
      </c>
      <c r="B778" s="30"/>
      <c r="C778" s="31"/>
      <c r="D778" s="55"/>
      <c r="E778" s="47"/>
      <c r="F778" s="56"/>
      <c r="G778" s="56"/>
      <c r="H778" s="32"/>
      <c r="I778" s="32"/>
      <c r="J778" s="32"/>
      <c r="K778" s="32"/>
      <c r="L778" s="32"/>
      <c r="M778" s="33"/>
      <c r="N778" s="33"/>
      <c r="O778" s="33"/>
      <c r="P778" s="93"/>
      <c r="Q778" s="93"/>
      <c r="R778" s="122"/>
      <c r="S778" s="33"/>
      <c r="T778" s="34"/>
      <c r="BW778" s="28"/>
    </row>
    <row r="779" spans="1:75" x14ac:dyDescent="0.5">
      <c r="A779" s="130">
        <v>167</v>
      </c>
      <c r="B779" s="7" t="s">
        <v>456</v>
      </c>
      <c r="C779" s="7" t="s">
        <v>457</v>
      </c>
      <c r="D779" s="8" t="s">
        <v>72</v>
      </c>
      <c r="E779" s="43"/>
      <c r="F779" s="51"/>
      <c r="G779" s="9"/>
      <c r="H779" s="129">
        <f>VLOOKUP($A779,'Model Inputs'!$A:$D,4)</f>
        <v>70</v>
      </c>
      <c r="I779" s="9"/>
      <c r="J779" s="9">
        <f>SUBTOTAL(9,J780:J783)</f>
        <v>172.35555555555555</v>
      </c>
      <c r="K779" s="89"/>
      <c r="L779" s="89">
        <f>MAX(L780:L783)/workhrs</f>
        <v>5.185185185185185E-2</v>
      </c>
      <c r="M779" s="9">
        <f>SUBTOTAL(9,M780:M783)</f>
        <v>35.466666666666669</v>
      </c>
      <c r="N779" s="9">
        <f t="shared" ref="N779:Q779" si="68">SUBTOTAL(9,N780:N783)</f>
        <v>0</v>
      </c>
      <c r="O779" s="9">
        <f t="shared" si="68"/>
        <v>136.88888888888889</v>
      </c>
      <c r="P779" s="9">
        <f t="shared" si="68"/>
        <v>0</v>
      </c>
      <c r="Q779" s="9">
        <f t="shared" si="68"/>
        <v>172.35555555555555</v>
      </c>
      <c r="R779" s="43"/>
    </row>
    <row r="780" spans="1:75" outlineLevel="1" x14ac:dyDescent="0.5">
      <c r="A780" s="131">
        <v>167.1</v>
      </c>
      <c r="B780" s="14">
        <v>1</v>
      </c>
      <c r="C780" s="15" t="s">
        <v>96</v>
      </c>
      <c r="D780" s="44" t="str">
        <f>VLOOKUP(Estimate!$C780,Resources!$B$3:$G$336,4,FALSE)</f>
        <v xml:space="preserve">hr   </v>
      </c>
      <c r="E780" s="44" t="str">
        <f>VLOOKUP(Estimate!$C780,Resources!$B$3:$G$336,3,FALSE)</f>
        <v>P</v>
      </c>
      <c r="F780" s="52">
        <v>1</v>
      </c>
      <c r="G780" s="129">
        <f>VLOOKUP($A780,'Model Inputs'!$A:$D,4)</f>
        <v>150</v>
      </c>
      <c r="H780" s="12">
        <f>H779</f>
        <v>70</v>
      </c>
      <c r="I780" s="12">
        <f>VLOOKUP(C780,Resources!$B$3:$G$336,6,FALSE)</f>
        <v>145</v>
      </c>
      <c r="J780" s="12">
        <f>(H780/(G780/F780))*I780</f>
        <v>67.666666666666671</v>
      </c>
      <c r="K780" s="90">
        <f>L780*F780</f>
        <v>0.46666666666666667</v>
      </c>
      <c r="L780" s="90">
        <f>IF(E780="M"," ",H780/G780)</f>
        <v>0.46666666666666667</v>
      </c>
      <c r="M780" s="16">
        <f>IF($E780="L",$J780,0)</f>
        <v>0</v>
      </c>
      <c r="N780" s="16">
        <f>IF($E780="M",$J780,0)</f>
        <v>0</v>
      </c>
      <c r="O780" s="16">
        <f>IF($E780="P",$J780,0)</f>
        <v>67.666666666666671</v>
      </c>
      <c r="P780" s="16">
        <f>IF($E780="S",$J780,0)</f>
        <v>0</v>
      </c>
      <c r="Q780" s="16">
        <f>SUM(M780:P780)</f>
        <v>67.666666666666671</v>
      </c>
      <c r="R780" s="118">
        <v>63</v>
      </c>
    </row>
    <row r="781" spans="1:75" outlineLevel="1" x14ac:dyDescent="0.5">
      <c r="A781" s="131" t="s">
        <v>448</v>
      </c>
      <c r="B781" s="14">
        <v>2</v>
      </c>
      <c r="C781" s="15" t="s">
        <v>827</v>
      </c>
      <c r="D781" s="44" t="str">
        <f>VLOOKUP(Estimate!$C781,Resources!$B$3:$G$336,4,FALSE)</f>
        <v xml:space="preserve">day  </v>
      </c>
      <c r="E781" s="44" t="str">
        <f>VLOOKUP(Estimate!$C781,Resources!$B$3:$G$336,3,FALSE)</f>
        <v>P</v>
      </c>
      <c r="F781" s="52">
        <v>1</v>
      </c>
      <c r="G781" s="12">
        <f>G780*9</f>
        <v>1350</v>
      </c>
      <c r="H781" s="12">
        <f>H780</f>
        <v>70</v>
      </c>
      <c r="I781" s="12">
        <f>VLOOKUP(C781,Resources!$B$3:$G$336,6,FALSE)</f>
        <v>480</v>
      </c>
      <c r="J781" s="12">
        <f>(H781/(G781/F781))*I781</f>
        <v>24.888888888888889</v>
      </c>
      <c r="K781" s="90">
        <f>L781*F781</f>
        <v>5.185185185185185E-2</v>
      </c>
      <c r="L781" s="90">
        <f>IF(E781="M"," ",H781/G781)</f>
        <v>5.185185185185185E-2</v>
      </c>
      <c r="M781" s="16">
        <f>IF($E781="L",$J781,0)</f>
        <v>0</v>
      </c>
      <c r="N781" s="16">
        <f>IF($E781="M",$J781,0)</f>
        <v>0</v>
      </c>
      <c r="O781" s="16">
        <f>IF($E781="P",$J781,0)</f>
        <v>24.888888888888889</v>
      </c>
      <c r="P781" s="16">
        <f>IF($E781="S",$J781,0)</f>
        <v>0</v>
      </c>
      <c r="Q781" s="16">
        <f>SUM(M781:P781)</f>
        <v>24.888888888888889</v>
      </c>
      <c r="R781" s="118">
        <v>63</v>
      </c>
    </row>
    <row r="782" spans="1:75" outlineLevel="1" x14ac:dyDescent="0.5">
      <c r="A782" s="131" t="s">
        <v>448</v>
      </c>
      <c r="B782" s="14">
        <v>3</v>
      </c>
      <c r="C782" s="15" t="s">
        <v>60</v>
      </c>
      <c r="D782" s="44" t="str">
        <f>VLOOKUP(Estimate!$C782,Resources!$B$3:$G$336,4,FALSE)</f>
        <v xml:space="preserve">hr   </v>
      </c>
      <c r="E782" s="44" t="str">
        <f>VLOOKUP(Estimate!$C782,Resources!$B$3:$G$336,3,FALSE)</f>
        <v>P</v>
      </c>
      <c r="F782" s="52">
        <v>1</v>
      </c>
      <c r="G782" s="12">
        <f>G780</f>
        <v>150</v>
      </c>
      <c r="H782" s="12">
        <f>H781</f>
        <v>70</v>
      </c>
      <c r="I782" s="12">
        <f>VLOOKUP(C782,Resources!$B$3:$G$336,6,FALSE)</f>
        <v>95</v>
      </c>
      <c r="J782" s="12">
        <f>(H782/(G782/F782))*I782</f>
        <v>44.333333333333336</v>
      </c>
      <c r="K782" s="90">
        <f>L782*F782</f>
        <v>0.46666666666666667</v>
      </c>
      <c r="L782" s="90">
        <f>IF(E782="M"," ",H782/G782)</f>
        <v>0.46666666666666667</v>
      </c>
      <c r="M782" s="16">
        <f>IF($E782="L",$J782,0)</f>
        <v>0</v>
      </c>
      <c r="N782" s="16">
        <f>IF($E782="M",$J782,0)</f>
        <v>0</v>
      </c>
      <c r="O782" s="16">
        <f>IF($E782="P",$J782,0)</f>
        <v>44.333333333333336</v>
      </c>
      <c r="P782" s="16">
        <f>IF($E782="S",$J782,0)</f>
        <v>0</v>
      </c>
      <c r="Q782" s="16">
        <f>SUM(M782:P782)</f>
        <v>44.333333333333336</v>
      </c>
      <c r="R782" s="118">
        <v>63</v>
      </c>
    </row>
    <row r="783" spans="1:75" outlineLevel="1" x14ac:dyDescent="0.5">
      <c r="A783" s="131" t="s">
        <v>448</v>
      </c>
      <c r="B783" s="14">
        <v>4</v>
      </c>
      <c r="C783" s="15" t="s">
        <v>7</v>
      </c>
      <c r="D783" s="44" t="str">
        <f>VLOOKUP(Estimate!$C783,Resources!$B$3:$G$336,4,FALSE)</f>
        <v xml:space="preserve">hr   </v>
      </c>
      <c r="E783" s="44" t="str">
        <f>VLOOKUP(Estimate!$C783,Resources!$B$3:$G$336,3,FALSE)</f>
        <v>L</v>
      </c>
      <c r="F783" s="52">
        <v>2</v>
      </c>
      <c r="G783" s="12">
        <f>G780</f>
        <v>150</v>
      </c>
      <c r="H783" s="12">
        <f>H782</f>
        <v>70</v>
      </c>
      <c r="I783" s="12">
        <f>VLOOKUP(C783,Resources!$B$3:$G$336,6,FALSE)</f>
        <v>38</v>
      </c>
      <c r="J783" s="12">
        <f>(H783/(G783/F783))*I783</f>
        <v>35.466666666666669</v>
      </c>
      <c r="K783" s="90">
        <f>L783*F783</f>
        <v>0.93333333333333335</v>
      </c>
      <c r="L783" s="90">
        <f>IF(E783="M"," ",H783/G783)</f>
        <v>0.46666666666666667</v>
      </c>
      <c r="M783" s="16">
        <f>IF($E783="L",$J783,0)</f>
        <v>35.466666666666669</v>
      </c>
      <c r="N783" s="16">
        <f>IF($E783="M",$J783,0)</f>
        <v>0</v>
      </c>
      <c r="O783" s="16">
        <f>IF($E783="P",$J783,0)</f>
        <v>0</v>
      </c>
      <c r="P783" s="16">
        <f>IF($E783="S",$J783,0)</f>
        <v>0</v>
      </c>
      <c r="Q783" s="16">
        <f>SUM(M783:P783)</f>
        <v>35.466666666666669</v>
      </c>
      <c r="R783" s="118">
        <v>63</v>
      </c>
    </row>
    <row r="784" spans="1:75" ht="14.25" customHeight="1" outlineLevel="1" x14ac:dyDescent="0.5">
      <c r="A784" s="132" t="s">
        <v>448</v>
      </c>
      <c r="B784" s="1"/>
      <c r="C784" s="2"/>
      <c r="D784" s="1"/>
      <c r="E784" s="45"/>
      <c r="F784" s="53"/>
      <c r="G784" s="53"/>
      <c r="H784" s="11"/>
      <c r="I784" s="11"/>
      <c r="J784" s="11"/>
      <c r="K784" s="11"/>
      <c r="L784" s="11"/>
      <c r="M784" s="11"/>
      <c r="N784" s="11"/>
      <c r="O784" s="11"/>
      <c r="P784" s="91"/>
      <c r="Q784" s="91"/>
      <c r="R784" s="121"/>
      <c r="S784" s="13"/>
      <c r="T784" s="13"/>
      <c r="U784" s="13"/>
      <c r="V784" s="13"/>
      <c r="BR784" s="3"/>
      <c r="BW784" s="83"/>
    </row>
    <row r="785" spans="1:75" x14ac:dyDescent="0.5">
      <c r="A785" s="130">
        <v>168</v>
      </c>
      <c r="B785" s="7" t="s">
        <v>458</v>
      </c>
      <c r="C785" s="7" t="s">
        <v>939</v>
      </c>
      <c r="D785" s="8" t="s">
        <v>83</v>
      </c>
      <c r="E785" s="43"/>
      <c r="F785" s="51"/>
      <c r="G785" s="9"/>
      <c r="H785" s="129">
        <f>VLOOKUP($A785,'Model Inputs'!$A:$D,4)</f>
        <v>70</v>
      </c>
      <c r="I785" s="9"/>
      <c r="J785" s="9">
        <f>SUBTOTAL(9,J786)</f>
        <v>330.01500000000004</v>
      </c>
      <c r="K785" s="89"/>
      <c r="L785" s="89">
        <v>1</v>
      </c>
      <c r="M785" s="9">
        <f>SUBTOTAL(9,M786)</f>
        <v>0</v>
      </c>
      <c r="N785" s="9">
        <f t="shared" ref="N785" si="69">SUBTOTAL(9,N786)</f>
        <v>0</v>
      </c>
      <c r="O785" s="9">
        <f t="shared" ref="O785" si="70">SUBTOTAL(9,O786)</f>
        <v>0</v>
      </c>
      <c r="P785" s="9">
        <f t="shared" ref="P785" si="71">SUBTOTAL(9,P786)</f>
        <v>330.01500000000004</v>
      </c>
      <c r="Q785" s="9">
        <f t="shared" ref="Q785" si="72">SUBTOTAL(9,Q786)</f>
        <v>330.01500000000004</v>
      </c>
      <c r="R785" s="117"/>
    </row>
    <row r="786" spans="1:75" outlineLevel="1" x14ac:dyDescent="0.5">
      <c r="A786" s="131" t="s">
        <v>448</v>
      </c>
      <c r="B786" s="14">
        <v>1</v>
      </c>
      <c r="C786" s="15" t="s">
        <v>587</v>
      </c>
      <c r="D786" s="44" t="str">
        <f>VLOOKUP(Estimate!$C786,Resources!$B$3:$G$336,4,FALSE)</f>
        <v xml:space="preserve">m²   </v>
      </c>
      <c r="E786" s="44" t="str">
        <f>VLOOKUP(Estimate!$C786,Resources!$B$3:$G$336,3,FALSE)</f>
        <v>S</v>
      </c>
      <c r="F786" s="52">
        <v>1</v>
      </c>
      <c r="G786" s="12">
        <v>1</v>
      </c>
      <c r="H786" s="12">
        <f>H785*1.05</f>
        <v>73.5</v>
      </c>
      <c r="I786" s="12">
        <f>VLOOKUP(C786,Resources!$B$3:$G$336,6,FALSE)</f>
        <v>4.49</v>
      </c>
      <c r="J786" s="12">
        <f>(H786/(G786/F786))*I786</f>
        <v>330.01500000000004</v>
      </c>
      <c r="K786" s="90"/>
      <c r="L786" s="90">
        <v>1</v>
      </c>
      <c r="M786" s="16">
        <f>IF($E786="L",$J786,0)</f>
        <v>0</v>
      </c>
      <c r="N786" s="16">
        <f>IF($E786="M",$J786,0)</f>
        <v>0</v>
      </c>
      <c r="O786" s="16">
        <f>IF($E786="P",$J786,0)</f>
        <v>0</v>
      </c>
      <c r="P786" s="16">
        <f>IF($E786="S",$J786,0)</f>
        <v>330.01500000000004</v>
      </c>
      <c r="Q786" s="16">
        <f>SUM(M786:P786)</f>
        <v>330.01500000000004</v>
      </c>
      <c r="R786" s="118">
        <v>64</v>
      </c>
    </row>
    <row r="787" spans="1:75" ht="14.25" customHeight="1" outlineLevel="1" x14ac:dyDescent="0.5">
      <c r="A787" s="132" t="s">
        <v>448</v>
      </c>
      <c r="B787" s="1"/>
      <c r="C787" s="2"/>
      <c r="D787" s="1"/>
      <c r="E787" s="45"/>
      <c r="F787" s="53"/>
      <c r="G787" s="53"/>
      <c r="H787" s="11"/>
      <c r="I787" s="11"/>
      <c r="J787" s="11"/>
      <c r="K787" s="11"/>
      <c r="L787" s="11"/>
      <c r="M787" s="11"/>
      <c r="N787" s="11"/>
      <c r="O787" s="11"/>
      <c r="P787" s="91"/>
      <c r="Q787" s="91"/>
      <c r="R787" s="121"/>
      <c r="S787" s="13"/>
      <c r="T787" s="13"/>
      <c r="U787" s="13"/>
      <c r="V787" s="13"/>
      <c r="BR787" s="3"/>
      <c r="BW787" s="83"/>
    </row>
    <row r="788" spans="1:75" x14ac:dyDescent="0.5">
      <c r="A788" s="130">
        <v>169</v>
      </c>
      <c r="B788" s="7" t="s">
        <v>459</v>
      </c>
      <c r="C788" s="7" t="s">
        <v>940</v>
      </c>
      <c r="D788" s="8" t="s">
        <v>64</v>
      </c>
      <c r="E788" s="43"/>
      <c r="F788" s="51"/>
      <c r="G788" s="9"/>
      <c r="H788" s="129">
        <f>VLOOKUP($A788,'Model Inputs'!$A:$D,4)</f>
        <v>7</v>
      </c>
      <c r="I788" s="9"/>
      <c r="J788" s="9">
        <f>SUBTOTAL(9,J789)</f>
        <v>2009</v>
      </c>
      <c r="K788" s="89"/>
      <c r="L788" s="89">
        <v>1</v>
      </c>
      <c r="M788" s="9">
        <f>SUBTOTAL(9,M789)</f>
        <v>0</v>
      </c>
      <c r="N788" s="9">
        <f t="shared" ref="N788:Q788" si="73">SUBTOTAL(9,N789)</f>
        <v>0</v>
      </c>
      <c r="O788" s="9">
        <f t="shared" si="73"/>
        <v>0</v>
      </c>
      <c r="P788" s="9">
        <f t="shared" si="73"/>
        <v>2009</v>
      </c>
      <c r="Q788" s="9">
        <f t="shared" si="73"/>
        <v>2009</v>
      </c>
      <c r="R788" s="117"/>
    </row>
    <row r="789" spans="1:75" outlineLevel="1" x14ac:dyDescent="0.5">
      <c r="A789" s="131"/>
      <c r="B789" s="14">
        <v>1</v>
      </c>
      <c r="C789" s="15" t="s">
        <v>908</v>
      </c>
      <c r="D789" s="44" t="str">
        <f>VLOOKUP(Estimate!$C789,Resources!$B$3:$G$336,4,FALSE)</f>
        <v>tonne</v>
      </c>
      <c r="E789" s="44" t="str">
        <f>VLOOKUP(Estimate!$C789,Resources!$B$3:$G$336,3,FALSE)</f>
        <v>S</v>
      </c>
      <c r="F789" s="52">
        <v>1</v>
      </c>
      <c r="G789" s="12">
        <v>1</v>
      </c>
      <c r="H789" s="12">
        <f>H788</f>
        <v>7</v>
      </c>
      <c r="I789" s="12">
        <f>VLOOKUP(C789,Resources!$B$3:$G$336,6,FALSE)</f>
        <v>287</v>
      </c>
      <c r="J789" s="12">
        <f>(H789/(G789/F789))*I789</f>
        <v>2009</v>
      </c>
      <c r="K789" s="90"/>
      <c r="L789" s="90">
        <v>1</v>
      </c>
      <c r="M789" s="16">
        <f>IF($E789="L",$J789,0)</f>
        <v>0</v>
      </c>
      <c r="N789" s="16">
        <f>IF($E789="M",$J789,0)</f>
        <v>0</v>
      </c>
      <c r="O789" s="16">
        <f>IF($E789="P",$J789,0)</f>
        <v>0</v>
      </c>
      <c r="P789" s="16">
        <f>IF($E789="S",$J789,0)</f>
        <v>2009</v>
      </c>
      <c r="Q789" s="16">
        <f>SUM(M789:P789)</f>
        <v>2009</v>
      </c>
      <c r="R789" s="118">
        <v>65</v>
      </c>
    </row>
    <row r="790" spans="1:75" ht="14.25" customHeight="1" outlineLevel="1" x14ac:dyDescent="0.5">
      <c r="A790" s="132" t="s">
        <v>448</v>
      </c>
      <c r="B790" s="1"/>
      <c r="C790" s="2"/>
      <c r="D790" s="1"/>
      <c r="E790" s="45"/>
      <c r="F790" s="53"/>
      <c r="G790" s="53"/>
      <c r="H790" s="11"/>
      <c r="I790" s="11"/>
      <c r="J790" s="11"/>
      <c r="K790" s="11"/>
      <c r="L790" s="11"/>
      <c r="M790" s="11"/>
      <c r="N790" s="11"/>
      <c r="O790" s="11"/>
      <c r="P790" s="91"/>
      <c r="Q790" s="91"/>
      <c r="R790" s="121"/>
      <c r="S790" s="13"/>
      <c r="T790" s="13"/>
      <c r="U790" s="13"/>
      <c r="V790" s="13"/>
      <c r="BR790" s="3"/>
      <c r="BW790" s="83"/>
    </row>
    <row r="791" spans="1:75" x14ac:dyDescent="0.5">
      <c r="A791" s="130">
        <v>170</v>
      </c>
      <c r="B791" s="7" t="s">
        <v>468</v>
      </c>
      <c r="C791" s="7" t="s">
        <v>469</v>
      </c>
      <c r="D791" s="8" t="s">
        <v>451</v>
      </c>
      <c r="E791" s="43"/>
      <c r="F791" s="51"/>
      <c r="G791" s="9"/>
      <c r="H791" s="129">
        <f>VLOOKUP($A791,'Model Inputs'!$A:$D,4)</f>
        <v>1</v>
      </c>
      <c r="I791" s="9"/>
      <c r="J791" s="9"/>
      <c r="K791" s="89"/>
      <c r="L791" s="89"/>
      <c r="M791" s="9"/>
      <c r="N791" s="9"/>
      <c r="O791" s="9"/>
      <c r="P791" s="9"/>
      <c r="Q791" s="9"/>
      <c r="R791" s="43"/>
    </row>
    <row r="792" spans="1:75" x14ac:dyDescent="0.5">
      <c r="A792" s="130">
        <v>171</v>
      </c>
      <c r="B792" s="7" t="s">
        <v>470</v>
      </c>
      <c r="C792" s="7" t="s">
        <v>471</v>
      </c>
      <c r="D792" s="8" t="s">
        <v>25</v>
      </c>
      <c r="E792" s="43"/>
      <c r="F792" s="51"/>
      <c r="G792" s="9"/>
      <c r="H792" s="129">
        <f>VLOOKUP($A792,'Model Inputs'!$A:$D,4)</f>
        <v>20</v>
      </c>
      <c r="I792" s="9"/>
      <c r="J792" s="9">
        <f>SUBTOTAL(9,J793:J794)</f>
        <v>820.16455401790904</v>
      </c>
      <c r="K792" s="89"/>
      <c r="L792" s="89">
        <f>L794/(50/9)/workhrs</f>
        <v>0.4</v>
      </c>
      <c r="M792" s="9">
        <f>SUBTOTAL(9,M793:M794)</f>
        <v>0</v>
      </c>
      <c r="N792" s="9">
        <f t="shared" ref="N792:Q792" si="74">SUBTOTAL(9,N793:N794)</f>
        <v>415.16455401790904</v>
      </c>
      <c r="O792" s="9">
        <f t="shared" si="74"/>
        <v>0</v>
      </c>
      <c r="P792" s="9">
        <f t="shared" si="74"/>
        <v>405</v>
      </c>
      <c r="Q792" s="9">
        <f t="shared" si="74"/>
        <v>820.16455401790904</v>
      </c>
      <c r="R792" s="43"/>
    </row>
    <row r="793" spans="1:75" outlineLevel="1" x14ac:dyDescent="0.5">
      <c r="A793" s="131" t="s">
        <v>448</v>
      </c>
      <c r="B793" s="14">
        <v>1</v>
      </c>
      <c r="C793" s="15" t="s">
        <v>136</v>
      </c>
      <c r="D793" s="44" t="str">
        <f>VLOOKUP(Estimate!$C793,Resources!$B$3:$G$336,4,FALSE)</f>
        <v xml:space="preserve">m³   </v>
      </c>
      <c r="E793" s="44" t="str">
        <f>VLOOKUP(Estimate!$C793,Resources!$B$3:$G$336,3,FALSE)</f>
        <v>M</v>
      </c>
      <c r="F793" s="52">
        <v>1</v>
      </c>
      <c r="G793" s="12">
        <v>1</v>
      </c>
      <c r="H793" s="12">
        <f>H792/8.599</f>
        <v>2.3258518432375856</v>
      </c>
      <c r="I793" s="12">
        <f>VLOOKUP(C793,Resources!$B$3:$G$336,6,FALSE)</f>
        <v>178.5</v>
      </c>
      <c r="J793" s="12">
        <f>(H793/(G793/F793))*I793</f>
        <v>415.16455401790904</v>
      </c>
      <c r="K793" s="90"/>
      <c r="L793" s="90" t="str">
        <f>IF(E793="M"," ",H793/G793)</f>
        <v xml:space="preserve"> </v>
      </c>
      <c r="M793" s="16">
        <f>IF($E793="L",$J793,0)</f>
        <v>0</v>
      </c>
      <c r="N793" s="16">
        <f>IF($E793="M",$J793,0)</f>
        <v>415.16455401790904</v>
      </c>
      <c r="O793" s="16">
        <f>IF($E793="P",$J793,0)</f>
        <v>0</v>
      </c>
      <c r="P793" s="16">
        <f>IF($E793="S",$J793,0)</f>
        <v>0</v>
      </c>
      <c r="Q793" s="16">
        <f>SUM(M793:P793)</f>
        <v>415.16455401790904</v>
      </c>
      <c r="R793" s="118" t="s">
        <v>949</v>
      </c>
    </row>
    <row r="794" spans="1:75" outlineLevel="1" x14ac:dyDescent="0.5">
      <c r="A794" s="131" t="s">
        <v>448</v>
      </c>
      <c r="B794" s="14">
        <v>2</v>
      </c>
      <c r="C794" s="15" t="s">
        <v>137</v>
      </c>
      <c r="D794" s="44" t="str">
        <f>VLOOKUP(Estimate!$C794,Resources!$B$3:$G$336,4,FALSE)</f>
        <v xml:space="preserve">m    </v>
      </c>
      <c r="E794" s="44" t="str">
        <f>VLOOKUP(Estimate!$C794,Resources!$B$3:$G$336,3,FALSE)</f>
        <v>S</v>
      </c>
      <c r="F794" s="52">
        <v>1</v>
      </c>
      <c r="G794" s="12">
        <v>1</v>
      </c>
      <c r="H794" s="12">
        <f>H792</f>
        <v>20</v>
      </c>
      <c r="I794" s="12">
        <f>VLOOKUP(C794,Resources!$B$3:$G$336,6,FALSE)</f>
        <v>20.25</v>
      </c>
      <c r="J794" s="12">
        <f>(H794/(G794/F794))*I794</f>
        <v>405</v>
      </c>
      <c r="K794" s="90">
        <f>L794*F794</f>
        <v>20</v>
      </c>
      <c r="L794" s="90">
        <f>IF(E794="M"," ",H794/G794)</f>
        <v>20</v>
      </c>
      <c r="M794" s="16">
        <f>IF($E794="L",$J794,0)</f>
        <v>0</v>
      </c>
      <c r="N794" s="16">
        <f>IF($E794="M",$J794,0)</f>
        <v>0</v>
      </c>
      <c r="O794" s="16">
        <f>IF($E794="P",$J794,0)</f>
        <v>0</v>
      </c>
      <c r="P794" s="16">
        <f>IF($E794="S",$J794,0)</f>
        <v>405</v>
      </c>
      <c r="Q794" s="16">
        <f>SUM(M794:P794)</f>
        <v>405</v>
      </c>
      <c r="R794" s="118">
        <v>71</v>
      </c>
    </row>
    <row r="795" spans="1:75" customFormat="1" ht="14.25" customHeight="1" x14ac:dyDescent="0.65">
      <c r="A795" s="47" t="s">
        <v>448</v>
      </c>
      <c r="B795" s="30"/>
      <c r="C795" s="31"/>
      <c r="D795" s="55"/>
      <c r="E795" s="47"/>
      <c r="F795" s="56"/>
      <c r="G795" s="56"/>
      <c r="H795" s="32"/>
      <c r="I795" s="32"/>
      <c r="J795" s="32"/>
      <c r="K795" s="32"/>
      <c r="L795" s="32"/>
      <c r="M795" s="33"/>
      <c r="N795" s="33"/>
      <c r="O795" s="33"/>
      <c r="P795" s="93"/>
      <c r="Q795" s="93"/>
      <c r="R795" s="122"/>
      <c r="S795" s="33"/>
      <c r="T795" s="34"/>
      <c r="BW795" s="28"/>
    </row>
    <row r="796" spans="1:75" x14ac:dyDescent="0.5">
      <c r="A796" s="130">
        <v>172</v>
      </c>
      <c r="B796" s="7" t="s">
        <v>472</v>
      </c>
      <c r="C796" s="7" t="s">
        <v>473</v>
      </c>
      <c r="D796" s="8" t="s">
        <v>451</v>
      </c>
      <c r="E796" s="43"/>
      <c r="F796" s="51"/>
      <c r="G796" s="9"/>
      <c r="H796" s="129">
        <f>VLOOKUP($A796,'Model Inputs'!$A:$D,4)</f>
        <v>1</v>
      </c>
      <c r="I796" s="9"/>
      <c r="J796" s="9"/>
      <c r="K796" s="89"/>
      <c r="L796" s="89"/>
      <c r="M796" s="9"/>
      <c r="N796" s="9"/>
      <c r="O796" s="9"/>
      <c r="P796" s="9"/>
      <c r="Q796" s="9"/>
      <c r="R796" s="43"/>
    </row>
    <row r="797" spans="1:75" x14ac:dyDescent="0.5">
      <c r="A797" s="130">
        <v>173</v>
      </c>
      <c r="B797" s="7" t="s">
        <v>474</v>
      </c>
      <c r="C797" s="7" t="s">
        <v>475</v>
      </c>
      <c r="D797" s="8" t="s">
        <v>83</v>
      </c>
      <c r="E797" s="43"/>
      <c r="F797" s="51"/>
      <c r="G797" s="9"/>
      <c r="H797" s="129">
        <f>VLOOKUP($A797,'Model Inputs'!$A:$D,4)</f>
        <v>24.5</v>
      </c>
      <c r="I797" s="9"/>
      <c r="J797" s="9">
        <f>SUBTOTAL(9,J799:J807)</f>
        <v>1353.7869014043195</v>
      </c>
      <c r="K797" s="89"/>
      <c r="L797" s="89">
        <f>L807/(50/9)/workhrs</f>
        <v>0.49</v>
      </c>
      <c r="M797" s="9">
        <f>SUBTOTAL(9,M799:M807)</f>
        <v>34.136325303413635</v>
      </c>
      <c r="N797" s="9">
        <f t="shared" ref="N797:Q797" si="75">SUBTOTAL(9,N799:N807)</f>
        <v>664.48016947163865</v>
      </c>
      <c r="O797" s="9">
        <f t="shared" si="75"/>
        <v>42.670406629267042</v>
      </c>
      <c r="P797" s="9">
        <f t="shared" si="75"/>
        <v>612.5</v>
      </c>
      <c r="Q797" s="9">
        <f t="shared" si="75"/>
        <v>1353.7869014043195</v>
      </c>
      <c r="R797" s="43"/>
    </row>
    <row r="798" spans="1:75" outlineLevel="1" x14ac:dyDescent="0.5">
      <c r="A798" s="132" t="s">
        <v>448</v>
      </c>
      <c r="B798" s="1">
        <v>1</v>
      </c>
      <c r="C798" s="2" t="s">
        <v>635</v>
      </c>
      <c r="D798" s="1"/>
      <c r="E798" s="45"/>
      <c r="F798" s="53"/>
      <c r="G798" s="11"/>
      <c r="H798" s="11"/>
      <c r="I798" s="11"/>
      <c r="J798" s="11"/>
      <c r="K798" s="91"/>
      <c r="L798" s="91"/>
      <c r="M798" s="13"/>
      <c r="N798" s="13"/>
      <c r="O798" s="13"/>
      <c r="P798" s="13"/>
      <c r="Q798" s="13"/>
      <c r="R798" s="119"/>
    </row>
    <row r="799" spans="1:75" outlineLevel="1" x14ac:dyDescent="0.5">
      <c r="A799" s="131" t="s">
        <v>448</v>
      </c>
      <c r="B799" s="14">
        <v>2</v>
      </c>
      <c r="C799" s="15" t="s">
        <v>145</v>
      </c>
      <c r="D799" s="44" t="str">
        <f>VLOOKUP(Estimate!$C799,Resources!$B$3:$G$336,4,FALSE)</f>
        <v xml:space="preserve">m³   </v>
      </c>
      <c r="E799" s="44" t="str">
        <f>VLOOKUP(Estimate!$C799,Resources!$B$3:$G$336,3,FALSE)</f>
        <v>M</v>
      </c>
      <c r="F799" s="52">
        <v>1</v>
      </c>
      <c r="G799" s="12">
        <v>1</v>
      </c>
      <c r="H799" s="12">
        <f>H797/9.091</f>
        <v>2.6949730502694975</v>
      </c>
      <c r="I799" s="12">
        <f>VLOOKUP(C799,Resources!$B$3:$G$336,6,FALSE)</f>
        <v>158.19999999999999</v>
      </c>
      <c r="J799" s="12">
        <f>(H799/(G799/F799))*I799</f>
        <v>426.34473655263446</v>
      </c>
      <c r="K799" s="90"/>
      <c r="L799" s="90" t="str">
        <f>IF(E799="M"," ",H799/G799)</f>
        <v xml:space="preserve"> </v>
      </c>
      <c r="M799" s="16">
        <f>IF($E799="L",$J799,0)</f>
        <v>0</v>
      </c>
      <c r="N799" s="16">
        <f>IF($E799="M",$J799,0)</f>
        <v>426.34473655263446</v>
      </c>
      <c r="O799" s="16">
        <f>IF($E799="P",$J799,0)</f>
        <v>0</v>
      </c>
      <c r="P799" s="16">
        <f>IF($E799="S",$J799,0)</f>
        <v>0</v>
      </c>
      <c r="Q799" s="16">
        <f>SUM(M799:P799)</f>
        <v>426.34473655263446</v>
      </c>
      <c r="R799" s="118" t="s">
        <v>946</v>
      </c>
    </row>
    <row r="800" spans="1:75" outlineLevel="1" x14ac:dyDescent="0.5">
      <c r="A800" s="131" t="s">
        <v>448</v>
      </c>
      <c r="B800" s="14">
        <v>3</v>
      </c>
      <c r="C800" s="15" t="s">
        <v>149</v>
      </c>
      <c r="D800" s="44" t="str">
        <f>VLOOKUP(Estimate!$C800,Resources!$B$3:$G$336,4,FALSE)</f>
        <v xml:space="preserve">m²   </v>
      </c>
      <c r="E800" s="44" t="str">
        <f>VLOOKUP(Estimate!$C800,Resources!$B$3:$G$336,3,FALSE)</f>
        <v>M</v>
      </c>
      <c r="F800" s="52">
        <v>1</v>
      </c>
      <c r="G800" s="12">
        <v>1</v>
      </c>
      <c r="H800" s="12">
        <f>H797*1.2</f>
        <v>29.4</v>
      </c>
      <c r="I800" s="12">
        <f>VLOOKUP(C800,Resources!$B$3:$G$336,6,FALSE)</f>
        <v>5.76</v>
      </c>
      <c r="J800" s="12">
        <f>(H800/(G800/F800))*I800</f>
        <v>169.34399999999999</v>
      </c>
      <c r="K800" s="90"/>
      <c r="L800" s="90" t="str">
        <f>IF(E800="M"," ",H800/G800)</f>
        <v xml:space="preserve"> </v>
      </c>
      <c r="M800" s="16">
        <f>IF($E800="L",$J800,0)</f>
        <v>0</v>
      </c>
      <c r="N800" s="16">
        <f>IF($E800="M",$J800,0)</f>
        <v>169.34399999999999</v>
      </c>
      <c r="O800" s="16">
        <f>IF($E800="P",$J800,0)</f>
        <v>0</v>
      </c>
      <c r="P800" s="16">
        <f>IF($E800="S",$J800,0)</f>
        <v>0</v>
      </c>
      <c r="Q800" s="16">
        <f>SUM(M800:P800)</f>
        <v>169.34399999999999</v>
      </c>
      <c r="R800" s="118" t="s">
        <v>944</v>
      </c>
    </row>
    <row r="801" spans="1:75" outlineLevel="1" x14ac:dyDescent="0.5">
      <c r="A801" s="131" t="s">
        <v>448</v>
      </c>
      <c r="B801" s="14">
        <v>4</v>
      </c>
      <c r="C801" s="15" t="s">
        <v>73</v>
      </c>
      <c r="D801" s="44" t="str">
        <f>VLOOKUP(Estimate!$C801,Resources!$B$3:$G$336,4,FALSE)</f>
        <v>tonne</v>
      </c>
      <c r="E801" s="44" t="str">
        <f>VLOOKUP(Estimate!$C801,Resources!$B$3:$G$336,3,FALSE)</f>
        <v>M</v>
      </c>
      <c r="F801" s="52">
        <v>1</v>
      </c>
      <c r="G801" s="12">
        <v>1</v>
      </c>
      <c r="H801" s="12">
        <f>H797/9.091</f>
        <v>2.6949730502694975</v>
      </c>
      <c r="I801" s="12">
        <f>VLOOKUP(C801,Resources!$B$3:$G$336,6,FALSE)</f>
        <v>17.95</v>
      </c>
      <c r="J801" s="12">
        <f>(H801/(G801/F801))*I801</f>
        <v>48.37476625233748</v>
      </c>
      <c r="K801" s="90"/>
      <c r="L801" s="90" t="str">
        <f>IF(E801="M"," ",H801/G801)</f>
        <v xml:space="preserve"> </v>
      </c>
      <c r="M801" s="16">
        <f>IF($E801="L",$J801,0)</f>
        <v>0</v>
      </c>
      <c r="N801" s="16">
        <f>IF($E801="M",$J801,0)</f>
        <v>48.37476625233748</v>
      </c>
      <c r="O801" s="16">
        <f>IF($E801="P",$J801,0)</f>
        <v>0</v>
      </c>
      <c r="P801" s="16">
        <f>IF($E801="S",$J801,0)</f>
        <v>0</v>
      </c>
      <c r="Q801" s="16">
        <f>SUM(M801:P801)</f>
        <v>48.37476625233748</v>
      </c>
      <c r="R801" s="118" t="s">
        <v>945</v>
      </c>
    </row>
    <row r="802" spans="1:75" outlineLevel="1" x14ac:dyDescent="0.5">
      <c r="A802" s="131" t="s">
        <v>448</v>
      </c>
      <c r="B802" s="14">
        <v>5</v>
      </c>
      <c r="C802" s="15" t="s">
        <v>150</v>
      </c>
      <c r="D802" s="44" t="str">
        <f>VLOOKUP(Estimate!$C802,Resources!$B$3:$G$336,4,FALSE)</f>
        <v xml:space="preserve">each </v>
      </c>
      <c r="E802" s="44" t="str">
        <f>VLOOKUP(Estimate!$C802,Resources!$B$3:$G$336,3,FALSE)</f>
        <v>M</v>
      </c>
      <c r="F802" s="52">
        <v>1</v>
      </c>
      <c r="G802" s="12">
        <v>1</v>
      </c>
      <c r="H802" s="12">
        <f>H797/2.4</f>
        <v>10.208333333333334</v>
      </c>
      <c r="I802" s="12">
        <f>VLOOKUP(C802,Resources!$B$3:$G$336,6,FALSE)</f>
        <v>2</v>
      </c>
      <c r="J802" s="12">
        <f>(H802/(G802/F802))*I802</f>
        <v>20.416666666666668</v>
      </c>
      <c r="K802" s="90"/>
      <c r="L802" s="90" t="str">
        <f>IF(E802="M"," ",H802/G802)</f>
        <v xml:space="preserve"> </v>
      </c>
      <c r="M802" s="16">
        <f>IF($E802="L",$J802,0)</f>
        <v>0</v>
      </c>
      <c r="N802" s="16">
        <f>IF($E802="M",$J802,0)</f>
        <v>20.416666666666668</v>
      </c>
      <c r="O802" s="16">
        <f>IF($E802="P",$J802,0)</f>
        <v>0</v>
      </c>
      <c r="P802" s="16">
        <f>IF($E802="S",$J802,0)</f>
        <v>0</v>
      </c>
      <c r="Q802" s="16">
        <f>SUM(M802:P802)</f>
        <v>20.416666666666668</v>
      </c>
      <c r="R802" s="118" t="s">
        <v>958</v>
      </c>
    </row>
    <row r="803" spans="1:75" s="22" customFormat="1" outlineLevel="1" x14ac:dyDescent="0.5">
      <c r="A803" s="133" t="s">
        <v>448</v>
      </c>
      <c r="B803" s="18">
        <v>6</v>
      </c>
      <c r="C803" s="19" t="s">
        <v>636</v>
      </c>
      <c r="D803" s="18"/>
      <c r="E803" s="46"/>
      <c r="F803" s="54"/>
      <c r="G803" s="20"/>
      <c r="H803" s="20"/>
      <c r="I803" s="20"/>
      <c r="J803" s="20"/>
      <c r="K803" s="92"/>
      <c r="L803" s="92"/>
      <c r="M803" s="21"/>
      <c r="N803" s="21"/>
      <c r="O803" s="21"/>
      <c r="P803" s="21"/>
      <c r="Q803" s="21"/>
      <c r="R803" s="120"/>
      <c r="BR803" s="83"/>
    </row>
    <row r="804" spans="1:75" outlineLevel="1" x14ac:dyDescent="0.5">
      <c r="A804" s="131">
        <v>173.1</v>
      </c>
      <c r="B804" s="14">
        <v>7</v>
      </c>
      <c r="C804" s="15" t="s">
        <v>49</v>
      </c>
      <c r="D804" s="44" t="str">
        <f>VLOOKUP(Estimate!$C804,Resources!$B$3:$G$336,4,FALSE)</f>
        <v xml:space="preserve">hr   </v>
      </c>
      <c r="E804" s="44" t="str">
        <f>VLOOKUP(Estimate!$C804,Resources!$B$3:$G$336,3,FALSE)</f>
        <v>P</v>
      </c>
      <c r="F804" s="52">
        <v>1</v>
      </c>
      <c r="G804" s="129">
        <f>VLOOKUP($A804,'Model Inputs'!$A:$D,4)</f>
        <v>6</v>
      </c>
      <c r="H804" s="12">
        <f>H801</f>
        <v>2.6949730502694975</v>
      </c>
      <c r="I804" s="12">
        <f>VLOOKUP(C804,Resources!$B$3:$G$336,6,FALSE)</f>
        <v>95</v>
      </c>
      <c r="J804" s="12">
        <f>(H804/(G804/F804))*I804</f>
        <v>42.670406629267042</v>
      </c>
      <c r="K804" s="90">
        <f>L804*F804</f>
        <v>0.44916217504491623</v>
      </c>
      <c r="L804" s="90">
        <f>IF(E804="M"," ",H804/G804)</f>
        <v>0.44916217504491623</v>
      </c>
      <c r="M804" s="16">
        <f>IF($E804="L",$J804,0)</f>
        <v>0</v>
      </c>
      <c r="N804" s="16">
        <f>IF($E804="M",$J804,0)</f>
        <v>0</v>
      </c>
      <c r="O804" s="16">
        <f>IF($E804="P",$J804,0)</f>
        <v>42.670406629267042</v>
      </c>
      <c r="P804" s="16">
        <f>IF($E804="S",$J804,0)</f>
        <v>0</v>
      </c>
      <c r="Q804" s="16">
        <f>SUM(M804:P804)</f>
        <v>42.670406629267042</v>
      </c>
      <c r="R804" s="118">
        <v>73</v>
      </c>
    </row>
    <row r="805" spans="1:75" outlineLevel="1" x14ac:dyDescent="0.5">
      <c r="A805" s="131" t="s">
        <v>448</v>
      </c>
      <c r="B805" s="14">
        <v>8</v>
      </c>
      <c r="C805" s="15" t="s">
        <v>7</v>
      </c>
      <c r="D805" s="44" t="str">
        <f>VLOOKUP(Estimate!$C805,Resources!$B$3:$G$336,4,FALSE)</f>
        <v xml:space="preserve">hr   </v>
      </c>
      <c r="E805" s="44" t="str">
        <f>VLOOKUP(Estimate!$C805,Resources!$B$3:$G$336,3,FALSE)</f>
        <v>L</v>
      </c>
      <c r="F805" s="52">
        <v>2</v>
      </c>
      <c r="G805" s="12">
        <f>G804</f>
        <v>6</v>
      </c>
      <c r="H805" s="12">
        <f>H804</f>
        <v>2.6949730502694975</v>
      </c>
      <c r="I805" s="12">
        <f>VLOOKUP(C805,Resources!$B$3:$G$336,6,FALSE)</f>
        <v>38</v>
      </c>
      <c r="J805" s="12">
        <f>(H805/(G805/F805))*I805</f>
        <v>34.136325303413635</v>
      </c>
      <c r="K805" s="90">
        <f>L805*F805</f>
        <v>0.89832435008983247</v>
      </c>
      <c r="L805" s="90">
        <f>IF(E805="M"," ",H805/G805)</f>
        <v>0.44916217504491623</v>
      </c>
      <c r="M805" s="16">
        <f>IF($E805="L",$J805,0)</f>
        <v>34.136325303413635</v>
      </c>
      <c r="N805" s="16">
        <f>IF($E805="M",$J805,0)</f>
        <v>0</v>
      </c>
      <c r="O805" s="16">
        <f>IF($E805="P",$J805,0)</f>
        <v>0</v>
      </c>
      <c r="P805" s="16">
        <f>IF($E805="S",$J805,0)</f>
        <v>0</v>
      </c>
      <c r="Q805" s="16">
        <f>SUM(M805:P805)</f>
        <v>34.136325303413635</v>
      </c>
      <c r="R805" s="118">
        <v>73</v>
      </c>
    </row>
    <row r="806" spans="1:75" s="22" customFormat="1" outlineLevel="1" x14ac:dyDescent="0.5">
      <c r="A806" s="133" t="s">
        <v>448</v>
      </c>
      <c r="B806" s="18"/>
      <c r="C806" s="19" t="s">
        <v>638</v>
      </c>
      <c r="D806" s="18"/>
      <c r="E806" s="46"/>
      <c r="F806" s="54"/>
      <c r="G806" s="20"/>
      <c r="H806" s="20"/>
      <c r="I806" s="20"/>
      <c r="J806" s="20"/>
      <c r="K806" s="92"/>
      <c r="L806" s="92"/>
      <c r="M806" s="21"/>
      <c r="N806" s="21"/>
      <c r="O806" s="21"/>
      <c r="P806" s="21"/>
      <c r="Q806" s="21"/>
      <c r="R806" s="120"/>
      <c r="BR806" s="83"/>
    </row>
    <row r="807" spans="1:75" outlineLevel="1" x14ac:dyDescent="0.5">
      <c r="A807" s="131" t="s">
        <v>448</v>
      </c>
      <c r="B807" s="14">
        <v>10</v>
      </c>
      <c r="C807" s="15" t="s">
        <v>151</v>
      </c>
      <c r="D807" s="44" t="str">
        <f>VLOOKUP(Estimate!$C807,Resources!$B$3:$G$336,4,FALSE)</f>
        <v xml:space="preserve">m²   </v>
      </c>
      <c r="E807" s="44" t="str">
        <f>VLOOKUP(Estimate!$C807,Resources!$B$3:$G$336,3,FALSE)</f>
        <v>S</v>
      </c>
      <c r="F807" s="52">
        <v>1</v>
      </c>
      <c r="G807" s="12">
        <v>1</v>
      </c>
      <c r="H807" s="12">
        <f>H797</f>
        <v>24.5</v>
      </c>
      <c r="I807" s="12">
        <f>VLOOKUP(C807,Resources!$B$3:$G$336,6,FALSE)</f>
        <v>25</v>
      </c>
      <c r="J807" s="12">
        <f>(H807/(G807/F807))*I807</f>
        <v>612.5</v>
      </c>
      <c r="K807" s="90"/>
      <c r="L807" s="90">
        <f>IF(E807="M"," ",H807/G807)</f>
        <v>24.5</v>
      </c>
      <c r="M807" s="16">
        <f>IF($E807="L",$J807,0)</f>
        <v>0</v>
      </c>
      <c r="N807" s="16">
        <f>IF($E807="M",$J807,0)</f>
        <v>0</v>
      </c>
      <c r="O807" s="16">
        <f>IF($E807="P",$J807,0)</f>
        <v>0</v>
      </c>
      <c r="P807" s="16">
        <f>IF($E807="S",$J807,0)</f>
        <v>612.5</v>
      </c>
      <c r="Q807" s="16">
        <f>SUM(M807:P807)</f>
        <v>612.5</v>
      </c>
      <c r="R807" s="118">
        <v>73</v>
      </c>
    </row>
    <row r="808" spans="1:75" customFormat="1" ht="14.25" customHeight="1" x14ac:dyDescent="0.65">
      <c r="A808" s="47" t="s">
        <v>448</v>
      </c>
      <c r="B808" s="30"/>
      <c r="C808" s="31"/>
      <c r="D808" s="55"/>
      <c r="E808" s="47"/>
      <c r="F808" s="56"/>
      <c r="G808" s="56"/>
      <c r="H808" s="32"/>
      <c r="I808" s="32"/>
      <c r="J808" s="32"/>
      <c r="K808" s="32"/>
      <c r="L808" s="32"/>
      <c r="M808" s="33"/>
      <c r="N808" s="33"/>
      <c r="O808" s="33"/>
      <c r="P808" s="93"/>
      <c r="Q808" s="93"/>
      <c r="R808" s="122"/>
      <c r="S808" s="33"/>
      <c r="T808" s="34"/>
      <c r="BW808" s="28"/>
    </row>
    <row r="809" spans="1:75" x14ac:dyDescent="0.5">
      <c r="A809" s="130">
        <v>174</v>
      </c>
      <c r="B809" s="7" t="s">
        <v>476</v>
      </c>
      <c r="C809" s="7" t="s">
        <v>477</v>
      </c>
      <c r="D809" s="8" t="s">
        <v>451</v>
      </c>
      <c r="E809" s="43"/>
      <c r="F809" s="51"/>
      <c r="G809" s="9"/>
      <c r="H809" s="129">
        <f>VLOOKUP($A809,'Model Inputs'!$A:$D,4)</f>
        <v>1</v>
      </c>
      <c r="I809" s="9"/>
      <c r="J809" s="9"/>
      <c r="K809" s="89"/>
      <c r="L809" s="89"/>
      <c r="M809" s="9"/>
      <c r="N809" s="9"/>
      <c r="O809" s="9"/>
      <c r="P809" s="9"/>
      <c r="Q809" s="9"/>
      <c r="R809" s="43"/>
    </row>
    <row r="810" spans="1:75" x14ac:dyDescent="0.5">
      <c r="A810" s="130">
        <v>175</v>
      </c>
      <c r="B810" s="7" t="s">
        <v>478</v>
      </c>
      <c r="C810" s="7" t="s">
        <v>479</v>
      </c>
      <c r="D810" s="8" t="s">
        <v>25</v>
      </c>
      <c r="E810" s="43"/>
      <c r="F810" s="51"/>
      <c r="G810" s="9"/>
      <c r="H810" s="129">
        <f>VLOOKUP($A810,'Model Inputs'!$A:$D,4)</f>
        <v>4.88</v>
      </c>
      <c r="I810" s="9"/>
      <c r="J810" s="9">
        <f>SUBTOTAL(9,J812:J817)</f>
        <v>691.29113808309592</v>
      </c>
      <c r="K810" s="89"/>
      <c r="L810" s="89">
        <f>MAX(L815:L817)/workhrs</f>
        <v>8.1329266869989827E-2</v>
      </c>
      <c r="M810" s="9">
        <f>SUBTOTAL(9,M812:M817)</f>
        <v>83.443827808609569</v>
      </c>
      <c r="N810" s="9">
        <f t="shared" ref="N810:Q810" si="76">SUBTOTAL(9,N812:N817)</f>
        <v>498.05280000000005</v>
      </c>
      <c r="O810" s="9">
        <f t="shared" si="76"/>
        <v>109.79451027448629</v>
      </c>
      <c r="P810" s="9">
        <f t="shared" si="76"/>
        <v>0</v>
      </c>
      <c r="Q810" s="9">
        <f t="shared" si="76"/>
        <v>691.29113808309592</v>
      </c>
      <c r="R810" s="43"/>
    </row>
    <row r="811" spans="1:75" outlineLevel="1" x14ac:dyDescent="0.5">
      <c r="A811" s="132" t="s">
        <v>448</v>
      </c>
      <c r="B811" s="1">
        <v>1</v>
      </c>
      <c r="C811" s="2" t="s">
        <v>635</v>
      </c>
      <c r="D811" s="1"/>
      <c r="E811" s="45"/>
      <c r="F811" s="53"/>
      <c r="G811" s="11"/>
      <c r="H811" s="11"/>
      <c r="I811" s="11"/>
      <c r="J811" s="11"/>
      <c r="K811" s="91"/>
      <c r="L811" s="91"/>
      <c r="M811" s="13"/>
      <c r="N811" s="13"/>
      <c r="O811" s="13"/>
      <c r="P811" s="13"/>
      <c r="Q811" s="13"/>
      <c r="R811" s="119"/>
    </row>
    <row r="812" spans="1:75" outlineLevel="1" x14ac:dyDescent="0.5">
      <c r="A812" s="131" t="s">
        <v>448</v>
      </c>
      <c r="B812" s="14">
        <v>2</v>
      </c>
      <c r="C812" s="15" t="s">
        <v>184</v>
      </c>
      <c r="D812" s="44" t="str">
        <f>VLOOKUP(Estimate!$C812,Resources!$B$3:$G$336,4,FALSE)</f>
        <v xml:space="preserve">m    </v>
      </c>
      <c r="E812" s="44" t="str">
        <f>VLOOKUP(Estimate!$C812,Resources!$B$3:$G$336,3,FALSE)</f>
        <v>M</v>
      </c>
      <c r="F812" s="52">
        <v>1</v>
      </c>
      <c r="G812" s="12">
        <v>1</v>
      </c>
      <c r="H812" s="12">
        <f>H810</f>
        <v>4.88</v>
      </c>
      <c r="I812" s="12">
        <f>VLOOKUP(C812,Resources!$B$3:$G$336,6,FALSE)</f>
        <v>76.930000000000007</v>
      </c>
      <c r="J812" s="12">
        <f>(H812/(G812/F812))*I812</f>
        <v>375.41840000000002</v>
      </c>
      <c r="K812" s="90"/>
      <c r="L812" s="90" t="str">
        <f>IF(E812="M"," ",H812/G812)</f>
        <v xml:space="preserve"> </v>
      </c>
      <c r="M812" s="16">
        <f>IF($E812="L",$J812,0)</f>
        <v>0</v>
      </c>
      <c r="N812" s="16">
        <f>IF($E812="M",$J812,0)</f>
        <v>375.41840000000002</v>
      </c>
      <c r="O812" s="16">
        <f>IF($E812="P",$J812,0)</f>
        <v>0</v>
      </c>
      <c r="P812" s="16">
        <f>IF($E812="S",$J812,0)</f>
        <v>0</v>
      </c>
      <c r="Q812" s="16">
        <f>SUM(M812:P812)</f>
        <v>375.41840000000002</v>
      </c>
      <c r="R812" s="118" t="s">
        <v>960</v>
      </c>
    </row>
    <row r="813" spans="1:75" outlineLevel="1" x14ac:dyDescent="0.5">
      <c r="A813" s="131" t="s">
        <v>448</v>
      </c>
      <c r="B813" s="14">
        <v>3</v>
      </c>
      <c r="C813" s="15" t="s">
        <v>73</v>
      </c>
      <c r="D813" s="44" t="str">
        <f>VLOOKUP(Estimate!$C813,Resources!$B$3:$G$336,4,FALSE)</f>
        <v>tonne</v>
      </c>
      <c r="E813" s="44" t="str">
        <f>VLOOKUP(Estimate!$C813,Resources!$B$3:$G$336,3,FALSE)</f>
        <v>M</v>
      </c>
      <c r="F813" s="52">
        <v>1</v>
      </c>
      <c r="G813" s="12">
        <v>1</v>
      </c>
      <c r="H813" s="12">
        <f>H810*1.4</f>
        <v>6.8319999999999999</v>
      </c>
      <c r="I813" s="12">
        <f>VLOOKUP(C813,Resources!$B$3:$G$336,6,FALSE)</f>
        <v>17.95</v>
      </c>
      <c r="J813" s="12">
        <f>(H813/(G813/F813))*I813</f>
        <v>122.6344</v>
      </c>
      <c r="K813" s="90"/>
      <c r="L813" s="90" t="str">
        <f>IF(E813="M"," ",H813/G813)</f>
        <v xml:space="preserve"> </v>
      </c>
      <c r="M813" s="16">
        <f>IF($E813="L",$J813,0)</f>
        <v>0</v>
      </c>
      <c r="N813" s="16">
        <f>IF($E813="M",$J813,0)</f>
        <v>122.6344</v>
      </c>
      <c r="O813" s="16">
        <f>IF($E813="P",$J813,0)</f>
        <v>0</v>
      </c>
      <c r="P813" s="16">
        <f>IF($E813="S",$J813,0)</f>
        <v>0</v>
      </c>
      <c r="Q813" s="16">
        <f>SUM(M813:P813)</f>
        <v>122.6344</v>
      </c>
      <c r="R813" s="118" t="s">
        <v>945</v>
      </c>
    </row>
    <row r="814" spans="1:75" outlineLevel="1" x14ac:dyDescent="0.5">
      <c r="A814" s="132" t="s">
        <v>448</v>
      </c>
      <c r="B814" s="1">
        <v>4</v>
      </c>
      <c r="C814" s="2" t="s">
        <v>639</v>
      </c>
      <c r="D814" s="1"/>
      <c r="E814" s="45"/>
      <c r="F814" s="53"/>
      <c r="G814" s="11"/>
      <c r="H814" s="11"/>
      <c r="I814" s="11"/>
      <c r="J814" s="11"/>
      <c r="K814" s="91"/>
      <c r="L814" s="91"/>
      <c r="M814" s="11"/>
      <c r="N814" s="13"/>
      <c r="O814" s="13"/>
      <c r="P814" s="13"/>
      <c r="Q814" s="13"/>
      <c r="R814" s="119"/>
    </row>
    <row r="815" spans="1:75" outlineLevel="1" x14ac:dyDescent="0.5">
      <c r="A815" s="131">
        <v>175.1</v>
      </c>
      <c r="B815" s="14">
        <v>5</v>
      </c>
      <c r="C815" s="15" t="s">
        <v>55</v>
      </c>
      <c r="D815" s="44" t="str">
        <f>VLOOKUP(Estimate!$C815,Resources!$B$3:$G$336,4,FALSE)</f>
        <v xml:space="preserve">hr   </v>
      </c>
      <c r="E815" s="44" t="str">
        <f>VLOOKUP(Estimate!$C815,Resources!$B$3:$G$336,3,FALSE)</f>
        <v>P</v>
      </c>
      <c r="F815" s="52">
        <v>1</v>
      </c>
      <c r="G815" s="129">
        <f>VLOOKUP($A815,'Model Inputs'!$A:$D,4)</f>
        <v>6.6669999999999998</v>
      </c>
      <c r="H815" s="12">
        <f>H810</f>
        <v>4.88</v>
      </c>
      <c r="I815" s="12">
        <f>VLOOKUP(C815,Resources!$B$3:$G$336,6,FALSE)</f>
        <v>135</v>
      </c>
      <c r="J815" s="12">
        <f>(H815/(G815/F815))*I815</f>
        <v>98.815059247037652</v>
      </c>
      <c r="K815" s="90">
        <f>L815*F815</f>
        <v>0.73196340182990849</v>
      </c>
      <c r="L815" s="90">
        <f>IF(E815="M"," ",H815/G815)</f>
        <v>0.73196340182990849</v>
      </c>
      <c r="M815" s="16">
        <f>IF($E815="L",$J815,0)</f>
        <v>0</v>
      </c>
      <c r="N815" s="16">
        <f>IF($E815="M",$J815,0)</f>
        <v>0</v>
      </c>
      <c r="O815" s="16">
        <f>IF($E815="P",$J815,0)</f>
        <v>98.815059247037652</v>
      </c>
      <c r="P815" s="16">
        <f>IF($E815="S",$J815,0)</f>
        <v>0</v>
      </c>
      <c r="Q815" s="16">
        <f>SUM(M815:P815)</f>
        <v>98.815059247037652</v>
      </c>
      <c r="R815" s="118">
        <v>81</v>
      </c>
    </row>
    <row r="816" spans="1:75" outlineLevel="1" x14ac:dyDescent="0.5">
      <c r="A816" s="131" t="s">
        <v>448</v>
      </c>
      <c r="B816" s="14">
        <v>6</v>
      </c>
      <c r="C816" s="15" t="s">
        <v>7</v>
      </c>
      <c r="D816" s="44" t="str">
        <f>VLOOKUP(Estimate!$C816,Resources!$B$3:$G$336,4,FALSE)</f>
        <v xml:space="preserve">hr   </v>
      </c>
      <c r="E816" s="44" t="str">
        <f>VLOOKUP(Estimate!$C816,Resources!$B$3:$G$336,3,FALSE)</f>
        <v>L</v>
      </c>
      <c r="F816" s="52">
        <v>3</v>
      </c>
      <c r="G816" s="12">
        <f>G815</f>
        <v>6.6669999999999998</v>
      </c>
      <c r="H816" s="12">
        <f>H810</f>
        <v>4.88</v>
      </c>
      <c r="I816" s="12">
        <f>VLOOKUP(C816,Resources!$B$3:$G$336,6,FALSE)</f>
        <v>38</v>
      </c>
      <c r="J816" s="12">
        <f>(H816/(G816/F816))*I816</f>
        <v>83.443827808609569</v>
      </c>
      <c r="K816" s="90">
        <f>L816*F816</f>
        <v>2.1958902054897256</v>
      </c>
      <c r="L816" s="90">
        <f>IF(E816="M"," ",H816/G816)</f>
        <v>0.73196340182990849</v>
      </c>
      <c r="M816" s="16">
        <f>IF($E816="L",$J816,0)</f>
        <v>83.443827808609569</v>
      </c>
      <c r="N816" s="16">
        <f>IF($E816="M",$J816,0)</f>
        <v>0</v>
      </c>
      <c r="O816" s="16">
        <f>IF($E816="P",$J816,0)</f>
        <v>0</v>
      </c>
      <c r="P816" s="16">
        <f>IF($E816="S",$J816,0)</f>
        <v>0</v>
      </c>
      <c r="Q816" s="16">
        <f>SUM(M816:P816)</f>
        <v>83.443827808609569</v>
      </c>
      <c r="R816" s="118">
        <v>81</v>
      </c>
    </row>
    <row r="817" spans="1:75" outlineLevel="1" x14ac:dyDescent="0.5">
      <c r="A817" s="131" t="s">
        <v>448</v>
      </c>
      <c r="B817" s="14">
        <v>7</v>
      </c>
      <c r="C817" s="15" t="s">
        <v>179</v>
      </c>
      <c r="D817" s="44" t="str">
        <f>VLOOKUP(Estimate!$C817,Resources!$B$3:$G$336,4,FALSE)</f>
        <v xml:space="preserve">hr   </v>
      </c>
      <c r="E817" s="44" t="str">
        <f>VLOOKUP(Estimate!$C817,Resources!$B$3:$G$336,3,FALSE)</f>
        <v>P</v>
      </c>
      <c r="F817" s="52">
        <v>1</v>
      </c>
      <c r="G817" s="12">
        <f>G815</f>
        <v>6.6669999999999998</v>
      </c>
      <c r="H817" s="12">
        <f>H810</f>
        <v>4.88</v>
      </c>
      <c r="I817" s="12">
        <f>VLOOKUP(C817,Resources!$B$3:$G$336,6,FALSE)</f>
        <v>15</v>
      </c>
      <c r="J817" s="12">
        <f>(H817/(G817/F817))*I817</f>
        <v>10.979451027448627</v>
      </c>
      <c r="K817" s="90">
        <f>L817*F817</f>
        <v>0.73196340182990849</v>
      </c>
      <c r="L817" s="90">
        <f>IF(E817="M"," ",H817/G817)</f>
        <v>0.73196340182990849</v>
      </c>
      <c r="M817" s="16">
        <f>IF($E817="L",$J817,0)</f>
        <v>0</v>
      </c>
      <c r="N817" s="16">
        <f>IF($E817="M",$J817,0)</f>
        <v>0</v>
      </c>
      <c r="O817" s="16">
        <f>IF($E817="P",$J817,0)</f>
        <v>10.979451027448627</v>
      </c>
      <c r="P817" s="16">
        <f>IF($E817="S",$J817,0)</f>
        <v>0</v>
      </c>
      <c r="Q817" s="16">
        <f>SUM(M817:P817)</f>
        <v>10.979451027448627</v>
      </c>
      <c r="R817" s="118">
        <v>81</v>
      </c>
    </row>
    <row r="818" spans="1:75" customFormat="1" ht="14.25" customHeight="1" x14ac:dyDescent="0.65">
      <c r="A818" s="47" t="s">
        <v>448</v>
      </c>
      <c r="B818" s="30"/>
      <c r="C818" s="31"/>
      <c r="D818" s="55"/>
      <c r="E818" s="47"/>
      <c r="F818" s="56"/>
      <c r="G818" s="56"/>
      <c r="H818" s="32"/>
      <c r="I818" s="32"/>
      <c r="J818" s="32"/>
      <c r="K818" s="32"/>
      <c r="L818" s="32"/>
      <c r="M818" s="33"/>
      <c r="N818" s="33"/>
      <c r="O818" s="33"/>
      <c r="P818" s="93"/>
      <c r="Q818" s="93"/>
      <c r="R818" s="122"/>
      <c r="S818" s="33"/>
      <c r="T818" s="34"/>
      <c r="BW818" s="28"/>
    </row>
    <row r="819" spans="1:75" ht="21" x14ac:dyDescent="0.5">
      <c r="A819" s="130">
        <v>176</v>
      </c>
      <c r="B819" s="7" t="s">
        <v>480</v>
      </c>
      <c r="C819" s="7" t="s">
        <v>481</v>
      </c>
      <c r="D819" s="8" t="s">
        <v>451</v>
      </c>
      <c r="E819" s="43"/>
      <c r="F819" s="51"/>
      <c r="G819" s="9"/>
      <c r="H819" s="129">
        <f>VLOOKUP($A819,'Model Inputs'!$A:$D,4)</f>
        <v>1</v>
      </c>
      <c r="I819" s="9"/>
      <c r="J819" s="9"/>
      <c r="K819" s="89"/>
      <c r="L819" s="89"/>
      <c r="M819" s="9"/>
      <c r="N819" s="9"/>
      <c r="O819" s="9"/>
      <c r="P819" s="9"/>
      <c r="Q819" s="9"/>
      <c r="R819" s="43"/>
    </row>
    <row r="820" spans="1:75" x14ac:dyDescent="0.5">
      <c r="A820" s="130">
        <v>177</v>
      </c>
      <c r="B820" s="7" t="s">
        <v>482</v>
      </c>
      <c r="C820" s="7" t="s">
        <v>483</v>
      </c>
      <c r="D820" s="8" t="s">
        <v>72</v>
      </c>
      <c r="E820" s="43"/>
      <c r="F820" s="51"/>
      <c r="G820" s="9"/>
      <c r="H820" s="129">
        <f>VLOOKUP($A820,'Model Inputs'!$A:$D,4)</f>
        <v>460</v>
      </c>
      <c r="I820" s="9"/>
      <c r="J820" s="9">
        <f>SUBTOTAL(9,J821:J826)</f>
        <v>3090.7430907430912</v>
      </c>
      <c r="K820" s="9"/>
      <c r="L820" s="9">
        <f>MAX(L821:L826)/workhrs</f>
        <v>0.46000046000046002</v>
      </c>
      <c r="M820" s="9">
        <f>SUBTOTAL(9,M821:M826)</f>
        <v>314.64031464031467</v>
      </c>
      <c r="N820" s="9">
        <f>SUBTOTAL(9,N821:N826)</f>
        <v>0</v>
      </c>
      <c r="O820" s="9">
        <f>SUBTOTAL(9,O821:O826)</f>
        <v>2776.1027761027763</v>
      </c>
      <c r="P820" s="9">
        <f>SUBTOTAL(9,P821:P826)</f>
        <v>0</v>
      </c>
      <c r="Q820" s="9">
        <f>SUBTOTAL(9,Q821:Q826)</f>
        <v>3090.7430907430912</v>
      </c>
      <c r="R820" s="43"/>
    </row>
    <row r="821" spans="1:75" outlineLevel="1" x14ac:dyDescent="0.5">
      <c r="A821" s="131">
        <v>177.1</v>
      </c>
      <c r="B821" s="14">
        <v>1</v>
      </c>
      <c r="C821" s="15" t="s">
        <v>55</v>
      </c>
      <c r="D821" s="44" t="str">
        <f>VLOOKUP(Estimate!$C821,Resources!$B$3:$G$336,4,FALSE)</f>
        <v xml:space="preserve">hr   </v>
      </c>
      <c r="E821" s="44" t="str">
        <f>VLOOKUP(Estimate!$C821,Resources!$B$3:$G$336,3,FALSE)</f>
        <v>P</v>
      </c>
      <c r="F821" s="52">
        <v>1</v>
      </c>
      <c r="G821" s="129">
        <f>VLOOKUP($A821,'Model Inputs'!$A:$D,4)</f>
        <v>111.111</v>
      </c>
      <c r="H821" s="12">
        <f>H820</f>
        <v>460</v>
      </c>
      <c r="I821" s="12">
        <f>VLOOKUP(C821,Resources!$B$3:$G$336,6,FALSE)</f>
        <v>135</v>
      </c>
      <c r="J821" s="12">
        <f t="shared" ref="J821:J826" si="77">(H821/(G821/F821))*I821</f>
        <v>558.90055890055896</v>
      </c>
      <c r="K821" s="90">
        <f t="shared" ref="K821:K826" si="78">L821*F821</f>
        <v>4.1400041400041401</v>
      </c>
      <c r="L821" s="90">
        <f t="shared" ref="L821:L826" si="79">IF(E821="M"," ",H821/G821)</f>
        <v>4.1400041400041401</v>
      </c>
      <c r="M821" s="16">
        <f t="shared" ref="M821:M826" si="80">IF($E821="L",$J821,0)</f>
        <v>0</v>
      </c>
      <c r="N821" s="16">
        <f t="shared" ref="N821:N826" si="81">IF($E821="M",$J821,0)</f>
        <v>0</v>
      </c>
      <c r="O821" s="16">
        <f t="shared" ref="O821:O826" si="82">IF($E821="P",$J821,0)</f>
        <v>558.90055890055896</v>
      </c>
      <c r="P821" s="16">
        <f t="shared" ref="P821:P826" si="83">IF($E821="S",$J821,0)</f>
        <v>0</v>
      </c>
      <c r="Q821" s="16">
        <f t="shared" ref="Q821:Q826" si="84">SUM(M821:P821)</f>
        <v>558.90055890055896</v>
      </c>
      <c r="R821" s="118">
        <v>51</v>
      </c>
    </row>
    <row r="822" spans="1:75" outlineLevel="1" x14ac:dyDescent="0.5">
      <c r="A822" s="131" t="s">
        <v>448</v>
      </c>
      <c r="B822" s="14">
        <v>2</v>
      </c>
      <c r="C822" s="15" t="s">
        <v>66</v>
      </c>
      <c r="D822" s="44" t="str">
        <f>VLOOKUP(Estimate!$C822,Resources!$B$3:$G$336,4,FALSE)</f>
        <v xml:space="preserve">hr   </v>
      </c>
      <c r="E822" s="44" t="str">
        <f>VLOOKUP(Estimate!$C822,Resources!$B$3:$G$336,3,FALSE)</f>
        <v>P</v>
      </c>
      <c r="F822" s="52">
        <v>3</v>
      </c>
      <c r="G822" s="12">
        <f>G821</f>
        <v>111.111</v>
      </c>
      <c r="H822" s="12">
        <f>H820</f>
        <v>460</v>
      </c>
      <c r="I822" s="12">
        <f>VLOOKUP(C822,Resources!$B$3:$G$336,6,FALSE)</f>
        <v>85</v>
      </c>
      <c r="J822" s="12">
        <f t="shared" si="77"/>
        <v>1055.7010557010558</v>
      </c>
      <c r="K822" s="90">
        <f t="shared" si="78"/>
        <v>12.420012420012419</v>
      </c>
      <c r="L822" s="90">
        <f t="shared" si="79"/>
        <v>4.1400041400041401</v>
      </c>
      <c r="M822" s="16">
        <f t="shared" si="80"/>
        <v>0</v>
      </c>
      <c r="N822" s="16">
        <f t="shared" si="81"/>
        <v>0</v>
      </c>
      <c r="O822" s="16">
        <f t="shared" si="82"/>
        <v>1055.7010557010558</v>
      </c>
      <c r="P822" s="16">
        <f t="shared" si="83"/>
        <v>0</v>
      </c>
      <c r="Q822" s="16">
        <f t="shared" si="84"/>
        <v>1055.7010557010558</v>
      </c>
      <c r="R822" s="118">
        <v>51</v>
      </c>
    </row>
    <row r="823" spans="1:75" outlineLevel="1" x14ac:dyDescent="0.5">
      <c r="A823" s="131" t="s">
        <v>448</v>
      </c>
      <c r="B823" s="14">
        <v>3</v>
      </c>
      <c r="C823" s="15" t="s">
        <v>7</v>
      </c>
      <c r="D823" s="44" t="str">
        <f>VLOOKUP(Estimate!$C823,Resources!$B$3:$G$336,4,FALSE)</f>
        <v xml:space="preserve">hr   </v>
      </c>
      <c r="E823" s="44" t="str">
        <f>VLOOKUP(Estimate!$C823,Resources!$B$3:$G$336,3,FALSE)</f>
        <v>L</v>
      </c>
      <c r="F823" s="52">
        <v>2</v>
      </c>
      <c r="G823" s="12">
        <f>G821</f>
        <v>111.111</v>
      </c>
      <c r="H823" s="12">
        <f>H820</f>
        <v>460</v>
      </c>
      <c r="I823" s="12">
        <f>VLOOKUP(C823,Resources!$B$3:$G$336,6,FALSE)</f>
        <v>38</v>
      </c>
      <c r="J823" s="12">
        <f t="shared" si="77"/>
        <v>314.64031464031467</v>
      </c>
      <c r="K823" s="90">
        <f t="shared" si="78"/>
        <v>8.2800082800082802</v>
      </c>
      <c r="L823" s="90">
        <f t="shared" si="79"/>
        <v>4.1400041400041401</v>
      </c>
      <c r="M823" s="16">
        <f t="shared" si="80"/>
        <v>314.64031464031467</v>
      </c>
      <c r="N823" s="16">
        <f t="shared" si="81"/>
        <v>0</v>
      </c>
      <c r="O823" s="16">
        <f t="shared" si="82"/>
        <v>0</v>
      </c>
      <c r="P823" s="16">
        <f t="shared" si="83"/>
        <v>0</v>
      </c>
      <c r="Q823" s="16">
        <f t="shared" si="84"/>
        <v>314.64031464031467</v>
      </c>
      <c r="R823" s="118">
        <v>51</v>
      </c>
    </row>
    <row r="824" spans="1:75" outlineLevel="1" x14ac:dyDescent="0.5">
      <c r="A824" s="131" t="s">
        <v>448</v>
      </c>
      <c r="B824" s="14">
        <v>4</v>
      </c>
      <c r="C824" s="15" t="s">
        <v>96</v>
      </c>
      <c r="D824" s="44" t="str">
        <f>VLOOKUP(Estimate!$C824,Resources!$B$3:$G$336,4,FALSE)</f>
        <v xml:space="preserve">hr   </v>
      </c>
      <c r="E824" s="44" t="str">
        <f>VLOOKUP(Estimate!$C824,Resources!$B$3:$G$336,3,FALSE)</f>
        <v>P</v>
      </c>
      <c r="F824" s="52">
        <v>1</v>
      </c>
      <c r="G824" s="12">
        <f>G821</f>
        <v>111.111</v>
      </c>
      <c r="H824" s="12">
        <f>H820</f>
        <v>460</v>
      </c>
      <c r="I824" s="12">
        <f>VLOOKUP(C824,Resources!$B$3:$G$336,6,FALSE)</f>
        <v>145</v>
      </c>
      <c r="J824" s="12">
        <f t="shared" si="77"/>
        <v>600.30060030060031</v>
      </c>
      <c r="K824" s="90">
        <f t="shared" si="78"/>
        <v>4.1400041400041401</v>
      </c>
      <c r="L824" s="90">
        <f t="shared" si="79"/>
        <v>4.1400041400041401</v>
      </c>
      <c r="M824" s="16">
        <f t="shared" si="80"/>
        <v>0</v>
      </c>
      <c r="N824" s="16">
        <f t="shared" si="81"/>
        <v>0</v>
      </c>
      <c r="O824" s="16">
        <f t="shared" si="82"/>
        <v>600.30060030060031</v>
      </c>
      <c r="P824" s="16">
        <f t="shared" si="83"/>
        <v>0</v>
      </c>
      <c r="Q824" s="16">
        <f t="shared" si="84"/>
        <v>600.30060030060031</v>
      </c>
      <c r="R824" s="118">
        <v>51</v>
      </c>
    </row>
    <row r="825" spans="1:75" outlineLevel="1" x14ac:dyDescent="0.5">
      <c r="A825" s="131" t="s">
        <v>448</v>
      </c>
      <c r="B825" s="14">
        <v>5</v>
      </c>
      <c r="C825" s="15" t="s">
        <v>97</v>
      </c>
      <c r="D825" s="44" t="str">
        <f>VLOOKUP(Estimate!$C825,Resources!$B$3:$G$336,4,FALSE)</f>
        <v xml:space="preserve">day  </v>
      </c>
      <c r="E825" s="44" t="str">
        <f>VLOOKUP(Estimate!$C825,Resources!$B$3:$G$336,3,FALSE)</f>
        <v>P</v>
      </c>
      <c r="F825" s="52">
        <v>1</v>
      </c>
      <c r="G825" s="12">
        <f>G821*9</f>
        <v>999.99900000000002</v>
      </c>
      <c r="H825" s="12">
        <f>H820</f>
        <v>460</v>
      </c>
      <c r="I825" s="12">
        <f>VLOOKUP(C825,Resources!$B$3:$G$336,6,FALSE)</f>
        <v>365</v>
      </c>
      <c r="J825" s="12">
        <f t="shared" si="77"/>
        <v>167.9001679001679</v>
      </c>
      <c r="K825" s="90">
        <f t="shared" si="78"/>
        <v>0.46000046000045997</v>
      </c>
      <c r="L825" s="90">
        <f t="shared" si="79"/>
        <v>0.46000046000045997</v>
      </c>
      <c r="M825" s="16">
        <f t="shared" si="80"/>
        <v>0</v>
      </c>
      <c r="N825" s="16">
        <f t="shared" si="81"/>
        <v>0</v>
      </c>
      <c r="O825" s="16">
        <f t="shared" si="82"/>
        <v>167.9001679001679</v>
      </c>
      <c r="P825" s="16">
        <f t="shared" si="83"/>
        <v>0</v>
      </c>
      <c r="Q825" s="16">
        <f t="shared" si="84"/>
        <v>167.9001679001679</v>
      </c>
      <c r="R825" s="118">
        <v>51</v>
      </c>
    </row>
    <row r="826" spans="1:75" outlineLevel="1" x14ac:dyDescent="0.5">
      <c r="A826" s="131" t="s">
        <v>448</v>
      </c>
      <c r="B826" s="14">
        <v>6</v>
      </c>
      <c r="C826" s="15" t="s">
        <v>60</v>
      </c>
      <c r="D826" s="44" t="str">
        <f>VLOOKUP(Estimate!$C826,Resources!$B$3:$G$336,4,FALSE)</f>
        <v xml:space="preserve">hr   </v>
      </c>
      <c r="E826" s="44" t="str">
        <f>VLOOKUP(Estimate!$C826,Resources!$B$3:$G$336,3,FALSE)</f>
        <v>P</v>
      </c>
      <c r="F826" s="52">
        <v>1</v>
      </c>
      <c r="G826" s="12">
        <f>G821</f>
        <v>111.111</v>
      </c>
      <c r="H826" s="12">
        <f>H820</f>
        <v>460</v>
      </c>
      <c r="I826" s="12">
        <f>VLOOKUP(C826,Resources!$B$3:$G$336,6,FALSE)</f>
        <v>95</v>
      </c>
      <c r="J826" s="12">
        <f t="shared" si="77"/>
        <v>393.3003933003933</v>
      </c>
      <c r="K826" s="90">
        <f t="shared" si="78"/>
        <v>4.1400041400041401</v>
      </c>
      <c r="L826" s="90">
        <f t="shared" si="79"/>
        <v>4.1400041400041401</v>
      </c>
      <c r="M826" s="16">
        <f t="shared" si="80"/>
        <v>0</v>
      </c>
      <c r="N826" s="16">
        <f t="shared" si="81"/>
        <v>0</v>
      </c>
      <c r="O826" s="16">
        <f t="shared" si="82"/>
        <v>393.3003933003933</v>
      </c>
      <c r="P826" s="16">
        <f t="shared" si="83"/>
        <v>0</v>
      </c>
      <c r="Q826" s="16">
        <f t="shared" si="84"/>
        <v>393.3003933003933</v>
      </c>
      <c r="R826" s="118">
        <v>51</v>
      </c>
    </row>
    <row r="827" spans="1:75" customFormat="1" ht="14.25" customHeight="1" x14ac:dyDescent="0.65">
      <c r="A827" s="47" t="s">
        <v>448</v>
      </c>
      <c r="B827" s="30"/>
      <c r="C827" s="31"/>
      <c r="D827" s="55"/>
      <c r="E827" s="47"/>
      <c r="F827" s="56"/>
      <c r="G827" s="56"/>
      <c r="H827" s="32"/>
      <c r="I827" s="32"/>
      <c r="J827" s="32"/>
      <c r="K827" s="32"/>
      <c r="L827" s="32"/>
      <c r="M827" s="33"/>
      <c r="N827" s="33"/>
      <c r="O827" s="33"/>
      <c r="P827" s="93"/>
      <c r="Q827" s="93"/>
      <c r="R827" s="122"/>
      <c r="S827" s="33"/>
      <c r="T827" s="34"/>
      <c r="BW827" s="28"/>
    </row>
    <row r="828" spans="1:75" x14ac:dyDescent="0.5">
      <c r="A828" s="130">
        <v>178</v>
      </c>
      <c r="B828" s="7" t="s">
        <v>484</v>
      </c>
      <c r="C828" s="7" t="s">
        <v>485</v>
      </c>
      <c r="D828" s="8" t="s">
        <v>451</v>
      </c>
      <c r="E828" s="43"/>
      <c r="F828" s="51"/>
      <c r="G828" s="9"/>
      <c r="H828" s="129">
        <f>VLOOKUP($A828,'Model Inputs'!$A:$D,4)</f>
        <v>1</v>
      </c>
      <c r="I828" s="9"/>
      <c r="J828" s="9">
        <f>SUBTOTAL(9,J831:J846)</f>
        <v>502.50864012719745</v>
      </c>
      <c r="K828" s="89"/>
      <c r="L828" s="89"/>
      <c r="M828" s="9">
        <f>SUBTOTAL(9,M831:M846)</f>
        <v>113.99772004559908</v>
      </c>
      <c r="N828" s="9">
        <f t="shared" ref="N828:Q828" si="85">SUBTOTAL(9,N831:N846)</f>
        <v>184.51499999999996</v>
      </c>
      <c r="O828" s="9">
        <f t="shared" si="85"/>
        <v>203.99592008159831</v>
      </c>
      <c r="P828" s="9">
        <f t="shared" si="85"/>
        <v>0</v>
      </c>
      <c r="Q828" s="9">
        <f t="shared" si="85"/>
        <v>502.50864012719745</v>
      </c>
      <c r="R828" s="43"/>
    </row>
    <row r="829" spans="1:75" x14ac:dyDescent="0.5">
      <c r="A829" s="130">
        <v>179</v>
      </c>
      <c r="B829" s="7" t="s">
        <v>486</v>
      </c>
      <c r="C829" s="7" t="s">
        <v>487</v>
      </c>
      <c r="D829" s="8" t="s">
        <v>25</v>
      </c>
      <c r="E829" s="43"/>
      <c r="F829" s="51"/>
      <c r="G829" s="9"/>
      <c r="H829" s="129">
        <f>VLOOKUP($A829,'Model Inputs'!$A:$D,4)</f>
        <v>10</v>
      </c>
      <c r="I829" s="9"/>
      <c r="J829" s="9">
        <f>SUBTOTAL(9,J831:J838)</f>
        <v>346.71364012719744</v>
      </c>
      <c r="K829" s="89"/>
      <c r="L829" s="89">
        <f>2/workhrs</f>
        <v>0.22222222222222221</v>
      </c>
      <c r="M829" s="9">
        <f>SUBTOTAL(9,M831:M838)</f>
        <v>113.99772004559908</v>
      </c>
      <c r="N829" s="9">
        <f t="shared" ref="N829:Q829" si="86">SUBTOTAL(9,N831:N838)</f>
        <v>28.72</v>
      </c>
      <c r="O829" s="9">
        <f t="shared" si="86"/>
        <v>203.99592008159831</v>
      </c>
      <c r="P829" s="9">
        <f t="shared" si="86"/>
        <v>0</v>
      </c>
      <c r="Q829" s="9">
        <f t="shared" si="86"/>
        <v>346.71364012719744</v>
      </c>
      <c r="R829" s="43"/>
    </row>
    <row r="830" spans="1:75" outlineLevel="1" x14ac:dyDescent="0.5">
      <c r="A830" s="132" t="s">
        <v>448</v>
      </c>
      <c r="B830" s="1">
        <v>1</v>
      </c>
      <c r="C830" s="2" t="s">
        <v>916</v>
      </c>
      <c r="D830" s="1"/>
      <c r="E830" s="45"/>
      <c r="F830" s="53"/>
      <c r="G830" s="11"/>
      <c r="H830" s="11"/>
      <c r="I830" s="11"/>
      <c r="J830" s="11"/>
      <c r="K830" s="91"/>
      <c r="L830" s="91"/>
      <c r="M830" s="13"/>
      <c r="N830" s="13"/>
      <c r="O830" s="13"/>
      <c r="P830" s="13"/>
      <c r="Q830" s="13"/>
      <c r="R830" s="119"/>
    </row>
    <row r="831" spans="1:75" outlineLevel="1" x14ac:dyDescent="0.5">
      <c r="A831" s="131">
        <v>179.1</v>
      </c>
      <c r="B831" s="14">
        <v>2</v>
      </c>
      <c r="C831" s="15" t="s">
        <v>55</v>
      </c>
      <c r="D831" s="44" t="str">
        <f>VLOOKUP(Estimate!$C831,Resources!$B$3:$G$336,4,FALSE)</f>
        <v xml:space="preserve">hr   </v>
      </c>
      <c r="E831" s="44" t="str">
        <f>VLOOKUP(Estimate!$C831,Resources!$B$3:$G$336,3,FALSE)</f>
        <v>P</v>
      </c>
      <c r="F831" s="52">
        <v>1</v>
      </c>
      <c r="G831" s="129">
        <f>VLOOKUP($A831,'Model Inputs'!$A:$D,4)</f>
        <v>16.667000000000002</v>
      </c>
      <c r="H831" s="12">
        <f>H829</f>
        <v>10</v>
      </c>
      <c r="I831" s="12">
        <f>VLOOKUP(C831,Resources!$B$3:$G$336,6,FALSE)</f>
        <v>135</v>
      </c>
      <c r="J831" s="12">
        <f>(H831/(G831/F831))*I831</f>
        <v>80.998380032399339</v>
      </c>
      <c r="K831" s="90">
        <f>L831*F831</f>
        <v>0.5999880002399951</v>
      </c>
      <c r="L831" s="90">
        <f>IF(E831="M"," ",H831/G831)</f>
        <v>0.5999880002399951</v>
      </c>
      <c r="M831" s="16">
        <f>IF($E831="L",$J831,0)</f>
        <v>0</v>
      </c>
      <c r="N831" s="16">
        <f>IF($E831="M",$J831,0)</f>
        <v>0</v>
      </c>
      <c r="O831" s="16">
        <f>IF($E831="P",$J831,0)</f>
        <v>80.998380032399339</v>
      </c>
      <c r="P831" s="16">
        <f>IF($E831="S",$J831,0)</f>
        <v>0</v>
      </c>
      <c r="Q831" s="16">
        <f>SUM(M831:P831)</f>
        <v>80.998380032399339</v>
      </c>
      <c r="R831" s="118">
        <v>111</v>
      </c>
    </row>
    <row r="832" spans="1:75" outlineLevel="1" x14ac:dyDescent="0.5">
      <c r="A832" s="131" t="s">
        <v>448</v>
      </c>
      <c r="B832" s="14">
        <v>3</v>
      </c>
      <c r="C832" s="15" t="s">
        <v>7</v>
      </c>
      <c r="D832" s="44" t="str">
        <f>VLOOKUP(Estimate!$C832,Resources!$B$3:$G$336,4,FALSE)</f>
        <v xml:space="preserve">hr   </v>
      </c>
      <c r="E832" s="44" t="str">
        <f>VLOOKUP(Estimate!$C832,Resources!$B$3:$G$336,3,FALSE)</f>
        <v>L</v>
      </c>
      <c r="F832" s="52">
        <v>3</v>
      </c>
      <c r="G832" s="12">
        <f>G831</f>
        <v>16.667000000000002</v>
      </c>
      <c r="H832" s="12">
        <f>H829</f>
        <v>10</v>
      </c>
      <c r="I832" s="12">
        <f>VLOOKUP(C832,Resources!$B$3:$G$336,6,FALSE)</f>
        <v>38</v>
      </c>
      <c r="J832" s="12">
        <f>(H832/(G832/F832))*I832</f>
        <v>68.398632027359454</v>
      </c>
      <c r="K832" s="90">
        <f>L832*F832</f>
        <v>1.7999640007199853</v>
      </c>
      <c r="L832" s="90">
        <f>IF(E832="M"," ",H832/G832)</f>
        <v>0.5999880002399951</v>
      </c>
      <c r="M832" s="16">
        <f>IF($E832="L",$J832,0)</f>
        <v>68.398632027359454</v>
      </c>
      <c r="N832" s="16">
        <f>IF($E832="M",$J832,0)</f>
        <v>0</v>
      </c>
      <c r="O832" s="16">
        <f>IF($E832="P",$J832,0)</f>
        <v>0</v>
      </c>
      <c r="P832" s="16">
        <f>IF($E832="S",$J832,0)</f>
        <v>0</v>
      </c>
      <c r="Q832" s="16">
        <f>SUM(M832:P832)</f>
        <v>68.398632027359454</v>
      </c>
      <c r="R832" s="118">
        <v>111</v>
      </c>
    </row>
    <row r="833" spans="1:75" outlineLevel="1" x14ac:dyDescent="0.5">
      <c r="A833" s="131" t="s">
        <v>448</v>
      </c>
      <c r="B833" s="14">
        <v>4</v>
      </c>
      <c r="C833" s="15" t="s">
        <v>73</v>
      </c>
      <c r="D833" s="44" t="str">
        <f>VLOOKUP(Estimate!$C833,Resources!$B$3:$G$336,4,FALSE)</f>
        <v>tonne</v>
      </c>
      <c r="E833" s="44" t="str">
        <f>VLOOKUP(Estimate!$C833,Resources!$B$3:$G$336,3,FALSE)</f>
        <v>M</v>
      </c>
      <c r="F833" s="52">
        <v>1</v>
      </c>
      <c r="G833" s="12">
        <v>1</v>
      </c>
      <c r="H833" s="12">
        <f>H829/6.25</f>
        <v>1.6</v>
      </c>
      <c r="I833" s="12">
        <f>VLOOKUP(C833,Resources!$B$3:$G$336,6,FALSE)</f>
        <v>17.95</v>
      </c>
      <c r="J833" s="12">
        <f>(H833/(G833/F833))*I833</f>
        <v>28.72</v>
      </c>
      <c r="K833" s="90"/>
      <c r="L833" s="90" t="str">
        <f>IF(E833="M"," ",H833/G833)</f>
        <v xml:space="preserve"> </v>
      </c>
      <c r="M833" s="16">
        <f>IF($E833="L",$J833,0)</f>
        <v>0</v>
      </c>
      <c r="N833" s="16">
        <f>IF($E833="M",$J833,0)</f>
        <v>28.72</v>
      </c>
      <c r="O833" s="16">
        <f>IF($E833="P",$J833,0)</f>
        <v>0</v>
      </c>
      <c r="P833" s="16">
        <f>IF($E833="S",$J833,0)</f>
        <v>0</v>
      </c>
      <c r="Q833" s="16">
        <f>SUM(M833:P833)</f>
        <v>28.72</v>
      </c>
      <c r="R833" s="118" t="s">
        <v>945</v>
      </c>
    </row>
    <row r="834" spans="1:75" outlineLevel="1" x14ac:dyDescent="0.5">
      <c r="A834" s="132" t="s">
        <v>448</v>
      </c>
      <c r="B834" s="1">
        <v>5</v>
      </c>
      <c r="C834" s="2" t="s">
        <v>917</v>
      </c>
      <c r="D834" s="1"/>
      <c r="E834" s="45"/>
      <c r="F834" s="53"/>
      <c r="G834" s="11"/>
      <c r="H834" s="11"/>
      <c r="I834" s="11"/>
      <c r="J834" s="11"/>
      <c r="K834" s="91"/>
      <c r="L834" s="91"/>
      <c r="M834" s="13"/>
      <c r="N834" s="13"/>
      <c r="O834" s="13"/>
      <c r="P834" s="13"/>
      <c r="Q834" s="13"/>
      <c r="R834" s="119"/>
    </row>
    <row r="835" spans="1:75" outlineLevel="1" x14ac:dyDescent="0.5">
      <c r="A835" s="131" t="s">
        <v>448</v>
      </c>
      <c r="B835" s="14">
        <v>6</v>
      </c>
      <c r="C835" s="15" t="s">
        <v>49</v>
      </c>
      <c r="D835" s="44" t="str">
        <f>VLOOKUP(Estimate!$C835,Resources!$B$3:$G$336,4,FALSE)</f>
        <v xml:space="preserve">hr   </v>
      </c>
      <c r="E835" s="44" t="str">
        <f>VLOOKUP(Estimate!$C835,Resources!$B$3:$G$336,3,FALSE)</f>
        <v>P</v>
      </c>
      <c r="F835" s="52">
        <v>1</v>
      </c>
      <c r="G835" s="12">
        <f>G831</f>
        <v>16.667000000000002</v>
      </c>
      <c r="H835" s="12">
        <f>H829</f>
        <v>10</v>
      </c>
      <c r="I835" s="12">
        <f>VLOOKUP(C835,Resources!$B$3:$G$336,6,FALSE)</f>
        <v>95</v>
      </c>
      <c r="J835" s="12">
        <f>(H835/(G835/F835))*I835</f>
        <v>56.998860022799533</v>
      </c>
      <c r="K835" s="90">
        <f>L835*F835</f>
        <v>0.5999880002399951</v>
      </c>
      <c r="L835" s="90">
        <f>IF(E835="M"," ",H835/G835)</f>
        <v>0.5999880002399951</v>
      </c>
      <c r="M835" s="16">
        <f>IF($E835="L",$J835,0)</f>
        <v>0</v>
      </c>
      <c r="N835" s="16">
        <f>IF($E835="M",$J835,0)</f>
        <v>0</v>
      </c>
      <c r="O835" s="16">
        <f>IF($E835="P",$J835,0)</f>
        <v>56.998860022799533</v>
      </c>
      <c r="P835" s="16">
        <f>IF($E835="S",$J835,0)</f>
        <v>0</v>
      </c>
      <c r="Q835" s="16">
        <f>SUM(M835:P835)</f>
        <v>56.998860022799533</v>
      </c>
      <c r="R835" s="118">
        <v>111</v>
      </c>
    </row>
    <row r="836" spans="1:75" outlineLevel="1" x14ac:dyDescent="0.5">
      <c r="A836" s="131" t="s">
        <v>448</v>
      </c>
      <c r="B836" s="14">
        <v>7</v>
      </c>
      <c r="C836" s="15" t="s">
        <v>60</v>
      </c>
      <c r="D836" s="44" t="str">
        <f>VLOOKUP(Estimate!$C836,Resources!$B$3:$G$336,4,FALSE)</f>
        <v xml:space="preserve">hr   </v>
      </c>
      <c r="E836" s="44" t="str">
        <f>VLOOKUP(Estimate!$C836,Resources!$B$3:$G$336,3,FALSE)</f>
        <v>P</v>
      </c>
      <c r="F836" s="52">
        <v>1</v>
      </c>
      <c r="G836" s="12">
        <f>G831</f>
        <v>16.667000000000002</v>
      </c>
      <c r="H836" s="12">
        <f>H829</f>
        <v>10</v>
      </c>
      <c r="I836" s="12">
        <f>VLOOKUP(C836,Resources!$B$3:$G$336,6,FALSE)</f>
        <v>95</v>
      </c>
      <c r="J836" s="12">
        <f>(H836/(G836/F836))*I836</f>
        <v>56.998860022799533</v>
      </c>
      <c r="K836" s="90">
        <f>L836*F836</f>
        <v>0.5999880002399951</v>
      </c>
      <c r="L836" s="90">
        <f>IF(E836="M"," ",H836/G836)</f>
        <v>0.5999880002399951</v>
      </c>
      <c r="M836" s="16">
        <f>IF($E836="L",$J836,0)</f>
        <v>0</v>
      </c>
      <c r="N836" s="16">
        <f>IF($E836="M",$J836,0)</f>
        <v>0</v>
      </c>
      <c r="O836" s="16">
        <f>IF($E836="P",$J836,0)</f>
        <v>56.998860022799533</v>
      </c>
      <c r="P836" s="16">
        <f>IF($E836="S",$J836,0)</f>
        <v>0</v>
      </c>
      <c r="Q836" s="16">
        <f>SUM(M836:P836)</f>
        <v>56.998860022799533</v>
      </c>
      <c r="R836" s="118">
        <v>111</v>
      </c>
    </row>
    <row r="837" spans="1:75" outlineLevel="1" x14ac:dyDescent="0.5">
      <c r="A837" s="131" t="s">
        <v>448</v>
      </c>
      <c r="B837" s="14">
        <v>8</v>
      </c>
      <c r="C837" s="15" t="s">
        <v>179</v>
      </c>
      <c r="D837" s="44" t="str">
        <f>VLOOKUP(Estimate!$C837,Resources!$B$3:$G$336,4,FALSE)</f>
        <v xml:space="preserve">hr   </v>
      </c>
      <c r="E837" s="44" t="str">
        <f>VLOOKUP(Estimate!$C837,Resources!$B$3:$G$336,3,FALSE)</f>
        <v>P</v>
      </c>
      <c r="F837" s="52">
        <v>1</v>
      </c>
      <c r="G837" s="12">
        <f>G831</f>
        <v>16.667000000000002</v>
      </c>
      <c r="H837" s="12">
        <f>H829</f>
        <v>10</v>
      </c>
      <c r="I837" s="12">
        <f>VLOOKUP(C837,Resources!$B$3:$G$336,6,FALSE)</f>
        <v>15</v>
      </c>
      <c r="J837" s="12">
        <f>(H837/(G837/F837))*I837</f>
        <v>8.9998200035999272</v>
      </c>
      <c r="K837" s="90">
        <f>L837*F837</f>
        <v>0.5999880002399951</v>
      </c>
      <c r="L837" s="90">
        <f>IF(E837="M"," ",H837/G837)</f>
        <v>0.5999880002399951</v>
      </c>
      <c r="M837" s="16">
        <f>IF($E837="L",$J837,0)</f>
        <v>0</v>
      </c>
      <c r="N837" s="16">
        <f>IF($E837="M",$J837,0)</f>
        <v>0</v>
      </c>
      <c r="O837" s="16">
        <f>IF($E837="P",$J837,0)</f>
        <v>8.9998200035999272</v>
      </c>
      <c r="P837" s="16">
        <f>IF($E837="S",$J837,0)</f>
        <v>0</v>
      </c>
      <c r="Q837" s="16">
        <f>SUM(M837:P837)</f>
        <v>8.9998200035999272</v>
      </c>
      <c r="R837" s="118">
        <v>111</v>
      </c>
    </row>
    <row r="838" spans="1:75" outlineLevel="1" x14ac:dyDescent="0.5">
      <c r="A838" s="131" t="s">
        <v>448</v>
      </c>
      <c r="B838" s="14">
        <v>9</v>
      </c>
      <c r="C838" s="15" t="s">
        <v>7</v>
      </c>
      <c r="D838" s="44" t="str">
        <f>VLOOKUP(Estimate!$C838,Resources!$B$3:$G$336,4,FALSE)</f>
        <v xml:space="preserve">hr   </v>
      </c>
      <c r="E838" s="44" t="str">
        <f>VLOOKUP(Estimate!$C838,Resources!$B$3:$G$336,3,FALSE)</f>
        <v>L</v>
      </c>
      <c r="F838" s="52">
        <v>2</v>
      </c>
      <c r="G838" s="12">
        <f>G831</f>
        <v>16.667000000000002</v>
      </c>
      <c r="H838" s="12">
        <f>H829</f>
        <v>10</v>
      </c>
      <c r="I838" s="12">
        <f>VLOOKUP(C838,Resources!$B$3:$G$336,6,FALSE)</f>
        <v>38</v>
      </c>
      <c r="J838" s="12">
        <f>(H838/(G838/F838))*I838</f>
        <v>45.599088018239627</v>
      </c>
      <c r="K838" s="90">
        <f>L838*F838</f>
        <v>1.1999760004799902</v>
      </c>
      <c r="L838" s="90">
        <f>IF(E838="M"," ",H838/G838)</f>
        <v>0.5999880002399951</v>
      </c>
      <c r="M838" s="16">
        <f>IF($E838="L",$J838,0)</f>
        <v>45.599088018239627</v>
      </c>
      <c r="N838" s="16">
        <f>IF($E838="M",$J838,0)</f>
        <v>0</v>
      </c>
      <c r="O838" s="16">
        <f>IF($E838="P",$J838,0)</f>
        <v>0</v>
      </c>
      <c r="P838" s="16">
        <f>IF($E838="S",$J838,0)</f>
        <v>0</v>
      </c>
      <c r="Q838" s="16">
        <f>SUM(M838:P838)</f>
        <v>45.599088018239627</v>
      </c>
      <c r="R838" s="118">
        <v>111</v>
      </c>
    </row>
    <row r="839" spans="1:75" outlineLevel="1" x14ac:dyDescent="0.5">
      <c r="A839" s="132" t="s">
        <v>448</v>
      </c>
      <c r="B839" s="1"/>
      <c r="C839" s="2"/>
      <c r="D839" s="1"/>
      <c r="E839" s="45"/>
      <c r="F839" s="53"/>
      <c r="G839" s="11"/>
      <c r="H839" s="11"/>
      <c r="I839" s="11"/>
      <c r="J839" s="11"/>
      <c r="K839" s="91"/>
      <c r="L839" s="91"/>
      <c r="M839" s="13"/>
      <c r="N839" s="13"/>
      <c r="O839" s="13"/>
      <c r="P839" s="13"/>
      <c r="Q839" s="13"/>
      <c r="R839" s="119"/>
    </row>
    <row r="840" spans="1:75" x14ac:dyDescent="0.5">
      <c r="A840" s="130">
        <v>180</v>
      </c>
      <c r="B840" s="7" t="s">
        <v>490</v>
      </c>
      <c r="C840" s="7" t="s">
        <v>491</v>
      </c>
      <c r="D840" s="8" t="s">
        <v>25</v>
      </c>
      <c r="E840" s="43"/>
      <c r="F840" s="51"/>
      <c r="G840" s="9"/>
      <c r="H840" s="129">
        <f>VLOOKUP($A840,'Model Inputs'!$A:$D,4)</f>
        <v>10</v>
      </c>
      <c r="I840" s="9"/>
      <c r="J840" s="9">
        <f>SUBTOTAL(9,J841)</f>
        <v>46.725000000000001</v>
      </c>
      <c r="K840" s="89"/>
      <c r="L840" s="89">
        <f>2/workhrs</f>
        <v>0.22222222222222221</v>
      </c>
      <c r="M840" s="9">
        <f>SUBTOTAL(9,M841)</f>
        <v>0</v>
      </c>
      <c r="N840" s="9">
        <f t="shared" ref="N840:Q840" si="87">SUBTOTAL(9,N841)</f>
        <v>46.725000000000001</v>
      </c>
      <c r="O840" s="9">
        <f t="shared" si="87"/>
        <v>0</v>
      </c>
      <c r="P840" s="9">
        <f t="shared" si="87"/>
        <v>0</v>
      </c>
      <c r="Q840" s="9">
        <f t="shared" si="87"/>
        <v>46.725000000000001</v>
      </c>
      <c r="R840" s="43"/>
    </row>
    <row r="841" spans="1:75" s="96" customFormat="1" outlineLevel="1" x14ac:dyDescent="0.5">
      <c r="A841" s="134" t="s">
        <v>448</v>
      </c>
      <c r="B841" s="97">
        <v>1</v>
      </c>
      <c r="C841" s="98" t="s">
        <v>212</v>
      </c>
      <c r="D841" s="99" t="str">
        <f>VLOOKUP(Estimate!$C841,Resources!$B$3:$G$336,4,FALSE)</f>
        <v xml:space="preserve">m    </v>
      </c>
      <c r="E841" s="99" t="str">
        <f>VLOOKUP(Estimate!$C841,Resources!$B$3:$G$336,3,FALSE)</f>
        <v>M</v>
      </c>
      <c r="F841" s="100">
        <v>1</v>
      </c>
      <c r="G841" s="101">
        <v>1</v>
      </c>
      <c r="H841" s="101">
        <f>H840*1.05</f>
        <v>10.5</v>
      </c>
      <c r="I841" s="101">
        <f>VLOOKUP(C841,Resources!$B$3:$G$336,6,FALSE)</f>
        <v>4.45</v>
      </c>
      <c r="J841" s="101">
        <f>(H841/(G841/F841))*I841</f>
        <v>46.725000000000001</v>
      </c>
      <c r="K841" s="102"/>
      <c r="L841" s="102" t="str">
        <f>IF(E841="M"," ",H841/G841)</f>
        <v xml:space="preserve"> </v>
      </c>
      <c r="M841" s="103">
        <f>IF($E841="L",$J841,0)</f>
        <v>0</v>
      </c>
      <c r="N841" s="103">
        <f>IF($E841="M",$J841,0)</f>
        <v>46.725000000000001</v>
      </c>
      <c r="O841" s="103">
        <f>IF($E841="P",$J841,0)</f>
        <v>0</v>
      </c>
      <c r="P841" s="103">
        <f>IF($E841="S",$J841,0)</f>
        <v>0</v>
      </c>
      <c r="Q841" s="103">
        <f>SUM(M841:P841)</f>
        <v>46.725000000000001</v>
      </c>
      <c r="R841" s="123" t="s">
        <v>964</v>
      </c>
      <c r="BR841" s="104"/>
    </row>
    <row r="842" spans="1:75" s="40" customFormat="1" ht="14.25" customHeight="1" x14ac:dyDescent="0.65">
      <c r="A842" s="108" t="s">
        <v>448</v>
      </c>
      <c r="B842" s="105"/>
      <c r="C842" s="106"/>
      <c r="D842" s="107"/>
      <c r="E842" s="108"/>
      <c r="F842" s="109"/>
      <c r="G842" s="109"/>
      <c r="H842" s="110"/>
      <c r="I842" s="110"/>
      <c r="J842" s="110"/>
      <c r="K842" s="110"/>
      <c r="L842" s="110"/>
      <c r="M842" s="111"/>
      <c r="N842" s="111"/>
      <c r="O842" s="111"/>
      <c r="P842" s="112"/>
      <c r="Q842" s="112"/>
      <c r="R842" s="124"/>
      <c r="S842" s="111"/>
      <c r="T842" s="113"/>
      <c r="BW842" s="114"/>
    </row>
    <row r="843" spans="1:75" x14ac:dyDescent="0.5">
      <c r="A843" s="130">
        <v>181</v>
      </c>
      <c r="B843" s="7" t="s">
        <v>488</v>
      </c>
      <c r="C843" s="7" t="s">
        <v>489</v>
      </c>
      <c r="D843" s="8" t="s">
        <v>25</v>
      </c>
      <c r="E843" s="43"/>
      <c r="F843" s="51"/>
      <c r="G843" s="9"/>
      <c r="H843" s="129">
        <f>VLOOKUP($A843,'Model Inputs'!$A:$D,4)</f>
        <v>20</v>
      </c>
      <c r="I843" s="9"/>
      <c r="J843" s="9">
        <f>SUBTOTAL(9,J844:J846)</f>
        <v>109.07000000000001</v>
      </c>
      <c r="K843" s="89"/>
      <c r="L843" s="89">
        <f>2/workhrs</f>
        <v>0.22222222222222221</v>
      </c>
      <c r="M843" s="9">
        <f>SUBTOTAL(9,M844:M846)</f>
        <v>0</v>
      </c>
      <c r="N843" s="9">
        <f t="shared" ref="N843:Q843" si="88">SUBTOTAL(9,N844:N846)</f>
        <v>109.07000000000001</v>
      </c>
      <c r="O843" s="9">
        <f t="shared" si="88"/>
        <v>0</v>
      </c>
      <c r="P843" s="9">
        <f t="shared" si="88"/>
        <v>0</v>
      </c>
      <c r="Q843" s="9">
        <f t="shared" si="88"/>
        <v>109.07000000000001</v>
      </c>
      <c r="R843" s="43"/>
    </row>
    <row r="844" spans="1:75" outlineLevel="1" x14ac:dyDescent="0.5">
      <c r="A844" s="131" t="s">
        <v>448</v>
      </c>
      <c r="B844" s="14">
        <v>1</v>
      </c>
      <c r="C844" s="15" t="s">
        <v>212</v>
      </c>
      <c r="D844" s="44" t="str">
        <f>VLOOKUP(Estimate!$C844,Resources!$B$3:$G$336,4,FALSE)</f>
        <v xml:space="preserve">m    </v>
      </c>
      <c r="E844" s="44" t="str">
        <f>VLOOKUP(Estimate!$C844,Resources!$B$3:$G$336,3,FALSE)</f>
        <v>M</v>
      </c>
      <c r="F844" s="52">
        <v>1</v>
      </c>
      <c r="G844" s="12">
        <v>1</v>
      </c>
      <c r="H844" s="12">
        <f>H843*1.05</f>
        <v>21</v>
      </c>
      <c r="I844" s="12">
        <f>VLOOKUP(C844,Resources!$B$3:$G$336,6,FALSE)</f>
        <v>4.45</v>
      </c>
      <c r="J844" s="12">
        <f>(H844/(G844/F844))*I844</f>
        <v>93.45</v>
      </c>
      <c r="K844" s="90"/>
      <c r="L844" s="90" t="str">
        <f>IF(E844="M"," ",H844/G844)</f>
        <v xml:space="preserve"> </v>
      </c>
      <c r="M844" s="16">
        <f>IF($E844="L",$J844,0)</f>
        <v>0</v>
      </c>
      <c r="N844" s="16">
        <f>IF($E844="M",$J844,0)</f>
        <v>93.45</v>
      </c>
      <c r="O844" s="16">
        <f>IF($E844="P",$J844,0)</f>
        <v>0</v>
      </c>
      <c r="P844" s="16">
        <f>IF($E844="S",$J844,0)</f>
        <v>0</v>
      </c>
      <c r="Q844" s="16">
        <f>SUM(M844:P844)</f>
        <v>93.45</v>
      </c>
      <c r="R844" s="118" t="s">
        <v>964</v>
      </c>
    </row>
    <row r="845" spans="1:75" outlineLevel="1" x14ac:dyDescent="0.5">
      <c r="A845" s="131" t="s">
        <v>448</v>
      </c>
      <c r="B845" s="14">
        <v>2</v>
      </c>
      <c r="C845" s="15" t="s">
        <v>213</v>
      </c>
      <c r="D845" s="44" t="str">
        <f>VLOOKUP(Estimate!$C845,Resources!$B$3:$G$336,4,FALSE)</f>
        <v xml:space="preserve">m    </v>
      </c>
      <c r="E845" s="44" t="str">
        <f>VLOOKUP(Estimate!$C845,Resources!$B$3:$G$336,3,FALSE)</f>
        <v>M</v>
      </c>
      <c r="F845" s="52">
        <v>1</v>
      </c>
      <c r="G845" s="12">
        <v>1</v>
      </c>
      <c r="H845" s="12">
        <f>H843*1.1</f>
        <v>22</v>
      </c>
      <c r="I845" s="12">
        <f>VLOOKUP(C845,Resources!$B$3:$G$336,6,FALSE)</f>
        <v>0.11</v>
      </c>
      <c r="J845" s="12">
        <f>(H845/(G845/F845))*I845</f>
        <v>2.42</v>
      </c>
      <c r="K845" s="90"/>
      <c r="L845" s="90" t="str">
        <f>IF(E845="M"," ",H845/G845)</f>
        <v xml:space="preserve"> </v>
      </c>
      <c r="M845" s="16">
        <f>IF($E845="L",$J845,0)</f>
        <v>0</v>
      </c>
      <c r="N845" s="16">
        <f>IF($E845="M",$J845,0)</f>
        <v>2.42</v>
      </c>
      <c r="O845" s="16">
        <f>IF($E845="P",$J845,0)</f>
        <v>0</v>
      </c>
      <c r="P845" s="16">
        <f>IF($E845="S",$J845,0)</f>
        <v>0</v>
      </c>
      <c r="Q845" s="16">
        <f>SUM(M845:P845)</f>
        <v>2.42</v>
      </c>
      <c r="R845" s="118" t="s">
        <v>965</v>
      </c>
    </row>
    <row r="846" spans="1:75" outlineLevel="1" x14ac:dyDescent="0.5">
      <c r="A846" s="131" t="s">
        <v>448</v>
      </c>
      <c r="B846" s="14">
        <v>3</v>
      </c>
      <c r="C846" s="15" t="s">
        <v>214</v>
      </c>
      <c r="D846" s="44" t="str">
        <f>VLOOKUP(Estimate!$C846,Resources!$B$3:$G$336,4,FALSE)</f>
        <v xml:space="preserve">m    </v>
      </c>
      <c r="E846" s="44" t="str">
        <f>VLOOKUP(Estimate!$C846,Resources!$B$3:$G$336,3,FALSE)</f>
        <v>M</v>
      </c>
      <c r="F846" s="52">
        <v>1</v>
      </c>
      <c r="G846" s="12">
        <v>1</v>
      </c>
      <c r="H846" s="12">
        <f>H843*2</f>
        <v>40</v>
      </c>
      <c r="I846" s="12">
        <f>VLOOKUP(C846,Resources!$B$3:$G$336,6,FALSE)</f>
        <v>0.33</v>
      </c>
      <c r="J846" s="12">
        <f>(H846/(G846/F846))*I846</f>
        <v>13.200000000000001</v>
      </c>
      <c r="K846" s="90"/>
      <c r="L846" s="90" t="str">
        <f>IF(E846="M"," ",H846/G846)</f>
        <v xml:space="preserve"> </v>
      </c>
      <c r="M846" s="16">
        <f>IF($E846="L",$J846,0)</f>
        <v>0</v>
      </c>
      <c r="N846" s="16">
        <f>IF($E846="M",$J846,0)</f>
        <v>13.200000000000001</v>
      </c>
      <c r="O846" s="16">
        <f>IF($E846="P",$J846,0)</f>
        <v>0</v>
      </c>
      <c r="P846" s="16">
        <f>IF($E846="S",$J846,0)</f>
        <v>0</v>
      </c>
      <c r="Q846" s="16">
        <f>SUM(M846:P846)</f>
        <v>13.200000000000001</v>
      </c>
      <c r="R846" s="118" t="s">
        <v>965</v>
      </c>
    </row>
    <row r="847" spans="1:75" outlineLevel="1" x14ac:dyDescent="0.5">
      <c r="A847" s="132" t="s">
        <v>448</v>
      </c>
      <c r="B847" s="1"/>
      <c r="C847" s="2"/>
      <c r="D847" s="1"/>
      <c r="E847" s="45"/>
      <c r="F847" s="53"/>
      <c r="G847" s="11"/>
      <c r="H847" s="11"/>
      <c r="I847" s="11"/>
      <c r="J847" s="11"/>
      <c r="K847" s="91"/>
      <c r="L847" s="91"/>
      <c r="M847" s="13"/>
      <c r="N847" s="13"/>
      <c r="O847" s="13"/>
      <c r="P847" s="13"/>
      <c r="Q847" s="13"/>
      <c r="R847" s="119"/>
    </row>
    <row r="848" spans="1:75" x14ac:dyDescent="0.5">
      <c r="A848" s="130">
        <v>182</v>
      </c>
      <c r="B848" s="7" t="s">
        <v>492</v>
      </c>
      <c r="C848" s="7" t="s">
        <v>493</v>
      </c>
      <c r="D848" s="8" t="s">
        <v>72</v>
      </c>
      <c r="E848" s="43"/>
      <c r="F848" s="51"/>
      <c r="G848" s="9"/>
      <c r="H848" s="129">
        <f>VLOOKUP($A848,'Model Inputs'!$A:$D,4)</f>
        <v>100</v>
      </c>
      <c r="I848" s="9"/>
      <c r="J848" s="9">
        <f>SUBTOTAL(9,J850:J865)</f>
        <v>5113.1159905323047</v>
      </c>
      <c r="K848" s="89"/>
      <c r="L848" s="89">
        <f>MAX(L850:L859)+MAX(L861:L865)/workhrs</f>
        <v>3.6666700000333341</v>
      </c>
      <c r="M848" s="9">
        <f>SUBTOTAL(9,M850:M865)</f>
        <v>468.67008670086705</v>
      </c>
      <c r="N848" s="9">
        <f t="shared" ref="N848:Q848" si="89">SUBTOTAL(9,N850:N865)</f>
        <v>0</v>
      </c>
      <c r="O848" s="9">
        <f t="shared" si="89"/>
        <v>4644.4459038314371</v>
      </c>
      <c r="P848" s="9">
        <f t="shared" si="89"/>
        <v>0</v>
      </c>
      <c r="Q848" s="9">
        <f t="shared" si="89"/>
        <v>5113.1159905323047</v>
      </c>
      <c r="R848" s="43"/>
    </row>
    <row r="849" spans="1:18" outlineLevel="1" x14ac:dyDescent="0.5">
      <c r="A849" s="132" t="s">
        <v>448</v>
      </c>
      <c r="B849" s="1">
        <v>1</v>
      </c>
      <c r="C849" s="2" t="s">
        <v>913</v>
      </c>
      <c r="D849" s="1"/>
      <c r="E849" s="45"/>
      <c r="F849" s="53"/>
      <c r="G849" s="11"/>
      <c r="H849" s="11"/>
      <c r="I849" s="11"/>
      <c r="J849" s="11"/>
      <c r="K849" s="91"/>
      <c r="L849" s="91"/>
      <c r="M849" s="13"/>
      <c r="N849" s="13"/>
      <c r="O849" s="13"/>
      <c r="P849" s="13"/>
      <c r="Q849" s="13"/>
      <c r="R849" s="119"/>
    </row>
    <row r="850" spans="1:18" outlineLevel="1" x14ac:dyDescent="0.5">
      <c r="A850" s="131">
        <v>182.1</v>
      </c>
      <c r="B850" s="14">
        <v>2</v>
      </c>
      <c r="C850" s="15" t="s">
        <v>55</v>
      </c>
      <c r="D850" s="44" t="str">
        <f>VLOOKUP(Estimate!$C850,Resources!$B$3:$G$336,4,FALSE)</f>
        <v xml:space="preserve">hr   </v>
      </c>
      <c r="E850" s="44" t="str">
        <f>VLOOKUP(Estimate!$C850,Resources!$B$3:$G$336,3,FALSE)</f>
        <v>P</v>
      </c>
      <c r="F850" s="52">
        <v>1</v>
      </c>
      <c r="G850" s="129">
        <f>VLOOKUP($A850,'Model Inputs'!$A:$D,4)</f>
        <v>30</v>
      </c>
      <c r="H850" s="12">
        <f>H848</f>
        <v>100</v>
      </c>
      <c r="I850" s="12">
        <f>VLOOKUP(C850,Resources!$B$3:$G$336,6,FALSE)</f>
        <v>135</v>
      </c>
      <c r="J850" s="12">
        <f>(H850/(G850/F850))*I850</f>
        <v>450</v>
      </c>
      <c r="K850" s="90">
        <f>L850*F850</f>
        <v>3.3333333333333335</v>
      </c>
      <c r="L850" s="90">
        <f>IF(E850="M"," ",H850/G850)</f>
        <v>3.3333333333333335</v>
      </c>
      <c r="M850" s="16">
        <f>IF($E850="L",$J850,0)</f>
        <v>0</v>
      </c>
      <c r="N850" s="16">
        <f>IF($E850="M",$J850,0)</f>
        <v>0</v>
      </c>
      <c r="O850" s="16">
        <f>IF($E850="P",$J850,0)</f>
        <v>450</v>
      </c>
      <c r="P850" s="16">
        <f>IF($E850="S",$J850,0)</f>
        <v>0</v>
      </c>
      <c r="Q850" s="16">
        <f>SUM(M850:P850)</f>
        <v>450</v>
      </c>
      <c r="R850" s="118">
        <v>57</v>
      </c>
    </row>
    <row r="851" spans="1:18" outlineLevel="1" x14ac:dyDescent="0.5">
      <c r="A851" s="131" t="s">
        <v>448</v>
      </c>
      <c r="B851" s="14">
        <v>3</v>
      </c>
      <c r="C851" s="15" t="s">
        <v>66</v>
      </c>
      <c r="D851" s="44" t="str">
        <f>VLOOKUP(Estimate!$C851,Resources!$B$3:$G$336,4,FALSE)</f>
        <v xml:space="preserve">hr   </v>
      </c>
      <c r="E851" s="44" t="str">
        <f>VLOOKUP(Estimate!$C851,Resources!$B$3:$G$336,3,FALSE)</f>
        <v>P</v>
      </c>
      <c r="F851" s="52">
        <v>3</v>
      </c>
      <c r="G851" s="12">
        <f>G850</f>
        <v>30</v>
      </c>
      <c r="H851" s="12">
        <f>H848</f>
        <v>100</v>
      </c>
      <c r="I851" s="12">
        <f>VLOOKUP(C851,Resources!$B$3:$G$336,6,FALSE)</f>
        <v>85</v>
      </c>
      <c r="J851" s="12">
        <f>(H851/(G851/F851))*I851</f>
        <v>850</v>
      </c>
      <c r="K851" s="90">
        <f>L851*F851</f>
        <v>10</v>
      </c>
      <c r="L851" s="90">
        <f>IF(E851="M"," ",H851/G851)</f>
        <v>3.3333333333333335</v>
      </c>
      <c r="M851" s="16">
        <f>IF($E851="L",$J851,0)</f>
        <v>0</v>
      </c>
      <c r="N851" s="16">
        <f>IF($E851="M",$J851,0)</f>
        <v>0</v>
      </c>
      <c r="O851" s="16">
        <f>IF($E851="P",$J851,0)</f>
        <v>850</v>
      </c>
      <c r="P851" s="16">
        <f>IF($E851="S",$J851,0)</f>
        <v>0</v>
      </c>
      <c r="Q851" s="16">
        <f>SUM(M851:P851)</f>
        <v>850</v>
      </c>
      <c r="R851" s="118">
        <v>57</v>
      </c>
    </row>
    <row r="852" spans="1:18" outlineLevel="1" x14ac:dyDescent="0.5">
      <c r="A852" s="131" t="s">
        <v>448</v>
      </c>
      <c r="B852" s="14">
        <v>4</v>
      </c>
      <c r="C852" s="15" t="s">
        <v>60</v>
      </c>
      <c r="D852" s="44" t="str">
        <f>VLOOKUP(Estimate!$C852,Resources!$B$3:$G$336,4,FALSE)</f>
        <v xml:space="preserve">hr   </v>
      </c>
      <c r="E852" s="44" t="str">
        <f>VLOOKUP(Estimate!$C852,Resources!$B$3:$G$336,3,FALSE)</f>
        <v>P</v>
      </c>
      <c r="F852" s="52">
        <v>1</v>
      </c>
      <c r="G852" s="12">
        <f>G850</f>
        <v>30</v>
      </c>
      <c r="H852" s="12">
        <f>H848</f>
        <v>100</v>
      </c>
      <c r="I852" s="12">
        <f>VLOOKUP(C852,Resources!$B$3:$G$336,6,FALSE)</f>
        <v>95</v>
      </c>
      <c r="J852" s="12">
        <f>(H852/(G852/F852))*I852</f>
        <v>316.66666666666669</v>
      </c>
      <c r="K852" s="90">
        <f>L852*F852</f>
        <v>3.3333333333333335</v>
      </c>
      <c r="L852" s="90">
        <f>IF(E852="M"," ",H852/G852)</f>
        <v>3.3333333333333335</v>
      </c>
      <c r="M852" s="16">
        <f>IF($E852="L",$J852,0)</f>
        <v>0</v>
      </c>
      <c r="N852" s="16">
        <f>IF($E852="M",$J852,0)</f>
        <v>0</v>
      </c>
      <c r="O852" s="16">
        <f>IF($E852="P",$J852,0)</f>
        <v>316.66666666666669</v>
      </c>
      <c r="P852" s="16">
        <f>IF($E852="S",$J852,0)</f>
        <v>0</v>
      </c>
      <c r="Q852" s="16">
        <f>SUM(M852:P852)</f>
        <v>316.66666666666669</v>
      </c>
      <c r="R852" s="118">
        <v>57</v>
      </c>
    </row>
    <row r="853" spans="1:18" outlineLevel="1" x14ac:dyDescent="0.5">
      <c r="A853" s="131" t="s">
        <v>448</v>
      </c>
      <c r="B853" s="14">
        <v>5</v>
      </c>
      <c r="C853" s="15" t="s">
        <v>7</v>
      </c>
      <c r="D853" s="44" t="str">
        <f>VLOOKUP(Estimate!$C853,Resources!$B$3:$G$336,4,FALSE)</f>
        <v xml:space="preserve">hr   </v>
      </c>
      <c r="E853" s="44" t="str">
        <f>VLOOKUP(Estimate!$C853,Resources!$B$3:$G$336,3,FALSE)</f>
        <v>L</v>
      </c>
      <c r="F853" s="52">
        <v>1</v>
      </c>
      <c r="G853" s="12">
        <f>G850</f>
        <v>30</v>
      </c>
      <c r="H853" s="12">
        <f>H848</f>
        <v>100</v>
      </c>
      <c r="I853" s="12">
        <f>VLOOKUP(C853,Resources!$B$3:$G$336,6,FALSE)</f>
        <v>38</v>
      </c>
      <c r="J853" s="12">
        <f>(H853/(G853/F853))*I853</f>
        <v>126.66666666666667</v>
      </c>
      <c r="K853" s="90">
        <f>L853*F853</f>
        <v>3.3333333333333335</v>
      </c>
      <c r="L853" s="90">
        <f>IF(E853="M"," ",H853/G853)</f>
        <v>3.3333333333333335</v>
      </c>
      <c r="M853" s="16">
        <f>IF($E853="L",$J853,0)</f>
        <v>126.66666666666667</v>
      </c>
      <c r="N853" s="16">
        <f>IF($E853="M",$J853,0)</f>
        <v>0</v>
      </c>
      <c r="O853" s="16">
        <f>IF($E853="P",$J853,0)</f>
        <v>0</v>
      </c>
      <c r="P853" s="16">
        <f>IF($E853="S",$J853,0)</f>
        <v>0</v>
      </c>
      <c r="Q853" s="16">
        <f>SUM(M853:P853)</f>
        <v>126.66666666666667</v>
      </c>
      <c r="R853" s="118">
        <v>57</v>
      </c>
    </row>
    <row r="854" spans="1:18" outlineLevel="1" x14ac:dyDescent="0.5">
      <c r="A854" s="132" t="s">
        <v>448</v>
      </c>
      <c r="B854" s="1">
        <v>6</v>
      </c>
      <c r="C854" s="2" t="s">
        <v>914</v>
      </c>
      <c r="D854" s="1"/>
      <c r="E854" s="45"/>
      <c r="F854" s="53"/>
      <c r="G854" s="11"/>
      <c r="H854" s="11"/>
      <c r="I854" s="11"/>
      <c r="J854" s="11"/>
      <c r="K854" s="91"/>
      <c r="L854" s="91"/>
      <c r="M854" s="13"/>
      <c r="N854" s="13"/>
      <c r="O854" s="13"/>
      <c r="P854" s="13"/>
      <c r="Q854" s="13"/>
      <c r="R854" s="119"/>
    </row>
    <row r="855" spans="1:18" outlineLevel="1" x14ac:dyDescent="0.5">
      <c r="A855" s="132" t="s">
        <v>448</v>
      </c>
      <c r="B855" s="1">
        <v>7</v>
      </c>
      <c r="C855" s="2" t="s">
        <v>915</v>
      </c>
      <c r="D855" s="1"/>
      <c r="E855" s="45"/>
      <c r="F855" s="53"/>
      <c r="G855" s="11"/>
      <c r="H855" s="11"/>
      <c r="I855" s="11"/>
      <c r="J855" s="11"/>
      <c r="K855" s="91"/>
      <c r="L855" s="91"/>
      <c r="M855" s="13"/>
      <c r="N855" s="13"/>
      <c r="O855" s="13"/>
      <c r="P855" s="13"/>
      <c r="Q855" s="13"/>
      <c r="R855" s="119"/>
    </row>
    <row r="856" spans="1:18" outlineLevel="1" x14ac:dyDescent="0.5">
      <c r="A856" s="131" t="s">
        <v>448</v>
      </c>
      <c r="B856" s="14">
        <v>8</v>
      </c>
      <c r="C856" s="15" t="s">
        <v>101</v>
      </c>
      <c r="D856" s="44" t="str">
        <f>VLOOKUP(Estimate!$C856,Resources!$B$3:$G$336,4,FALSE)</f>
        <v xml:space="preserve">hr   </v>
      </c>
      <c r="E856" s="44" t="str">
        <f>VLOOKUP(Estimate!$C856,Resources!$B$3:$G$336,3,FALSE)</f>
        <v>P</v>
      </c>
      <c r="F856" s="52">
        <v>1</v>
      </c>
      <c r="G856" s="12">
        <v>133.333</v>
      </c>
      <c r="H856" s="12">
        <f>H848</f>
        <v>100</v>
      </c>
      <c r="I856" s="12">
        <f>VLOOKUP(C856,Resources!$B$3:$G$336,6,FALSE)</f>
        <v>185</v>
      </c>
      <c r="J856" s="12">
        <f>(H856/(G856/F856))*I856</f>
        <v>138.75034687586719</v>
      </c>
      <c r="K856" s="90">
        <f>L856*F856</f>
        <v>0.75000187500468751</v>
      </c>
      <c r="L856" s="90">
        <f>IF(E856="M"," ",H856/G856)</f>
        <v>0.75000187500468751</v>
      </c>
      <c r="M856" s="16">
        <f>IF($E856="L",$J856,0)</f>
        <v>0</v>
      </c>
      <c r="N856" s="16">
        <f>IF($E856="M",$J856,0)</f>
        <v>0</v>
      </c>
      <c r="O856" s="16">
        <f>IF($E856="P",$J856,0)</f>
        <v>138.75034687586719</v>
      </c>
      <c r="P856" s="16">
        <f>IF($E856="S",$J856,0)</f>
        <v>0</v>
      </c>
      <c r="Q856" s="16">
        <f>SUM(M856:P856)</f>
        <v>138.75034687586719</v>
      </c>
      <c r="R856" s="118">
        <v>57</v>
      </c>
    </row>
    <row r="857" spans="1:18" outlineLevel="1" x14ac:dyDescent="0.5">
      <c r="A857" s="132" t="s">
        <v>448</v>
      </c>
      <c r="B857" s="1">
        <v>9</v>
      </c>
      <c r="C857" s="2" t="s">
        <v>655</v>
      </c>
      <c r="D857" s="1"/>
      <c r="E857" s="45"/>
      <c r="F857" s="53"/>
      <c r="G857" s="11"/>
      <c r="H857" s="11"/>
      <c r="I857" s="11"/>
      <c r="J857" s="11"/>
      <c r="K857" s="91"/>
      <c r="L857" s="91"/>
      <c r="M857" s="13"/>
      <c r="N857" s="13"/>
      <c r="O857" s="13"/>
      <c r="P857" s="13"/>
      <c r="Q857" s="13"/>
      <c r="R857" s="119"/>
    </row>
    <row r="858" spans="1:18" outlineLevel="1" x14ac:dyDescent="0.5">
      <c r="A858" s="131">
        <v>182.2</v>
      </c>
      <c r="B858" s="14">
        <v>10</v>
      </c>
      <c r="C858" s="15" t="s">
        <v>55</v>
      </c>
      <c r="D858" s="44" t="str">
        <f>VLOOKUP(Estimate!$C858,Resources!$B$3:$G$336,4,FALSE)</f>
        <v xml:space="preserve">hr   </v>
      </c>
      <c r="E858" s="44" t="str">
        <f>VLOOKUP(Estimate!$C858,Resources!$B$3:$G$336,3,FALSE)</f>
        <v>P</v>
      </c>
      <c r="F858" s="52">
        <v>1</v>
      </c>
      <c r="G858" s="129">
        <f>VLOOKUP($A858,'Model Inputs'!$A:$D,4)</f>
        <v>33.332999999999998</v>
      </c>
      <c r="H858" s="12">
        <f>H848</f>
        <v>100</v>
      </c>
      <c r="I858" s="12">
        <f>VLOOKUP(C858,Resources!$B$3:$G$336,6,FALSE)</f>
        <v>135</v>
      </c>
      <c r="J858" s="12">
        <f>(H858/(G858/F858))*I858</f>
        <v>405.00405004050043</v>
      </c>
      <c r="K858" s="90">
        <f>L858*F858</f>
        <v>3.0000300003000033</v>
      </c>
      <c r="L858" s="90">
        <f>IF(E858="M"," ",H858/G858)</f>
        <v>3.0000300003000033</v>
      </c>
      <c r="M858" s="16">
        <f>IF($E858="L",$J858,0)</f>
        <v>0</v>
      </c>
      <c r="N858" s="16">
        <f>IF($E858="M",$J858,0)</f>
        <v>0</v>
      </c>
      <c r="O858" s="16">
        <f>IF($E858="P",$J858,0)</f>
        <v>405.00405004050043</v>
      </c>
      <c r="P858" s="16">
        <f>IF($E858="S",$J858,0)</f>
        <v>0</v>
      </c>
      <c r="Q858" s="16">
        <f>SUM(M858:P858)</f>
        <v>405.00405004050043</v>
      </c>
      <c r="R858" s="118">
        <v>57</v>
      </c>
    </row>
    <row r="859" spans="1:18" outlineLevel="1" x14ac:dyDescent="0.5">
      <c r="A859" s="131" t="s">
        <v>448</v>
      </c>
      <c r="B859" s="14">
        <v>11</v>
      </c>
      <c r="C859" s="15" t="s">
        <v>102</v>
      </c>
      <c r="D859" s="44" t="str">
        <f>VLOOKUP(Estimate!$C859,Resources!$B$3:$G$336,4,FALSE)</f>
        <v xml:space="preserve">hr   </v>
      </c>
      <c r="E859" s="44" t="str">
        <f>VLOOKUP(Estimate!$C859,Resources!$B$3:$G$336,3,FALSE)</f>
        <v>P</v>
      </c>
      <c r="F859" s="52">
        <v>3</v>
      </c>
      <c r="G859" s="12">
        <f>G858</f>
        <v>33.332999999999998</v>
      </c>
      <c r="H859" s="12">
        <f>H848</f>
        <v>100</v>
      </c>
      <c r="I859" s="12">
        <f>VLOOKUP(C859,Resources!$B$3:$G$336,6,FALSE)</f>
        <v>145</v>
      </c>
      <c r="J859" s="12">
        <f>(H859/(G859/F859))*I859</f>
        <v>1305.0130501305014</v>
      </c>
      <c r="K859" s="90">
        <f>L859*F859</f>
        <v>9.0000900009000091</v>
      </c>
      <c r="L859" s="90">
        <f>IF(E859="M"," ",H859/G859)</f>
        <v>3.0000300003000033</v>
      </c>
      <c r="M859" s="16">
        <f>IF($E859="L",$J859,0)</f>
        <v>0</v>
      </c>
      <c r="N859" s="16">
        <f>IF($E859="M",$J859,0)</f>
        <v>0</v>
      </c>
      <c r="O859" s="16">
        <f>IF($E859="P",$J859,0)</f>
        <v>1305.0130501305014</v>
      </c>
      <c r="P859" s="16">
        <f>IF($E859="S",$J859,0)</f>
        <v>0</v>
      </c>
      <c r="Q859" s="16">
        <f>SUM(M859:P859)</f>
        <v>1305.0130501305014</v>
      </c>
      <c r="R859" s="118">
        <v>57</v>
      </c>
    </row>
    <row r="860" spans="1:18" outlineLevel="1" x14ac:dyDescent="0.5">
      <c r="A860" s="132" t="s">
        <v>448</v>
      </c>
      <c r="B860" s="1">
        <v>12</v>
      </c>
      <c r="C860" s="2" t="s">
        <v>656</v>
      </c>
      <c r="D860" s="1"/>
      <c r="E860" s="45"/>
      <c r="F860" s="53"/>
      <c r="G860" s="11"/>
      <c r="H860" s="11"/>
      <c r="I860" s="11"/>
      <c r="J860" s="11"/>
      <c r="K860" s="91"/>
      <c r="L860" s="91"/>
      <c r="M860" s="13"/>
      <c r="N860" s="13"/>
      <c r="O860" s="13"/>
      <c r="P860" s="13"/>
      <c r="Q860" s="13"/>
      <c r="R860" s="119"/>
    </row>
    <row r="861" spans="1:18" outlineLevel="1" x14ac:dyDescent="0.5">
      <c r="A861" s="131" t="s">
        <v>448</v>
      </c>
      <c r="B861" s="14">
        <v>13</v>
      </c>
      <c r="C861" s="15" t="s">
        <v>96</v>
      </c>
      <c r="D861" s="44" t="str">
        <f>VLOOKUP(Estimate!$C861,Resources!$B$3:$G$336,4,FALSE)</f>
        <v xml:space="preserve">hr   </v>
      </c>
      <c r="E861" s="44" t="str">
        <f>VLOOKUP(Estimate!$C861,Resources!$B$3:$G$336,3,FALSE)</f>
        <v>P</v>
      </c>
      <c r="F861" s="52">
        <v>1</v>
      </c>
      <c r="G861" s="12">
        <f>G858</f>
        <v>33.332999999999998</v>
      </c>
      <c r="H861" s="12">
        <f>H848</f>
        <v>100</v>
      </c>
      <c r="I861" s="12">
        <f>VLOOKUP(C861,Resources!$B$3:$G$336,6,FALSE)</f>
        <v>145</v>
      </c>
      <c r="J861" s="12">
        <f>(H861/(G861/F861))*I861</f>
        <v>435.00435004350049</v>
      </c>
      <c r="K861" s="90">
        <f>L861*F861</f>
        <v>3.0000300003000033</v>
      </c>
      <c r="L861" s="90">
        <f>IF(E861="M"," ",H861/G861)</f>
        <v>3.0000300003000033</v>
      </c>
      <c r="M861" s="16">
        <f>IF($E861="L",$J861,0)</f>
        <v>0</v>
      </c>
      <c r="N861" s="16">
        <f>IF($E861="M",$J861,0)</f>
        <v>0</v>
      </c>
      <c r="O861" s="16">
        <f>IF($E861="P",$J861,0)</f>
        <v>435.00435004350049</v>
      </c>
      <c r="P861" s="16">
        <f>IF($E861="S",$J861,0)</f>
        <v>0</v>
      </c>
      <c r="Q861" s="16">
        <f>SUM(M861:P861)</f>
        <v>435.00435004350049</v>
      </c>
      <c r="R861" s="118">
        <v>57</v>
      </c>
    </row>
    <row r="862" spans="1:18" outlineLevel="1" x14ac:dyDescent="0.5">
      <c r="A862" s="131" t="s">
        <v>448</v>
      </c>
      <c r="B862" s="14">
        <v>14</v>
      </c>
      <c r="C862" s="15" t="s">
        <v>60</v>
      </c>
      <c r="D862" s="44" t="str">
        <f>VLOOKUP(Estimate!$C862,Resources!$B$3:$G$336,4,FALSE)</f>
        <v xml:space="preserve">hr   </v>
      </c>
      <c r="E862" s="44" t="str">
        <f>VLOOKUP(Estimate!$C862,Resources!$B$3:$G$336,3,FALSE)</f>
        <v>P</v>
      </c>
      <c r="F862" s="52">
        <v>1</v>
      </c>
      <c r="G862" s="12">
        <f>G858</f>
        <v>33.332999999999998</v>
      </c>
      <c r="H862" s="12">
        <f>H848</f>
        <v>100</v>
      </c>
      <c r="I862" s="12">
        <f>VLOOKUP(C862,Resources!$B$3:$G$336,6,FALSE)</f>
        <v>95</v>
      </c>
      <c r="J862" s="12">
        <f>(H862/(G862/F862))*I862</f>
        <v>285.00285002850029</v>
      </c>
      <c r="K862" s="90">
        <f>L862*F862</f>
        <v>3.0000300003000033</v>
      </c>
      <c r="L862" s="90">
        <f>IF(E862="M"," ",H862/G862)</f>
        <v>3.0000300003000033</v>
      </c>
      <c r="M862" s="16">
        <f>IF($E862="L",$J862,0)</f>
        <v>0</v>
      </c>
      <c r="N862" s="16">
        <f>IF($E862="M",$J862,0)</f>
        <v>0</v>
      </c>
      <c r="O862" s="16">
        <f>IF($E862="P",$J862,0)</f>
        <v>285.00285002850029</v>
      </c>
      <c r="P862" s="16">
        <f>IF($E862="S",$J862,0)</f>
        <v>0</v>
      </c>
      <c r="Q862" s="16">
        <f>SUM(M862:P862)</f>
        <v>285.00285002850029</v>
      </c>
      <c r="R862" s="118">
        <v>57</v>
      </c>
    </row>
    <row r="863" spans="1:18" outlineLevel="1" x14ac:dyDescent="0.5">
      <c r="A863" s="131" t="s">
        <v>448</v>
      </c>
      <c r="B863" s="14">
        <v>15</v>
      </c>
      <c r="C863" s="15" t="s">
        <v>830</v>
      </c>
      <c r="D863" s="44" t="str">
        <f>VLOOKUP(Estimate!$C863,Resources!$B$3:$G$336,4,FALSE)</f>
        <v xml:space="preserve">hr   </v>
      </c>
      <c r="E863" s="44" t="str">
        <f>VLOOKUP(Estimate!$C863,Resources!$B$3:$G$336,3,FALSE)</f>
        <v>P</v>
      </c>
      <c r="F863" s="52">
        <v>1</v>
      </c>
      <c r="G863" s="12">
        <f>G858</f>
        <v>33.332999999999998</v>
      </c>
      <c r="H863" s="12">
        <f>H848</f>
        <v>100</v>
      </c>
      <c r="I863" s="12">
        <f>VLOOKUP(C863,Resources!$B$3:$G$336,6,FALSE)</f>
        <v>58</v>
      </c>
      <c r="J863" s="12">
        <f>(H863/(G863/F863))*I863</f>
        <v>174.00174001740018</v>
      </c>
      <c r="K863" s="90">
        <f>L863*F863</f>
        <v>3.0000300003000033</v>
      </c>
      <c r="L863" s="90">
        <f>IF(E863="M"," ",H863/G863)</f>
        <v>3.0000300003000033</v>
      </c>
      <c r="M863" s="16">
        <f>IF($E863="L",$J863,0)</f>
        <v>0</v>
      </c>
      <c r="N863" s="16">
        <f>IF($E863="M",$J863,0)</f>
        <v>0</v>
      </c>
      <c r="O863" s="16">
        <f>IF($E863="P",$J863,0)</f>
        <v>174.00174001740018</v>
      </c>
      <c r="P863" s="16">
        <f>IF($E863="S",$J863,0)</f>
        <v>0</v>
      </c>
      <c r="Q863" s="16">
        <f>SUM(M863:P863)</f>
        <v>174.00174001740018</v>
      </c>
      <c r="R863" s="118">
        <v>57</v>
      </c>
    </row>
    <row r="864" spans="1:18" outlineLevel="1" x14ac:dyDescent="0.5">
      <c r="A864" s="131" t="s">
        <v>448</v>
      </c>
      <c r="B864" s="14">
        <v>16</v>
      </c>
      <c r="C864" s="15" t="s">
        <v>7</v>
      </c>
      <c r="D864" s="44" t="str">
        <f>VLOOKUP(Estimate!$C864,Resources!$B$3:$G$336,4,FALSE)</f>
        <v xml:space="preserve">hr   </v>
      </c>
      <c r="E864" s="44" t="str">
        <f>VLOOKUP(Estimate!$C864,Resources!$B$3:$G$336,3,FALSE)</f>
        <v>L</v>
      </c>
      <c r="F864" s="52">
        <v>3</v>
      </c>
      <c r="G864" s="12">
        <f>G858</f>
        <v>33.332999999999998</v>
      </c>
      <c r="H864" s="12">
        <f>H848</f>
        <v>100</v>
      </c>
      <c r="I864" s="12">
        <f>VLOOKUP(C864,Resources!$B$3:$G$336,6,FALSE)</f>
        <v>38</v>
      </c>
      <c r="J864" s="12">
        <f>(H864/(G864/F864))*I864</f>
        <v>342.00342003420036</v>
      </c>
      <c r="K864" s="90">
        <f>L864*F864</f>
        <v>9.0000900009000091</v>
      </c>
      <c r="L864" s="90">
        <f>IF(E864="M"," ",H864/G864)</f>
        <v>3.0000300003000033</v>
      </c>
      <c r="M864" s="16">
        <f>IF($E864="L",$J864,0)</f>
        <v>342.00342003420036</v>
      </c>
      <c r="N864" s="16">
        <f>IF($E864="M",$J864,0)</f>
        <v>0</v>
      </c>
      <c r="O864" s="16">
        <f>IF($E864="P",$J864,0)</f>
        <v>0</v>
      </c>
      <c r="P864" s="16">
        <f>IF($E864="S",$J864,0)</f>
        <v>0</v>
      </c>
      <c r="Q864" s="16">
        <f>SUM(M864:P864)</f>
        <v>342.00342003420036</v>
      </c>
      <c r="R864" s="118">
        <v>57</v>
      </c>
    </row>
    <row r="865" spans="1:18" outlineLevel="1" x14ac:dyDescent="0.5">
      <c r="A865" s="131" t="s">
        <v>448</v>
      </c>
      <c r="B865" s="14">
        <v>17</v>
      </c>
      <c r="C865" s="15" t="s">
        <v>49</v>
      </c>
      <c r="D865" s="44" t="str">
        <f>VLOOKUP(Estimate!$C865,Resources!$B$3:$G$336,4,FALSE)</f>
        <v xml:space="preserve">hr   </v>
      </c>
      <c r="E865" s="44" t="str">
        <f>VLOOKUP(Estimate!$C865,Resources!$B$3:$G$336,3,FALSE)</f>
        <v>P</v>
      </c>
      <c r="F865" s="52">
        <v>1</v>
      </c>
      <c r="G865" s="12">
        <f>G858</f>
        <v>33.332999999999998</v>
      </c>
      <c r="H865" s="12">
        <f>H848</f>
        <v>100</v>
      </c>
      <c r="I865" s="12">
        <f>VLOOKUP(C865,Resources!$B$3:$G$336,6,FALSE)</f>
        <v>95</v>
      </c>
      <c r="J865" s="12">
        <f>(H865/(G865/F865))*I865</f>
        <v>285.00285002850029</v>
      </c>
      <c r="K865" s="90">
        <f>L865*F865</f>
        <v>3.0000300003000033</v>
      </c>
      <c r="L865" s="90">
        <f>IF(E865="M"," ",H865/G865)</f>
        <v>3.0000300003000033</v>
      </c>
      <c r="M865" s="16">
        <f>IF($E865="L",$J865,0)</f>
        <v>0</v>
      </c>
      <c r="N865" s="16">
        <f>IF($E865="M",$J865,0)</f>
        <v>0</v>
      </c>
      <c r="O865" s="16">
        <f>IF($E865="P",$J865,0)</f>
        <v>285.00285002850029</v>
      </c>
      <c r="P865" s="16">
        <f>IF($E865="S",$J865,0)</f>
        <v>0</v>
      </c>
      <c r="Q865" s="16">
        <f>SUM(M865:P865)</f>
        <v>285.00285002850029</v>
      </c>
      <c r="R865" s="118">
        <v>57</v>
      </c>
    </row>
    <row r="866" spans="1:18" outlineLevel="1" x14ac:dyDescent="0.5">
      <c r="A866" s="132" t="s">
        <v>448</v>
      </c>
      <c r="B866" s="1"/>
      <c r="C866" s="2"/>
      <c r="D866" s="1"/>
      <c r="E866" s="45"/>
      <c r="F866" s="53"/>
      <c r="G866" s="11"/>
      <c r="H866" s="11"/>
      <c r="I866" s="11"/>
      <c r="J866" s="11"/>
      <c r="K866" s="91"/>
      <c r="L866" s="91"/>
      <c r="M866" s="13"/>
      <c r="N866" s="13"/>
      <c r="O866" s="13"/>
      <c r="P866" s="13"/>
      <c r="Q866" s="13"/>
      <c r="R866" s="119"/>
    </row>
    <row r="867" spans="1:18" x14ac:dyDescent="0.5">
      <c r="A867" s="130">
        <v>183</v>
      </c>
      <c r="B867" s="7" t="s">
        <v>494</v>
      </c>
      <c r="C867" s="7" t="s">
        <v>495</v>
      </c>
      <c r="D867" s="8" t="s">
        <v>79</v>
      </c>
      <c r="E867" s="43"/>
      <c r="F867" s="51"/>
      <c r="G867" s="9"/>
      <c r="H867" s="129">
        <f>VLOOKUP($A867,'Model Inputs'!$A:$D,4)</f>
        <v>75</v>
      </c>
      <c r="I867" s="9"/>
      <c r="J867" s="9">
        <f>SUBTOTAL(9,J869:J884)</f>
        <v>3834.8369928992274</v>
      </c>
      <c r="K867" s="89"/>
      <c r="L867" s="89">
        <f>MAX(L869:L878)+MAX(L880:L884)/workhrs</f>
        <v>2.7500025000250004</v>
      </c>
      <c r="M867" s="9">
        <f>SUBTOTAL(9,M869:M884)</f>
        <v>351.50256502565031</v>
      </c>
      <c r="N867" s="9">
        <f t="shared" ref="N867:Q867" si="90">SUBTOTAL(9,N869:N884)</f>
        <v>0</v>
      </c>
      <c r="O867" s="9">
        <f t="shared" si="90"/>
        <v>3483.3344278735772</v>
      </c>
      <c r="P867" s="9">
        <f t="shared" si="90"/>
        <v>0</v>
      </c>
      <c r="Q867" s="9">
        <f t="shared" si="90"/>
        <v>3834.8369928992274</v>
      </c>
      <c r="R867" s="43"/>
    </row>
    <row r="868" spans="1:18" outlineLevel="1" x14ac:dyDescent="0.5">
      <c r="A868" s="132" t="s">
        <v>448</v>
      </c>
      <c r="B868" s="1">
        <v>1</v>
      </c>
      <c r="C868" s="2" t="s">
        <v>913</v>
      </c>
      <c r="D868" s="1"/>
      <c r="E868" s="45"/>
      <c r="F868" s="53"/>
      <c r="G868" s="11"/>
      <c r="H868" s="11"/>
      <c r="I868" s="11"/>
      <c r="J868" s="11"/>
      <c r="K868" s="91"/>
      <c r="L868" s="91"/>
      <c r="M868" s="13"/>
      <c r="N868" s="13"/>
      <c r="O868" s="13"/>
      <c r="P868" s="13"/>
      <c r="Q868" s="13"/>
      <c r="R868" s="119"/>
    </row>
    <row r="869" spans="1:18" outlineLevel="1" x14ac:dyDescent="0.5">
      <c r="A869" s="131">
        <v>183.1</v>
      </c>
      <c r="B869" s="14">
        <v>2</v>
      </c>
      <c r="C869" s="15" t="s">
        <v>55</v>
      </c>
      <c r="D869" s="44" t="str">
        <f>VLOOKUP(Estimate!$C869,Resources!$B$3:$G$336,4,FALSE)</f>
        <v xml:space="preserve">hr   </v>
      </c>
      <c r="E869" s="44" t="str">
        <f>VLOOKUP(Estimate!$C869,Resources!$B$3:$G$336,3,FALSE)</f>
        <v>P</v>
      </c>
      <c r="F869" s="52">
        <v>1</v>
      </c>
      <c r="G869" s="129">
        <f>VLOOKUP($A869,'Model Inputs'!$A:$D,4)</f>
        <v>30</v>
      </c>
      <c r="H869" s="12">
        <f>H867</f>
        <v>75</v>
      </c>
      <c r="I869" s="12">
        <f>VLOOKUP(C869,Resources!$B$3:$G$336,6,FALSE)</f>
        <v>135</v>
      </c>
      <c r="J869" s="12">
        <f>(H869/(G869/F869))*I869</f>
        <v>337.5</v>
      </c>
      <c r="K869" s="90">
        <f>L869*F869</f>
        <v>2.5</v>
      </c>
      <c r="L869" s="90">
        <f>IF(E869="M"," ",H869/G869)</f>
        <v>2.5</v>
      </c>
      <c r="M869" s="16">
        <f>IF($E869="L",$J869,0)</f>
        <v>0</v>
      </c>
      <c r="N869" s="16">
        <f>IF($E869="M",$J869,0)</f>
        <v>0</v>
      </c>
      <c r="O869" s="16">
        <f>IF($E869="P",$J869,0)</f>
        <v>337.5</v>
      </c>
      <c r="P869" s="16">
        <f>IF($E869="S",$J869,0)</f>
        <v>0</v>
      </c>
      <c r="Q869" s="16">
        <f>SUM(M869:P869)</f>
        <v>337.5</v>
      </c>
      <c r="R869" s="118">
        <v>57</v>
      </c>
    </row>
    <row r="870" spans="1:18" outlineLevel="1" x14ac:dyDescent="0.5">
      <c r="A870" s="131" t="s">
        <v>448</v>
      </c>
      <c r="B870" s="14">
        <v>3</v>
      </c>
      <c r="C870" s="15" t="s">
        <v>66</v>
      </c>
      <c r="D870" s="44" t="str">
        <f>VLOOKUP(Estimate!$C870,Resources!$B$3:$G$336,4,FALSE)</f>
        <v xml:space="preserve">hr   </v>
      </c>
      <c r="E870" s="44" t="str">
        <f>VLOOKUP(Estimate!$C870,Resources!$B$3:$G$336,3,FALSE)</f>
        <v>P</v>
      </c>
      <c r="F870" s="52">
        <v>3</v>
      </c>
      <c r="G870" s="12">
        <f>G869</f>
        <v>30</v>
      </c>
      <c r="H870" s="12">
        <f>H867</f>
        <v>75</v>
      </c>
      <c r="I870" s="12">
        <f>VLOOKUP(C870,Resources!$B$3:$G$336,6,FALSE)</f>
        <v>85</v>
      </c>
      <c r="J870" s="12">
        <f>(H870/(G870/F870))*I870</f>
        <v>637.5</v>
      </c>
      <c r="K870" s="90">
        <f>L870*F870</f>
        <v>7.5</v>
      </c>
      <c r="L870" s="90">
        <f>IF(E870="M"," ",H870/G870)</f>
        <v>2.5</v>
      </c>
      <c r="M870" s="16">
        <f>IF($E870="L",$J870,0)</f>
        <v>0</v>
      </c>
      <c r="N870" s="16">
        <f>IF($E870="M",$J870,0)</f>
        <v>0</v>
      </c>
      <c r="O870" s="16">
        <f>IF($E870="P",$J870,0)</f>
        <v>637.5</v>
      </c>
      <c r="P870" s="16">
        <f>IF($E870="S",$J870,0)</f>
        <v>0</v>
      </c>
      <c r="Q870" s="16">
        <f>SUM(M870:P870)</f>
        <v>637.5</v>
      </c>
      <c r="R870" s="118">
        <v>57</v>
      </c>
    </row>
    <row r="871" spans="1:18" outlineLevel="1" x14ac:dyDescent="0.5">
      <c r="A871" s="131" t="s">
        <v>448</v>
      </c>
      <c r="B871" s="14">
        <v>4</v>
      </c>
      <c r="C871" s="15" t="s">
        <v>60</v>
      </c>
      <c r="D871" s="44" t="str">
        <f>VLOOKUP(Estimate!$C871,Resources!$B$3:$G$336,4,FALSE)</f>
        <v xml:space="preserve">hr   </v>
      </c>
      <c r="E871" s="44" t="str">
        <f>VLOOKUP(Estimate!$C871,Resources!$B$3:$G$336,3,FALSE)</f>
        <v>P</v>
      </c>
      <c r="F871" s="52">
        <v>1</v>
      </c>
      <c r="G871" s="12">
        <f>G869</f>
        <v>30</v>
      </c>
      <c r="H871" s="12">
        <f>H867</f>
        <v>75</v>
      </c>
      <c r="I871" s="12">
        <f>VLOOKUP(C871,Resources!$B$3:$G$336,6,FALSE)</f>
        <v>95</v>
      </c>
      <c r="J871" s="12">
        <f>(H871/(G871/F871))*I871</f>
        <v>237.5</v>
      </c>
      <c r="K871" s="90">
        <f>L871*F871</f>
        <v>2.5</v>
      </c>
      <c r="L871" s="90">
        <f>IF(E871="M"," ",H871/G871)</f>
        <v>2.5</v>
      </c>
      <c r="M871" s="16">
        <f>IF($E871="L",$J871,0)</f>
        <v>0</v>
      </c>
      <c r="N871" s="16">
        <f>IF($E871="M",$J871,0)</f>
        <v>0</v>
      </c>
      <c r="O871" s="16">
        <f>IF($E871="P",$J871,0)</f>
        <v>237.5</v>
      </c>
      <c r="P871" s="16">
        <f>IF($E871="S",$J871,0)</f>
        <v>0</v>
      </c>
      <c r="Q871" s="16">
        <f>SUM(M871:P871)</f>
        <v>237.5</v>
      </c>
      <c r="R871" s="118">
        <v>57</v>
      </c>
    </row>
    <row r="872" spans="1:18" outlineLevel="1" x14ac:dyDescent="0.5">
      <c r="A872" s="131" t="s">
        <v>448</v>
      </c>
      <c r="B872" s="14">
        <v>5</v>
      </c>
      <c r="C872" s="15" t="s">
        <v>7</v>
      </c>
      <c r="D872" s="44" t="str">
        <f>VLOOKUP(Estimate!$C872,Resources!$B$3:$G$336,4,FALSE)</f>
        <v xml:space="preserve">hr   </v>
      </c>
      <c r="E872" s="44" t="str">
        <f>VLOOKUP(Estimate!$C872,Resources!$B$3:$G$336,3,FALSE)</f>
        <v>L</v>
      </c>
      <c r="F872" s="52">
        <v>1</v>
      </c>
      <c r="G872" s="12">
        <f>G869</f>
        <v>30</v>
      </c>
      <c r="H872" s="12">
        <f>H867</f>
        <v>75</v>
      </c>
      <c r="I872" s="12">
        <f>VLOOKUP(C872,Resources!$B$3:$G$336,6,FALSE)</f>
        <v>38</v>
      </c>
      <c r="J872" s="12">
        <f>(H872/(G872/F872))*I872</f>
        <v>95</v>
      </c>
      <c r="K872" s="90">
        <f>L872*F872</f>
        <v>2.5</v>
      </c>
      <c r="L872" s="90">
        <f>IF(E872="M"," ",H872/G872)</f>
        <v>2.5</v>
      </c>
      <c r="M872" s="16">
        <f>IF($E872="L",$J872,0)</f>
        <v>95</v>
      </c>
      <c r="N872" s="16">
        <f>IF($E872="M",$J872,0)</f>
        <v>0</v>
      </c>
      <c r="O872" s="16">
        <f>IF($E872="P",$J872,0)</f>
        <v>0</v>
      </c>
      <c r="P872" s="16">
        <f>IF($E872="S",$J872,0)</f>
        <v>0</v>
      </c>
      <c r="Q872" s="16">
        <f>SUM(M872:P872)</f>
        <v>95</v>
      </c>
      <c r="R872" s="118">
        <v>57</v>
      </c>
    </row>
    <row r="873" spans="1:18" outlineLevel="1" x14ac:dyDescent="0.5">
      <c r="A873" s="132" t="s">
        <v>448</v>
      </c>
      <c r="B873" s="1">
        <v>6</v>
      </c>
      <c r="C873" s="2" t="s">
        <v>914</v>
      </c>
      <c r="D873" s="1"/>
      <c r="E873" s="45"/>
      <c r="F873" s="53"/>
      <c r="G873" s="11"/>
      <c r="H873" s="11"/>
      <c r="I873" s="11"/>
      <c r="J873" s="11"/>
      <c r="K873" s="91"/>
      <c r="L873" s="91"/>
      <c r="M873" s="13"/>
      <c r="N873" s="13"/>
      <c r="O873" s="13"/>
      <c r="P873" s="13"/>
      <c r="Q873" s="13"/>
      <c r="R873" s="119"/>
    </row>
    <row r="874" spans="1:18" outlineLevel="1" x14ac:dyDescent="0.5">
      <c r="A874" s="132" t="s">
        <v>448</v>
      </c>
      <c r="B874" s="1">
        <v>7</v>
      </c>
      <c r="C874" s="2" t="s">
        <v>915</v>
      </c>
      <c r="D874" s="1"/>
      <c r="E874" s="45"/>
      <c r="F874" s="53"/>
      <c r="G874" s="11"/>
      <c r="H874" s="11"/>
      <c r="I874" s="11"/>
      <c r="J874" s="11"/>
      <c r="K874" s="91"/>
      <c r="L874" s="91"/>
      <c r="M874" s="13"/>
      <c r="N874" s="13"/>
      <c r="O874" s="13"/>
      <c r="P874" s="13"/>
      <c r="Q874" s="13"/>
      <c r="R874" s="119"/>
    </row>
    <row r="875" spans="1:18" outlineLevel="1" x14ac:dyDescent="0.5">
      <c r="A875" s="131" t="s">
        <v>448</v>
      </c>
      <c r="B875" s="14">
        <v>8</v>
      </c>
      <c r="C875" s="15" t="s">
        <v>101</v>
      </c>
      <c r="D875" s="44" t="str">
        <f>VLOOKUP(Estimate!$C875,Resources!$B$3:$G$336,4,FALSE)</f>
        <v xml:space="preserve">hr   </v>
      </c>
      <c r="E875" s="44" t="str">
        <f>VLOOKUP(Estimate!$C875,Resources!$B$3:$G$336,3,FALSE)</f>
        <v>P</v>
      </c>
      <c r="F875" s="52">
        <v>1</v>
      </c>
      <c r="G875" s="12">
        <v>133.333</v>
      </c>
      <c r="H875" s="12">
        <f>H867</f>
        <v>75</v>
      </c>
      <c r="I875" s="12">
        <f>VLOOKUP(C875,Resources!$B$3:$G$336,6,FALSE)</f>
        <v>185</v>
      </c>
      <c r="J875" s="12">
        <f>(H875/(G875/F875))*I875</f>
        <v>104.0627601569004</v>
      </c>
      <c r="K875" s="90">
        <f>L875*F875</f>
        <v>0.56250140625351563</v>
      </c>
      <c r="L875" s="90">
        <f>IF(E875="M"," ",H875/G875)</f>
        <v>0.56250140625351563</v>
      </c>
      <c r="M875" s="16">
        <f>IF($E875="L",$J875,0)</f>
        <v>0</v>
      </c>
      <c r="N875" s="16">
        <f>IF($E875="M",$J875,0)</f>
        <v>0</v>
      </c>
      <c r="O875" s="16">
        <f>IF($E875="P",$J875,0)</f>
        <v>104.0627601569004</v>
      </c>
      <c r="P875" s="16">
        <f>IF($E875="S",$J875,0)</f>
        <v>0</v>
      </c>
      <c r="Q875" s="16">
        <f>SUM(M875:P875)</f>
        <v>104.0627601569004</v>
      </c>
      <c r="R875" s="118">
        <v>57</v>
      </c>
    </row>
    <row r="876" spans="1:18" outlineLevel="1" x14ac:dyDescent="0.5">
      <c r="A876" s="132" t="s">
        <v>448</v>
      </c>
      <c r="B876" s="1">
        <v>9</v>
      </c>
      <c r="C876" s="2" t="s">
        <v>655</v>
      </c>
      <c r="D876" s="1"/>
      <c r="E876" s="45"/>
      <c r="F876" s="53"/>
      <c r="G876" s="11"/>
      <c r="H876" s="11"/>
      <c r="I876" s="11"/>
      <c r="J876" s="11"/>
      <c r="K876" s="91"/>
      <c r="L876" s="91"/>
      <c r="M876" s="13"/>
      <c r="N876" s="13"/>
      <c r="O876" s="13"/>
      <c r="P876" s="13"/>
      <c r="Q876" s="13"/>
      <c r="R876" s="119"/>
    </row>
    <row r="877" spans="1:18" outlineLevel="1" x14ac:dyDescent="0.5">
      <c r="A877" s="131">
        <v>183.2</v>
      </c>
      <c r="B877" s="14">
        <v>10</v>
      </c>
      <c r="C877" s="15" t="s">
        <v>55</v>
      </c>
      <c r="D877" s="44" t="str">
        <f>VLOOKUP(Estimate!$C877,Resources!$B$3:$G$336,4,FALSE)</f>
        <v xml:space="preserve">hr   </v>
      </c>
      <c r="E877" s="44" t="str">
        <f>VLOOKUP(Estimate!$C877,Resources!$B$3:$G$336,3,FALSE)</f>
        <v>P</v>
      </c>
      <c r="F877" s="52">
        <v>1</v>
      </c>
      <c r="G877" s="129">
        <f>VLOOKUP($A877,'Model Inputs'!$A:$D,4)</f>
        <v>33.332999999999998</v>
      </c>
      <c r="H877" s="12">
        <f>H867</f>
        <v>75</v>
      </c>
      <c r="I877" s="12">
        <f>VLOOKUP(C877,Resources!$B$3:$G$336,6,FALSE)</f>
        <v>135</v>
      </c>
      <c r="J877" s="12">
        <f>(H877/(G877/F877))*I877</f>
        <v>303.75303753037531</v>
      </c>
      <c r="K877" s="90">
        <f>L877*F877</f>
        <v>2.2500225002250023</v>
      </c>
      <c r="L877" s="90">
        <f>IF(E877="M"," ",H877/G877)</f>
        <v>2.2500225002250023</v>
      </c>
      <c r="M877" s="16">
        <f>IF($E877="L",$J877,0)</f>
        <v>0</v>
      </c>
      <c r="N877" s="16">
        <f>IF($E877="M",$J877,0)</f>
        <v>0</v>
      </c>
      <c r="O877" s="16">
        <f>IF($E877="P",$J877,0)</f>
        <v>303.75303753037531</v>
      </c>
      <c r="P877" s="16">
        <f>IF($E877="S",$J877,0)</f>
        <v>0</v>
      </c>
      <c r="Q877" s="16">
        <f>SUM(M877:P877)</f>
        <v>303.75303753037531</v>
      </c>
      <c r="R877" s="118">
        <v>57</v>
      </c>
    </row>
    <row r="878" spans="1:18" outlineLevel="1" x14ac:dyDescent="0.5">
      <c r="A878" s="131" t="s">
        <v>448</v>
      </c>
      <c r="B878" s="14">
        <v>11</v>
      </c>
      <c r="C878" s="15" t="s">
        <v>102</v>
      </c>
      <c r="D878" s="44" t="str">
        <f>VLOOKUP(Estimate!$C878,Resources!$B$3:$G$336,4,FALSE)</f>
        <v xml:space="preserve">hr   </v>
      </c>
      <c r="E878" s="44" t="str">
        <f>VLOOKUP(Estimate!$C878,Resources!$B$3:$G$336,3,FALSE)</f>
        <v>P</v>
      </c>
      <c r="F878" s="52">
        <v>3</v>
      </c>
      <c r="G878" s="12">
        <f>G877</f>
        <v>33.332999999999998</v>
      </c>
      <c r="H878" s="12">
        <f>H867</f>
        <v>75</v>
      </c>
      <c r="I878" s="12">
        <f>VLOOKUP(C878,Resources!$B$3:$G$336,6,FALSE)</f>
        <v>145</v>
      </c>
      <c r="J878" s="12">
        <f>(H878/(G878/F878))*I878</f>
        <v>978.75978759787608</v>
      </c>
      <c r="K878" s="90">
        <f>L878*F878</f>
        <v>6.7500675006750068</v>
      </c>
      <c r="L878" s="90">
        <f>IF(E878="M"," ",H878/G878)</f>
        <v>2.2500225002250023</v>
      </c>
      <c r="M878" s="16">
        <f>IF($E878="L",$J878,0)</f>
        <v>0</v>
      </c>
      <c r="N878" s="16">
        <f>IF($E878="M",$J878,0)</f>
        <v>0</v>
      </c>
      <c r="O878" s="16">
        <f>IF($E878="P",$J878,0)</f>
        <v>978.75978759787608</v>
      </c>
      <c r="P878" s="16">
        <f>IF($E878="S",$J878,0)</f>
        <v>0</v>
      </c>
      <c r="Q878" s="16">
        <f>SUM(M878:P878)</f>
        <v>978.75978759787608</v>
      </c>
      <c r="R878" s="118">
        <v>57</v>
      </c>
    </row>
    <row r="879" spans="1:18" outlineLevel="1" x14ac:dyDescent="0.5">
      <c r="A879" s="132" t="s">
        <v>448</v>
      </c>
      <c r="B879" s="1">
        <v>12</v>
      </c>
      <c r="C879" s="2" t="s">
        <v>656</v>
      </c>
      <c r="D879" s="1"/>
      <c r="E879" s="45"/>
      <c r="F879" s="53"/>
      <c r="G879" s="11"/>
      <c r="H879" s="11"/>
      <c r="I879" s="11"/>
      <c r="J879" s="11"/>
      <c r="K879" s="91"/>
      <c r="L879" s="91"/>
      <c r="M879" s="13"/>
      <c r="N879" s="13"/>
      <c r="O879" s="13"/>
      <c r="P879" s="13"/>
      <c r="Q879" s="13"/>
      <c r="R879" s="119"/>
    </row>
    <row r="880" spans="1:18" outlineLevel="1" x14ac:dyDescent="0.5">
      <c r="A880" s="131" t="s">
        <v>448</v>
      </c>
      <c r="B880" s="14">
        <v>13</v>
      </c>
      <c r="C880" s="15" t="s">
        <v>96</v>
      </c>
      <c r="D880" s="44" t="str">
        <f>VLOOKUP(Estimate!$C880,Resources!$B$3:$G$336,4,FALSE)</f>
        <v xml:space="preserve">hr   </v>
      </c>
      <c r="E880" s="44" t="str">
        <f>VLOOKUP(Estimate!$C880,Resources!$B$3:$G$336,3,FALSE)</f>
        <v>P</v>
      </c>
      <c r="F880" s="52">
        <v>1</v>
      </c>
      <c r="G880" s="12">
        <f>G877</f>
        <v>33.332999999999998</v>
      </c>
      <c r="H880" s="12">
        <f>H867</f>
        <v>75</v>
      </c>
      <c r="I880" s="12">
        <f>VLOOKUP(C880,Resources!$B$3:$G$336,6,FALSE)</f>
        <v>145</v>
      </c>
      <c r="J880" s="12">
        <f>(H880/(G880/F880))*I880</f>
        <v>326.25326253262534</v>
      </c>
      <c r="K880" s="90">
        <f>L880*F880</f>
        <v>2.2500225002250023</v>
      </c>
      <c r="L880" s="90">
        <f>IF(E880="M"," ",H880/G880)</f>
        <v>2.2500225002250023</v>
      </c>
      <c r="M880" s="16">
        <f>IF($E880="L",$J880,0)</f>
        <v>0</v>
      </c>
      <c r="N880" s="16">
        <f>IF($E880="M",$J880,0)</f>
        <v>0</v>
      </c>
      <c r="O880" s="16">
        <f>IF($E880="P",$J880,0)</f>
        <v>326.25326253262534</v>
      </c>
      <c r="P880" s="16">
        <f>IF($E880="S",$J880,0)</f>
        <v>0</v>
      </c>
      <c r="Q880" s="16">
        <f>SUM(M880:P880)</f>
        <v>326.25326253262534</v>
      </c>
      <c r="R880" s="118">
        <v>57</v>
      </c>
    </row>
    <row r="881" spans="1:20" outlineLevel="1" x14ac:dyDescent="0.5">
      <c r="A881" s="131" t="s">
        <v>448</v>
      </c>
      <c r="B881" s="14">
        <v>14</v>
      </c>
      <c r="C881" s="15" t="s">
        <v>60</v>
      </c>
      <c r="D881" s="44" t="str">
        <f>VLOOKUP(Estimate!$C881,Resources!$B$3:$G$336,4,FALSE)</f>
        <v xml:space="preserve">hr   </v>
      </c>
      <c r="E881" s="44" t="str">
        <f>VLOOKUP(Estimate!$C881,Resources!$B$3:$G$336,3,FALSE)</f>
        <v>P</v>
      </c>
      <c r="F881" s="52">
        <v>1</v>
      </c>
      <c r="G881" s="12">
        <f>G877</f>
        <v>33.332999999999998</v>
      </c>
      <c r="H881" s="12">
        <f>H867</f>
        <v>75</v>
      </c>
      <c r="I881" s="12">
        <f>VLOOKUP(C881,Resources!$B$3:$G$336,6,FALSE)</f>
        <v>95</v>
      </c>
      <c r="J881" s="12">
        <f>(H881/(G881/F881))*I881</f>
        <v>213.7521375213752</v>
      </c>
      <c r="K881" s="90">
        <f>L881*F881</f>
        <v>2.2500225002250023</v>
      </c>
      <c r="L881" s="90">
        <f>IF(E881="M"," ",H881/G881)</f>
        <v>2.2500225002250023</v>
      </c>
      <c r="M881" s="16">
        <f>IF($E881="L",$J881,0)</f>
        <v>0</v>
      </c>
      <c r="N881" s="16">
        <f>IF($E881="M",$J881,0)</f>
        <v>0</v>
      </c>
      <c r="O881" s="16">
        <f>IF($E881="P",$J881,0)</f>
        <v>213.7521375213752</v>
      </c>
      <c r="P881" s="16">
        <f>IF($E881="S",$J881,0)</f>
        <v>0</v>
      </c>
      <c r="Q881" s="16">
        <f>SUM(M881:P881)</f>
        <v>213.7521375213752</v>
      </c>
      <c r="R881" s="118">
        <v>57</v>
      </c>
    </row>
    <row r="882" spans="1:20" outlineLevel="1" x14ac:dyDescent="0.5">
      <c r="A882" s="131" t="s">
        <v>448</v>
      </c>
      <c r="B882" s="14">
        <v>15</v>
      </c>
      <c r="C882" s="15" t="s">
        <v>830</v>
      </c>
      <c r="D882" s="44" t="str">
        <f>VLOOKUP(Estimate!$C882,Resources!$B$3:$G$336,4,FALSE)</f>
        <v xml:space="preserve">hr   </v>
      </c>
      <c r="E882" s="44" t="str">
        <f>VLOOKUP(Estimate!$C882,Resources!$B$3:$G$336,3,FALSE)</f>
        <v>P</v>
      </c>
      <c r="F882" s="52">
        <v>1</v>
      </c>
      <c r="G882" s="12">
        <f>G877</f>
        <v>33.332999999999998</v>
      </c>
      <c r="H882" s="12">
        <f>H867</f>
        <v>75</v>
      </c>
      <c r="I882" s="12">
        <f>VLOOKUP(C882,Resources!$B$3:$G$336,6,FALSE)</f>
        <v>58</v>
      </c>
      <c r="J882" s="12">
        <f>(H882/(G882/F882))*I882</f>
        <v>130.50130501305014</v>
      </c>
      <c r="K882" s="90">
        <f>L882*F882</f>
        <v>2.2500225002250023</v>
      </c>
      <c r="L882" s="90">
        <f>IF(E882="M"," ",H882/G882)</f>
        <v>2.2500225002250023</v>
      </c>
      <c r="M882" s="16">
        <f>IF($E882="L",$J882,0)</f>
        <v>0</v>
      </c>
      <c r="N882" s="16">
        <f>IF($E882="M",$J882,0)</f>
        <v>0</v>
      </c>
      <c r="O882" s="16">
        <f>IF($E882="P",$J882,0)</f>
        <v>130.50130501305014</v>
      </c>
      <c r="P882" s="16">
        <f>IF($E882="S",$J882,0)</f>
        <v>0</v>
      </c>
      <c r="Q882" s="16">
        <f>SUM(M882:P882)</f>
        <v>130.50130501305014</v>
      </c>
      <c r="R882" s="118">
        <v>57</v>
      </c>
    </row>
    <row r="883" spans="1:20" outlineLevel="1" x14ac:dyDescent="0.5">
      <c r="A883" s="131" t="s">
        <v>448</v>
      </c>
      <c r="B883" s="14">
        <v>16</v>
      </c>
      <c r="C883" s="15" t="s">
        <v>7</v>
      </c>
      <c r="D883" s="44" t="str">
        <f>VLOOKUP(Estimate!$C883,Resources!$B$3:$G$336,4,FALSE)</f>
        <v xml:space="preserve">hr   </v>
      </c>
      <c r="E883" s="44" t="str">
        <f>VLOOKUP(Estimate!$C883,Resources!$B$3:$G$336,3,FALSE)</f>
        <v>L</v>
      </c>
      <c r="F883" s="52">
        <v>3</v>
      </c>
      <c r="G883" s="12">
        <f>G877</f>
        <v>33.332999999999998</v>
      </c>
      <c r="H883" s="12">
        <f>H867</f>
        <v>75</v>
      </c>
      <c r="I883" s="12">
        <f>VLOOKUP(C883,Resources!$B$3:$G$336,6,FALSE)</f>
        <v>38</v>
      </c>
      <c r="J883" s="12">
        <f>(H883/(G883/F883))*I883</f>
        <v>256.50256502565031</v>
      </c>
      <c r="K883" s="90">
        <f>L883*F883</f>
        <v>6.7500675006750068</v>
      </c>
      <c r="L883" s="90">
        <f>IF(E883="M"," ",H883/G883)</f>
        <v>2.2500225002250023</v>
      </c>
      <c r="M883" s="16">
        <f>IF($E883="L",$J883,0)</f>
        <v>256.50256502565031</v>
      </c>
      <c r="N883" s="16">
        <f>IF($E883="M",$J883,0)</f>
        <v>0</v>
      </c>
      <c r="O883" s="16">
        <f>IF($E883="P",$J883,0)</f>
        <v>0</v>
      </c>
      <c r="P883" s="16">
        <f>IF($E883="S",$J883,0)</f>
        <v>0</v>
      </c>
      <c r="Q883" s="16">
        <f>SUM(M883:P883)</f>
        <v>256.50256502565031</v>
      </c>
      <c r="R883" s="118">
        <v>57</v>
      </c>
    </row>
    <row r="884" spans="1:20" outlineLevel="1" x14ac:dyDescent="0.5">
      <c r="A884" s="131" t="s">
        <v>448</v>
      </c>
      <c r="B884" s="14">
        <v>17</v>
      </c>
      <c r="C884" s="15" t="s">
        <v>49</v>
      </c>
      <c r="D884" s="44" t="str">
        <f>VLOOKUP(Estimate!$C884,Resources!$B$3:$G$336,4,FALSE)</f>
        <v xml:space="preserve">hr   </v>
      </c>
      <c r="E884" s="44" t="str">
        <f>VLOOKUP(Estimate!$C884,Resources!$B$3:$G$336,3,FALSE)</f>
        <v>P</v>
      </c>
      <c r="F884" s="52">
        <v>1</v>
      </c>
      <c r="G884" s="12">
        <f>G877</f>
        <v>33.332999999999998</v>
      </c>
      <c r="H884" s="12">
        <f>H867</f>
        <v>75</v>
      </c>
      <c r="I884" s="12">
        <f>VLOOKUP(C884,Resources!$B$3:$G$336,6,FALSE)</f>
        <v>95</v>
      </c>
      <c r="J884" s="12">
        <f>(H884/(G884/F884))*I884</f>
        <v>213.7521375213752</v>
      </c>
      <c r="K884" s="90">
        <f>L884*F884</f>
        <v>2.2500225002250023</v>
      </c>
      <c r="L884" s="90">
        <f>IF(E884="M"," ",H884/G884)</f>
        <v>2.2500225002250023</v>
      </c>
      <c r="M884" s="16">
        <f>IF($E884="L",$J884,0)</f>
        <v>0</v>
      </c>
      <c r="N884" s="16">
        <f>IF($E884="M",$J884,0)</f>
        <v>0</v>
      </c>
      <c r="O884" s="16">
        <f>IF($E884="P",$J884,0)</f>
        <v>213.7521375213752</v>
      </c>
      <c r="P884" s="16">
        <f>IF($E884="S",$J884,0)</f>
        <v>0</v>
      </c>
      <c r="Q884" s="16">
        <f>SUM(M884:P884)</f>
        <v>213.7521375213752</v>
      </c>
      <c r="R884" s="118">
        <v>57</v>
      </c>
    </row>
    <row r="885" spans="1:20" outlineLevel="1" x14ac:dyDescent="0.5">
      <c r="A885" s="132" t="s">
        <v>448</v>
      </c>
      <c r="B885" s="1"/>
      <c r="C885" s="2"/>
      <c r="D885" s="1"/>
      <c r="E885" s="45"/>
      <c r="F885" s="53"/>
      <c r="G885" s="11"/>
      <c r="H885" s="11"/>
      <c r="I885" s="11"/>
      <c r="J885" s="11"/>
      <c r="K885" s="91"/>
      <c r="L885" s="91"/>
      <c r="M885" s="13"/>
      <c r="N885" s="13"/>
      <c r="O885" s="13"/>
      <c r="P885" s="13"/>
      <c r="Q885" s="13"/>
      <c r="R885" s="119"/>
    </row>
    <row r="886" spans="1:20" x14ac:dyDescent="0.5">
      <c r="A886" s="130">
        <v>184</v>
      </c>
      <c r="B886" s="7" t="s">
        <v>496</v>
      </c>
      <c r="C886" s="7" t="s">
        <v>497</v>
      </c>
      <c r="D886" s="8" t="s">
        <v>79</v>
      </c>
      <c r="E886" s="43"/>
      <c r="F886" s="51"/>
      <c r="G886" s="9"/>
      <c r="H886" s="129">
        <f>VLOOKUP($A886,'Model Inputs'!$A:$D,4)</f>
        <v>1</v>
      </c>
      <c r="I886" s="9"/>
      <c r="J886" s="9">
        <f>SUBTOTAL(9,J889:J1004)</f>
        <v>75658.325289996894</v>
      </c>
      <c r="K886" s="89"/>
      <c r="L886" s="89"/>
      <c r="M886" s="9">
        <f>SUBTOTAL(9,M889:M1004)</f>
        <v>6617.4757050082617</v>
      </c>
      <c r="N886" s="9">
        <f t="shared" ref="N886:Q886" si="91">SUBTOTAL(9,N889:N1004)</f>
        <v>28505.503756289192</v>
      </c>
      <c r="O886" s="9">
        <f t="shared" si="91"/>
        <v>26665.493437395085</v>
      </c>
      <c r="P886" s="9">
        <f t="shared" si="91"/>
        <v>13869.852391304348</v>
      </c>
      <c r="Q886" s="9">
        <f t="shared" si="91"/>
        <v>75658.325289996894</v>
      </c>
      <c r="R886" s="43"/>
    </row>
    <row r="887" spans="1:20" x14ac:dyDescent="0.5">
      <c r="A887" s="130">
        <v>185</v>
      </c>
      <c r="B887" s="7" t="s">
        <v>518</v>
      </c>
      <c r="C887" s="7" t="s">
        <v>519</v>
      </c>
      <c r="D887" s="8" t="s">
        <v>83</v>
      </c>
      <c r="E887" s="43"/>
      <c r="F887" s="51"/>
      <c r="G887" s="9"/>
      <c r="H887" s="129">
        <f>VLOOKUP($A887,'Model Inputs'!$A:$D,4)</f>
        <v>1800</v>
      </c>
      <c r="I887" s="9"/>
      <c r="J887" s="9">
        <f>SUBTOTAL(9,J889:J890)</f>
        <v>192</v>
      </c>
      <c r="K887" s="89"/>
      <c r="L887" s="89">
        <f>MAX(L889:L890)/workhrs</f>
        <v>0.1111111111111111</v>
      </c>
      <c r="M887" s="9">
        <f>SUBTOTAL(9,M889:M890)</f>
        <v>57</v>
      </c>
      <c r="N887" s="9">
        <f t="shared" ref="N887:Q887" si="92">SUBTOTAL(9,N889:N890)</f>
        <v>0</v>
      </c>
      <c r="O887" s="9">
        <f t="shared" si="92"/>
        <v>135</v>
      </c>
      <c r="P887" s="9">
        <f t="shared" si="92"/>
        <v>0</v>
      </c>
      <c r="Q887" s="9">
        <f t="shared" si="92"/>
        <v>192</v>
      </c>
      <c r="R887" s="43"/>
    </row>
    <row r="888" spans="1:20" outlineLevel="1" x14ac:dyDescent="0.5">
      <c r="A888" s="132" t="s">
        <v>448</v>
      </c>
      <c r="B888" s="1">
        <v>1</v>
      </c>
      <c r="C888" s="2"/>
      <c r="D888" s="1"/>
      <c r="E888" s="45"/>
      <c r="F888" s="53"/>
      <c r="G888" s="11"/>
      <c r="H888" s="11"/>
      <c r="I888" s="11"/>
      <c r="J888" s="11"/>
      <c r="K888" s="91"/>
      <c r="L888" s="91"/>
      <c r="M888" s="13"/>
      <c r="N888" s="13"/>
      <c r="O888" s="13"/>
      <c r="P888" s="13"/>
      <c r="Q888" s="13"/>
      <c r="R888" s="119"/>
    </row>
    <row r="889" spans="1:20" outlineLevel="1" x14ac:dyDescent="0.5">
      <c r="A889" s="131">
        <v>185.1</v>
      </c>
      <c r="B889" s="14">
        <v>2</v>
      </c>
      <c r="C889" s="15" t="s">
        <v>55</v>
      </c>
      <c r="D889" s="44" t="str">
        <f>VLOOKUP(Estimate!$C889,Resources!$B$3:$G$336,4,FALSE)</f>
        <v xml:space="preserve">hr   </v>
      </c>
      <c r="E889" s="44" t="str">
        <f>VLOOKUP(Estimate!$C889,Resources!$B$3:$G$336,3,FALSE)</f>
        <v>P</v>
      </c>
      <c r="F889" s="52">
        <v>1</v>
      </c>
      <c r="G889" s="12">
        <v>1</v>
      </c>
      <c r="H889" s="129">
        <f>VLOOKUP($A889,'Model Inputs'!$A:$D,4)</f>
        <v>1</v>
      </c>
      <c r="I889" s="12">
        <f>VLOOKUP(C889,Resources!$B$3:$G$336,6,FALSE)</f>
        <v>135</v>
      </c>
      <c r="J889" s="12">
        <f>(H889/(G889/F889))*I889</f>
        <v>135</v>
      </c>
      <c r="K889" s="90">
        <f>L889*F889</f>
        <v>1</v>
      </c>
      <c r="L889" s="90">
        <f>IF(E889="M"," ",H889/G889)</f>
        <v>1</v>
      </c>
      <c r="M889" s="16">
        <f>IF($E889="L",$J889,0)</f>
        <v>0</v>
      </c>
      <c r="N889" s="16">
        <f>IF($E889="M",$J889,0)</f>
        <v>0</v>
      </c>
      <c r="O889" s="16">
        <f>IF($E889="P",$J889,0)</f>
        <v>135</v>
      </c>
      <c r="P889" s="16">
        <f>IF($E889="S",$J889,0)</f>
        <v>0</v>
      </c>
      <c r="Q889" s="16">
        <f>SUM(M889:P889)</f>
        <v>135</v>
      </c>
      <c r="R889" s="118">
        <v>22</v>
      </c>
    </row>
    <row r="890" spans="1:20" outlineLevel="1" x14ac:dyDescent="0.5">
      <c r="A890" s="131" t="s">
        <v>448</v>
      </c>
      <c r="B890" s="14">
        <v>3</v>
      </c>
      <c r="C890" s="15" t="s">
        <v>7</v>
      </c>
      <c r="D890" s="44" t="str">
        <f>VLOOKUP(Estimate!$C890,Resources!$B$3:$G$336,4,FALSE)</f>
        <v xml:space="preserve">hr   </v>
      </c>
      <c r="E890" s="44" t="str">
        <f>VLOOKUP(Estimate!$C890,Resources!$B$3:$G$336,3,FALSE)</f>
        <v>L</v>
      </c>
      <c r="F890" s="52">
        <v>3</v>
      </c>
      <c r="G890" s="12">
        <v>1</v>
      </c>
      <c r="H890" s="12">
        <f>H889/2</f>
        <v>0.5</v>
      </c>
      <c r="I890" s="12">
        <f>VLOOKUP(C890,Resources!$B$3:$G$336,6,FALSE)</f>
        <v>38</v>
      </c>
      <c r="J890" s="12">
        <f>(H890/(G890/F890))*I890</f>
        <v>57</v>
      </c>
      <c r="K890" s="90">
        <f>L890*F890</f>
        <v>1.5</v>
      </c>
      <c r="L890" s="90">
        <f>IF(E890="M"," ",H890/G890)</f>
        <v>0.5</v>
      </c>
      <c r="M890" s="16">
        <f>IF($E890="L",$J890,0)</f>
        <v>57</v>
      </c>
      <c r="N890" s="16">
        <f>IF($E890="M",$J890,0)</f>
        <v>0</v>
      </c>
      <c r="O890" s="16">
        <f>IF($E890="P",$J890,0)</f>
        <v>0</v>
      </c>
      <c r="P890" s="16">
        <f>IF($E890="S",$J890,0)</f>
        <v>0</v>
      </c>
      <c r="Q890" s="16">
        <f>SUM(M890:P890)</f>
        <v>57</v>
      </c>
      <c r="R890" s="118">
        <v>22</v>
      </c>
    </row>
    <row r="891" spans="1:20" outlineLevel="1" x14ac:dyDescent="0.5">
      <c r="A891" s="132" t="s">
        <v>448</v>
      </c>
      <c r="B891" s="1"/>
      <c r="C891" s="2"/>
      <c r="D891" s="1"/>
      <c r="E891" s="45"/>
      <c r="F891" s="53"/>
      <c r="G891" s="11"/>
      <c r="H891" s="11"/>
      <c r="I891" s="11"/>
      <c r="J891" s="11"/>
      <c r="K891" s="91"/>
      <c r="L891" s="91"/>
      <c r="M891" s="13"/>
      <c r="N891" s="13"/>
      <c r="O891" s="13"/>
      <c r="P891" s="13"/>
      <c r="Q891" s="13"/>
      <c r="R891" s="119"/>
    </row>
    <row r="892" spans="1:20" x14ac:dyDescent="0.5">
      <c r="A892" s="130">
        <v>186</v>
      </c>
      <c r="B892" s="7" t="s">
        <v>500</v>
      </c>
      <c r="C892" s="7" t="s">
        <v>501</v>
      </c>
      <c r="D892" s="8" t="s">
        <v>72</v>
      </c>
      <c r="E892" s="43"/>
      <c r="F892" s="51"/>
      <c r="G892" s="9"/>
      <c r="H892" s="129">
        <f>VLOOKUP($A892,'Model Inputs'!$A:$D,4)</f>
        <v>180</v>
      </c>
      <c r="I892" s="9"/>
      <c r="J892" s="9">
        <f>SUBTOTAL(9,J893:J895)</f>
        <v>1543.5</v>
      </c>
      <c r="K892" s="89"/>
      <c r="L892" s="89">
        <f>MAX(L893:L895)/workhrs</f>
        <v>0.5</v>
      </c>
      <c r="M892" s="9">
        <f>SUBTOTAL(9,M893:M895)</f>
        <v>171</v>
      </c>
      <c r="N892" s="9">
        <f t="shared" ref="N892:Q892" si="93">SUBTOTAL(9,N893:N895)</f>
        <v>0</v>
      </c>
      <c r="O892" s="9">
        <f t="shared" si="93"/>
        <v>1372.5</v>
      </c>
      <c r="P892" s="9">
        <f t="shared" si="93"/>
        <v>0</v>
      </c>
      <c r="Q892" s="9">
        <f t="shared" si="93"/>
        <v>1543.5</v>
      </c>
      <c r="R892" s="43"/>
    </row>
    <row r="893" spans="1:20" outlineLevel="1" x14ac:dyDescent="0.5">
      <c r="A893" s="131">
        <v>186.1</v>
      </c>
      <c r="B893" s="14">
        <v>1</v>
      </c>
      <c r="C893" s="15" t="s">
        <v>55</v>
      </c>
      <c r="D893" s="44" t="str">
        <f>VLOOKUP(Estimate!$C893,Resources!$B$3:$G$336,4,FALSE)</f>
        <v xml:space="preserve">hr   </v>
      </c>
      <c r="E893" s="44" t="str">
        <f>VLOOKUP(Estimate!$C893,Resources!$B$3:$G$336,3,FALSE)</f>
        <v>P</v>
      </c>
      <c r="F893" s="52">
        <v>1</v>
      </c>
      <c r="G893" s="129">
        <f>VLOOKUP($A893,'Model Inputs'!$A:$D,4)</f>
        <v>40</v>
      </c>
      <c r="H893" s="12">
        <f>H892</f>
        <v>180</v>
      </c>
      <c r="I893" s="12">
        <f>VLOOKUP(C893,Resources!$B$3:$G$336,6,FALSE)</f>
        <v>135</v>
      </c>
      <c r="J893" s="12">
        <f>(H893/(G893/F893))*I893</f>
        <v>607.5</v>
      </c>
      <c r="K893" s="90">
        <f>L893*F893</f>
        <v>4.5</v>
      </c>
      <c r="L893" s="90">
        <f>IF(E893="M"," ",H893/G893)</f>
        <v>4.5</v>
      </c>
      <c r="M893" s="16">
        <f>IF($E893="L",$J893,0)</f>
        <v>0</v>
      </c>
      <c r="N893" s="16">
        <f>IF($E893="M",$J893,0)</f>
        <v>0</v>
      </c>
      <c r="O893" s="16">
        <f>IF($E893="P",$J893,0)</f>
        <v>607.5</v>
      </c>
      <c r="P893" s="16">
        <f>IF($E893="S",$J893,0)</f>
        <v>0</v>
      </c>
      <c r="Q893" s="16">
        <f>SUM(M893:P893)</f>
        <v>607.5</v>
      </c>
      <c r="R893" s="118">
        <v>31</v>
      </c>
    </row>
    <row r="894" spans="1:20" outlineLevel="1" x14ac:dyDescent="0.5">
      <c r="A894" s="131" t="s">
        <v>448</v>
      </c>
      <c r="B894" s="14">
        <v>2</v>
      </c>
      <c r="C894" s="15" t="s">
        <v>66</v>
      </c>
      <c r="D894" s="44" t="str">
        <f>VLOOKUP(Estimate!$C894,Resources!$B$3:$G$336,4,FALSE)</f>
        <v xml:space="preserve">hr   </v>
      </c>
      <c r="E894" s="44" t="str">
        <f>VLOOKUP(Estimate!$C894,Resources!$B$3:$G$336,3,FALSE)</f>
        <v>P</v>
      </c>
      <c r="F894" s="52">
        <v>2</v>
      </c>
      <c r="G894" s="12">
        <f>G893</f>
        <v>40</v>
      </c>
      <c r="H894" s="12">
        <f>H892</f>
        <v>180</v>
      </c>
      <c r="I894" s="12">
        <f>VLOOKUP(C894,Resources!$B$3:$G$336,6,FALSE)</f>
        <v>85</v>
      </c>
      <c r="J894" s="12">
        <f>(H894/(G894/F894))*I894</f>
        <v>765</v>
      </c>
      <c r="K894" s="90">
        <f>L894*F894</f>
        <v>9</v>
      </c>
      <c r="L894" s="90">
        <f>IF(E894="M"," ",H894/G894)</f>
        <v>4.5</v>
      </c>
      <c r="M894" s="16">
        <f>IF($E894="L",$J894,0)</f>
        <v>0</v>
      </c>
      <c r="N894" s="16">
        <f>IF($E894="M",$J894,0)</f>
        <v>0</v>
      </c>
      <c r="O894" s="16">
        <f>IF($E894="P",$J894,0)</f>
        <v>765</v>
      </c>
      <c r="P894" s="16">
        <f>IF($E894="S",$J894,0)</f>
        <v>0</v>
      </c>
      <c r="Q894" s="16">
        <f>SUM(M894:P894)</f>
        <v>765</v>
      </c>
      <c r="R894" s="118">
        <v>31</v>
      </c>
    </row>
    <row r="895" spans="1:20" outlineLevel="1" x14ac:dyDescent="0.5">
      <c r="A895" s="131" t="s">
        <v>448</v>
      </c>
      <c r="B895" s="14">
        <v>3</v>
      </c>
      <c r="C895" s="15" t="s">
        <v>7</v>
      </c>
      <c r="D895" s="44" t="str">
        <f>VLOOKUP(Estimate!$C895,Resources!$B$3:$G$336,4,FALSE)</f>
        <v xml:space="preserve">hr   </v>
      </c>
      <c r="E895" s="44" t="str">
        <f>VLOOKUP(Estimate!$C895,Resources!$B$3:$G$336,3,FALSE)</f>
        <v>L</v>
      </c>
      <c r="F895" s="52">
        <v>1</v>
      </c>
      <c r="G895" s="12">
        <f>G893</f>
        <v>40</v>
      </c>
      <c r="H895" s="12">
        <f>H892</f>
        <v>180</v>
      </c>
      <c r="I895" s="12">
        <f>VLOOKUP(C895,Resources!$B$3:$G$336,6,FALSE)</f>
        <v>38</v>
      </c>
      <c r="J895" s="12">
        <f>(H895/(G895/F895))*I895</f>
        <v>171</v>
      </c>
      <c r="K895" s="90">
        <f>L895*F895</f>
        <v>4.5</v>
      </c>
      <c r="L895" s="90">
        <f>IF(E895="M"," ",H895/G895)</f>
        <v>4.5</v>
      </c>
      <c r="M895" s="16">
        <f>IF($E895="L",$J895,0)</f>
        <v>171</v>
      </c>
      <c r="N895" s="16">
        <f>IF($E895="M",$J895,0)</f>
        <v>0</v>
      </c>
      <c r="O895" s="16">
        <f>IF($E895="P",$J895,0)</f>
        <v>0</v>
      </c>
      <c r="P895" s="16">
        <f>IF($E895="S",$J895,0)</f>
        <v>0</v>
      </c>
      <c r="Q895" s="16">
        <f>SUM(M895:P895)</f>
        <v>171</v>
      </c>
      <c r="R895" s="118">
        <v>31</v>
      </c>
      <c r="T895" s="86"/>
    </row>
    <row r="896" spans="1:20" outlineLevel="1" x14ac:dyDescent="0.5">
      <c r="A896" s="132" t="s">
        <v>448</v>
      </c>
      <c r="B896" s="1"/>
      <c r="C896" s="2"/>
      <c r="D896" s="1"/>
      <c r="E896" s="45"/>
      <c r="F896" s="53"/>
      <c r="G896" s="11"/>
      <c r="H896" s="11"/>
      <c r="I896" s="11"/>
      <c r="J896" s="11"/>
      <c r="K896" s="91"/>
      <c r="L896" s="91"/>
      <c r="M896" s="13"/>
      <c r="N896" s="13"/>
      <c r="O896" s="13"/>
      <c r="P896" s="13"/>
      <c r="Q896" s="13"/>
      <c r="R896" s="119"/>
    </row>
    <row r="897" spans="1:18" x14ac:dyDescent="0.5">
      <c r="A897" s="130">
        <v>187</v>
      </c>
      <c r="B897" s="7" t="s">
        <v>510</v>
      </c>
      <c r="C897" s="7" t="s">
        <v>511</v>
      </c>
      <c r="D897" s="8" t="s">
        <v>72</v>
      </c>
      <c r="E897" s="43"/>
      <c r="F897" s="51"/>
      <c r="G897" s="9"/>
      <c r="H897" s="129">
        <f>VLOOKUP($A897,'Model Inputs'!$A:$D,4)</f>
        <v>1080</v>
      </c>
      <c r="I897" s="9"/>
      <c r="J897" s="9">
        <f>SUBTOTAL(9,J899:J908)</f>
        <v>14584.037389342309</v>
      </c>
      <c r="K897" s="89"/>
      <c r="L897" s="89">
        <f>MAX(L899:L908)/workhrs</f>
        <v>1.3499983125021096</v>
      </c>
      <c r="M897" s="9">
        <f>SUBTOTAL(9,M899:M908)</f>
        <v>1385.0982686271643</v>
      </c>
      <c r="N897" s="9">
        <f t="shared" ref="N897:Q897" si="94">SUBTOTAL(9,N899:N908)</f>
        <v>0</v>
      </c>
      <c r="O897" s="9">
        <f t="shared" si="94"/>
        <v>13198.939120715146</v>
      </c>
      <c r="P897" s="9">
        <f t="shared" si="94"/>
        <v>0</v>
      </c>
      <c r="Q897" s="9">
        <f t="shared" si="94"/>
        <v>14584.037389342309</v>
      </c>
      <c r="R897" s="43"/>
    </row>
    <row r="898" spans="1:18" outlineLevel="1" x14ac:dyDescent="0.5">
      <c r="A898" s="132" t="s">
        <v>448</v>
      </c>
      <c r="B898" s="1">
        <v>1</v>
      </c>
      <c r="C898" s="2" t="s">
        <v>911</v>
      </c>
      <c r="D898" s="1"/>
      <c r="E898" s="45"/>
      <c r="F898" s="53"/>
      <c r="G898" s="11"/>
      <c r="H898" s="11"/>
      <c r="I898" s="11"/>
      <c r="J898" s="11"/>
      <c r="K898" s="91"/>
      <c r="L898" s="91"/>
      <c r="M898" s="13"/>
      <c r="N898" s="13"/>
      <c r="O898" s="13"/>
      <c r="P898" s="13"/>
      <c r="Q898" s="13"/>
      <c r="R898" s="119"/>
    </row>
    <row r="899" spans="1:18" outlineLevel="1" x14ac:dyDescent="0.5">
      <c r="A899" s="131">
        <v>187.1</v>
      </c>
      <c r="B899" s="14">
        <v>2</v>
      </c>
      <c r="C899" s="15" t="s">
        <v>101</v>
      </c>
      <c r="D899" s="44" t="str">
        <f>VLOOKUP(Estimate!$C899,Resources!$B$3:$G$336,4,FALSE)</f>
        <v xml:space="preserve">hr   </v>
      </c>
      <c r="E899" s="44" t="str">
        <f>VLOOKUP(Estimate!$C899,Resources!$B$3:$G$336,3,FALSE)</f>
        <v>P</v>
      </c>
      <c r="F899" s="52">
        <v>1</v>
      </c>
      <c r="G899" s="129">
        <f>VLOOKUP($A899,'Model Inputs'!$A:$D,4)</f>
        <v>133.333</v>
      </c>
      <c r="H899" s="12">
        <f>H897</f>
        <v>1080</v>
      </c>
      <c r="I899" s="12">
        <f>VLOOKUP(C899,Resources!$B$3:$G$336,6,FALSE)</f>
        <v>185</v>
      </c>
      <c r="J899" s="12">
        <f>(H899/(G899/F899))*I899</f>
        <v>1498.5037462593655</v>
      </c>
      <c r="K899" s="90">
        <f>L899*F899</f>
        <v>8.1000202500506244</v>
      </c>
      <c r="L899" s="90">
        <f>IF(E899="M"," ",H899/G899)</f>
        <v>8.1000202500506244</v>
      </c>
      <c r="M899" s="16">
        <f>IF($E899="L",$J899,0)</f>
        <v>0</v>
      </c>
      <c r="N899" s="16">
        <f>IF($E899="M",$J899,0)</f>
        <v>0</v>
      </c>
      <c r="O899" s="16">
        <f>IF($E899="P",$J899,0)</f>
        <v>1498.5037462593655</v>
      </c>
      <c r="P899" s="16">
        <f>IF($E899="S",$J899,0)</f>
        <v>0</v>
      </c>
      <c r="Q899" s="16">
        <f>SUM(M899:P899)</f>
        <v>1498.5037462593655</v>
      </c>
      <c r="R899" s="118">
        <v>52</v>
      </c>
    </row>
    <row r="900" spans="1:18" outlineLevel="1" x14ac:dyDescent="0.5">
      <c r="A900" s="132" t="s">
        <v>448</v>
      </c>
      <c r="B900" s="1">
        <v>3</v>
      </c>
      <c r="C900" s="2" t="s">
        <v>655</v>
      </c>
      <c r="D900" s="1"/>
      <c r="E900" s="45"/>
      <c r="F900" s="53"/>
      <c r="G900" s="11"/>
      <c r="H900" s="11"/>
      <c r="I900" s="11"/>
      <c r="J900" s="11"/>
      <c r="K900" s="91"/>
      <c r="L900" s="91"/>
      <c r="M900" s="13"/>
      <c r="N900" s="13"/>
      <c r="O900" s="13"/>
      <c r="P900" s="13"/>
      <c r="Q900" s="13"/>
      <c r="R900" s="119"/>
    </row>
    <row r="901" spans="1:18" outlineLevel="1" x14ac:dyDescent="0.5">
      <c r="A901" s="131">
        <v>187.2</v>
      </c>
      <c r="B901" s="14">
        <v>4</v>
      </c>
      <c r="C901" s="15" t="s">
        <v>55</v>
      </c>
      <c r="D901" s="44" t="str">
        <f>VLOOKUP(Estimate!$C901,Resources!$B$3:$G$336,4,FALSE)</f>
        <v xml:space="preserve">hr   </v>
      </c>
      <c r="E901" s="44" t="str">
        <f>VLOOKUP(Estimate!$C901,Resources!$B$3:$G$336,3,FALSE)</f>
        <v>P</v>
      </c>
      <c r="F901" s="52">
        <v>1</v>
      </c>
      <c r="G901" s="129">
        <f>VLOOKUP($A901,'Model Inputs'!$A:$D,4)</f>
        <v>88.888999999999996</v>
      </c>
      <c r="H901" s="12">
        <f>H897</f>
        <v>1080</v>
      </c>
      <c r="I901" s="12">
        <f>VLOOKUP(C901,Resources!$B$3:$G$336,6,FALSE)</f>
        <v>135</v>
      </c>
      <c r="J901" s="12">
        <f>(H901/(G901/F901))*I901</f>
        <v>1640.247949690063</v>
      </c>
      <c r="K901" s="90">
        <f>L901*F901</f>
        <v>12.149984812518985</v>
      </c>
      <c r="L901" s="90">
        <f>IF(E901="M"," ",H901/G901)</f>
        <v>12.149984812518985</v>
      </c>
      <c r="M901" s="16">
        <f>IF($E901="L",$J901,0)</f>
        <v>0</v>
      </c>
      <c r="N901" s="16">
        <f>IF($E901="M",$J901,0)</f>
        <v>0</v>
      </c>
      <c r="O901" s="16">
        <f>IF($E901="P",$J901,0)</f>
        <v>1640.247949690063</v>
      </c>
      <c r="P901" s="16">
        <f>IF($E901="S",$J901,0)</f>
        <v>0</v>
      </c>
      <c r="Q901" s="16">
        <f>SUM(M901:P901)</f>
        <v>1640.247949690063</v>
      </c>
      <c r="R901" s="118">
        <v>52</v>
      </c>
    </row>
    <row r="902" spans="1:18" outlineLevel="1" x14ac:dyDescent="0.5">
      <c r="A902" s="131" t="s">
        <v>448</v>
      </c>
      <c r="B902" s="14">
        <v>5</v>
      </c>
      <c r="C902" s="15" t="s">
        <v>102</v>
      </c>
      <c r="D902" s="44" t="str">
        <f>VLOOKUP(Estimate!$C902,Resources!$B$3:$G$336,4,FALSE)</f>
        <v xml:space="preserve">hr   </v>
      </c>
      <c r="E902" s="44" t="str">
        <f>VLOOKUP(Estimate!$C902,Resources!$B$3:$G$336,3,FALSE)</f>
        <v>P</v>
      </c>
      <c r="F902" s="52">
        <v>3</v>
      </c>
      <c r="G902" s="12">
        <f>G901</f>
        <v>88.888999999999996</v>
      </c>
      <c r="H902" s="12">
        <f>H897</f>
        <v>1080</v>
      </c>
      <c r="I902" s="12">
        <f>VLOOKUP(C902,Resources!$B$3:$G$336,6,FALSE)</f>
        <v>145</v>
      </c>
      <c r="J902" s="12">
        <f>(H902/(G902/F902))*I902</f>
        <v>5285.2433934457586</v>
      </c>
      <c r="K902" s="90">
        <f>L902*F902</f>
        <v>36.449954437556954</v>
      </c>
      <c r="L902" s="90">
        <f>IF(E902="M"," ",H902/G902)</f>
        <v>12.149984812518985</v>
      </c>
      <c r="M902" s="16">
        <f>IF($E902="L",$J902,0)</f>
        <v>0</v>
      </c>
      <c r="N902" s="16">
        <f>IF($E902="M",$J902,0)</f>
        <v>0</v>
      </c>
      <c r="O902" s="16">
        <f>IF($E902="P",$J902,0)</f>
        <v>5285.2433934457586</v>
      </c>
      <c r="P902" s="16">
        <f>IF($E902="S",$J902,0)</f>
        <v>0</v>
      </c>
      <c r="Q902" s="16">
        <f>SUM(M902:P902)</f>
        <v>5285.2433934457586</v>
      </c>
      <c r="R902" s="118">
        <v>52</v>
      </c>
    </row>
    <row r="903" spans="1:18" outlineLevel="1" x14ac:dyDescent="0.5">
      <c r="A903" s="132" t="s">
        <v>448</v>
      </c>
      <c r="B903" s="1">
        <v>6</v>
      </c>
      <c r="C903" s="2" t="s">
        <v>656</v>
      </c>
      <c r="D903" s="1"/>
      <c r="E903" s="45"/>
      <c r="F903" s="53"/>
      <c r="G903" s="11"/>
      <c r="H903" s="11"/>
      <c r="I903" s="11"/>
      <c r="J903" s="11"/>
      <c r="K903" s="91"/>
      <c r="L903" s="91"/>
      <c r="M903" s="13"/>
      <c r="N903" s="13"/>
      <c r="O903" s="13"/>
      <c r="P903" s="13"/>
      <c r="Q903" s="13"/>
      <c r="R903" s="119"/>
    </row>
    <row r="904" spans="1:18" outlineLevel="1" x14ac:dyDescent="0.5">
      <c r="A904" s="131" t="s">
        <v>448</v>
      </c>
      <c r="B904" s="14">
        <v>7</v>
      </c>
      <c r="C904" s="15" t="s">
        <v>96</v>
      </c>
      <c r="D904" s="44" t="str">
        <f>VLOOKUP(Estimate!$C904,Resources!$B$3:$G$336,4,FALSE)</f>
        <v xml:space="preserve">hr   </v>
      </c>
      <c r="E904" s="44" t="str">
        <f>VLOOKUP(Estimate!$C904,Resources!$B$3:$G$336,3,FALSE)</f>
        <v>P</v>
      </c>
      <c r="F904" s="52">
        <v>1</v>
      </c>
      <c r="G904" s="12">
        <f>G901</f>
        <v>88.888999999999996</v>
      </c>
      <c r="H904" s="12">
        <f>H897</f>
        <v>1080</v>
      </c>
      <c r="I904" s="12">
        <f>VLOOKUP(C904,Resources!$B$3:$G$336,6,FALSE)</f>
        <v>145</v>
      </c>
      <c r="J904" s="12">
        <f>(H904/(G904/F904))*I904</f>
        <v>1761.7477978152529</v>
      </c>
      <c r="K904" s="90">
        <f>L904*F904</f>
        <v>12.149984812518985</v>
      </c>
      <c r="L904" s="90">
        <f>IF(E904="M"," ",H904/G904)</f>
        <v>12.149984812518985</v>
      </c>
      <c r="M904" s="16">
        <f>IF($E904="L",$J904,0)</f>
        <v>0</v>
      </c>
      <c r="N904" s="16">
        <f>IF($E904="M",$J904,0)</f>
        <v>0</v>
      </c>
      <c r="O904" s="16">
        <f>IF($E904="P",$J904,0)</f>
        <v>1761.7477978152529</v>
      </c>
      <c r="P904" s="16">
        <f>IF($E904="S",$J904,0)</f>
        <v>0</v>
      </c>
      <c r="Q904" s="16">
        <f>SUM(M904:P904)</f>
        <v>1761.7477978152529</v>
      </c>
      <c r="R904" s="118">
        <v>52</v>
      </c>
    </row>
    <row r="905" spans="1:18" outlineLevel="1" x14ac:dyDescent="0.5">
      <c r="A905" s="131" t="s">
        <v>448</v>
      </c>
      <c r="B905" s="14">
        <v>8</v>
      </c>
      <c r="C905" s="15" t="s">
        <v>60</v>
      </c>
      <c r="D905" s="44" t="str">
        <f>VLOOKUP(Estimate!$C905,Resources!$B$3:$G$336,4,FALSE)</f>
        <v xml:space="preserve">hr   </v>
      </c>
      <c r="E905" s="44" t="str">
        <f>VLOOKUP(Estimate!$C905,Resources!$B$3:$G$336,3,FALSE)</f>
        <v>P</v>
      </c>
      <c r="F905" s="52">
        <v>1</v>
      </c>
      <c r="G905" s="12">
        <f>G901</f>
        <v>88.888999999999996</v>
      </c>
      <c r="H905" s="12">
        <f>H897</f>
        <v>1080</v>
      </c>
      <c r="I905" s="12">
        <f>VLOOKUP(C905,Resources!$B$3:$G$336,6,FALSE)</f>
        <v>95</v>
      </c>
      <c r="J905" s="12">
        <f>(H905/(G905/F905))*I905</f>
        <v>1154.2485571893037</v>
      </c>
      <c r="K905" s="90">
        <f>L905*F905</f>
        <v>12.149984812518985</v>
      </c>
      <c r="L905" s="90">
        <f>IF(E905="M"," ",H905/G905)</f>
        <v>12.149984812518985</v>
      </c>
      <c r="M905" s="16">
        <f>IF($E905="L",$J905,0)</f>
        <v>0</v>
      </c>
      <c r="N905" s="16">
        <f>IF($E905="M",$J905,0)</f>
        <v>0</v>
      </c>
      <c r="O905" s="16">
        <f>IF($E905="P",$J905,0)</f>
        <v>1154.2485571893037</v>
      </c>
      <c r="P905" s="16">
        <f>IF($E905="S",$J905,0)</f>
        <v>0</v>
      </c>
      <c r="Q905" s="16">
        <f>SUM(M905:P905)</f>
        <v>1154.2485571893037</v>
      </c>
      <c r="R905" s="118">
        <v>52</v>
      </c>
    </row>
    <row r="906" spans="1:18" outlineLevel="1" x14ac:dyDescent="0.5">
      <c r="A906" s="131" t="s">
        <v>448</v>
      </c>
      <c r="B906" s="14">
        <v>9</v>
      </c>
      <c r="C906" s="15" t="s">
        <v>830</v>
      </c>
      <c r="D906" s="44" t="str">
        <f>VLOOKUP(Estimate!$C906,Resources!$B$3:$G$336,4,FALSE)</f>
        <v xml:space="preserve">hr   </v>
      </c>
      <c r="E906" s="44" t="str">
        <f>VLOOKUP(Estimate!$C906,Resources!$B$3:$G$336,3,FALSE)</f>
        <v>P</v>
      </c>
      <c r="F906" s="52">
        <v>1</v>
      </c>
      <c r="G906" s="12">
        <f>G901</f>
        <v>88.888999999999996</v>
      </c>
      <c r="H906" s="12">
        <f>H897</f>
        <v>1080</v>
      </c>
      <c r="I906" s="12">
        <f>VLOOKUP(C906,Resources!$B$3:$G$336,6,FALSE)</f>
        <v>58</v>
      </c>
      <c r="J906" s="12">
        <f>(H906/(G906/F906))*I906</f>
        <v>704.6991191261011</v>
      </c>
      <c r="K906" s="90">
        <f>L906*F906</f>
        <v>12.149984812518985</v>
      </c>
      <c r="L906" s="90">
        <f>IF(E906="M"," ",H906/G906)</f>
        <v>12.149984812518985</v>
      </c>
      <c r="M906" s="16">
        <f>IF($E906="L",$J906,0)</f>
        <v>0</v>
      </c>
      <c r="N906" s="16">
        <f>IF($E906="M",$J906,0)</f>
        <v>0</v>
      </c>
      <c r="O906" s="16">
        <f>IF($E906="P",$J906,0)</f>
        <v>704.6991191261011</v>
      </c>
      <c r="P906" s="16">
        <f>IF($E906="S",$J906,0)</f>
        <v>0</v>
      </c>
      <c r="Q906" s="16">
        <f>SUM(M906:P906)</f>
        <v>704.6991191261011</v>
      </c>
      <c r="R906" s="118">
        <v>52</v>
      </c>
    </row>
    <row r="907" spans="1:18" outlineLevel="1" x14ac:dyDescent="0.5">
      <c r="A907" s="131" t="s">
        <v>448</v>
      </c>
      <c r="B907" s="14">
        <v>10</v>
      </c>
      <c r="C907" s="15" t="s">
        <v>7</v>
      </c>
      <c r="D907" s="44" t="str">
        <f>VLOOKUP(Estimate!$C907,Resources!$B$3:$G$336,4,FALSE)</f>
        <v xml:space="preserve">hr   </v>
      </c>
      <c r="E907" s="44" t="str">
        <f>VLOOKUP(Estimate!$C907,Resources!$B$3:$G$336,3,FALSE)</f>
        <v>L</v>
      </c>
      <c r="F907" s="52">
        <v>3</v>
      </c>
      <c r="G907" s="12">
        <f>G901</f>
        <v>88.888999999999996</v>
      </c>
      <c r="H907" s="12">
        <f>H897</f>
        <v>1080</v>
      </c>
      <c r="I907" s="12">
        <f>VLOOKUP(C907,Resources!$B$3:$G$336,6,FALSE)</f>
        <v>38</v>
      </c>
      <c r="J907" s="12">
        <f>(H907/(G907/F907))*I907</f>
        <v>1385.0982686271643</v>
      </c>
      <c r="K907" s="90">
        <f>L907*F907</f>
        <v>36.449954437556954</v>
      </c>
      <c r="L907" s="90">
        <f>IF(E907="M"," ",H907/G907)</f>
        <v>12.149984812518985</v>
      </c>
      <c r="M907" s="16">
        <f>IF($E907="L",$J907,0)</f>
        <v>1385.0982686271643</v>
      </c>
      <c r="N907" s="16">
        <f>IF($E907="M",$J907,0)</f>
        <v>0</v>
      </c>
      <c r="O907" s="16">
        <f>IF($E907="P",$J907,0)</f>
        <v>0</v>
      </c>
      <c r="P907" s="16">
        <f>IF($E907="S",$J907,0)</f>
        <v>0</v>
      </c>
      <c r="Q907" s="16">
        <f>SUM(M907:P907)</f>
        <v>1385.0982686271643</v>
      </c>
      <c r="R907" s="118">
        <v>52</v>
      </c>
    </row>
    <row r="908" spans="1:18" outlineLevel="1" x14ac:dyDescent="0.5">
      <c r="A908" s="131" t="s">
        <v>448</v>
      </c>
      <c r="B908" s="14">
        <v>11</v>
      </c>
      <c r="C908" s="15" t="s">
        <v>49</v>
      </c>
      <c r="D908" s="44" t="str">
        <f>VLOOKUP(Estimate!$C908,Resources!$B$3:$G$336,4,FALSE)</f>
        <v xml:space="preserve">hr   </v>
      </c>
      <c r="E908" s="44" t="str">
        <f>VLOOKUP(Estimate!$C908,Resources!$B$3:$G$336,3,FALSE)</f>
        <v>P</v>
      </c>
      <c r="F908" s="52">
        <v>1</v>
      </c>
      <c r="G908" s="12">
        <f>G901</f>
        <v>88.888999999999996</v>
      </c>
      <c r="H908" s="12">
        <f>H897</f>
        <v>1080</v>
      </c>
      <c r="I908" s="12">
        <f>VLOOKUP(C908,Resources!$B$3:$G$336,6,FALSE)</f>
        <v>95</v>
      </c>
      <c r="J908" s="12">
        <f>(H908/(G908/F908))*I908</f>
        <v>1154.2485571893037</v>
      </c>
      <c r="K908" s="90">
        <f>L908*F908</f>
        <v>12.149984812518985</v>
      </c>
      <c r="L908" s="90">
        <f>IF(E908="M"," ",H908/G908)</f>
        <v>12.149984812518985</v>
      </c>
      <c r="M908" s="16">
        <f>IF($E908="L",$J908,0)</f>
        <v>0</v>
      </c>
      <c r="N908" s="16">
        <f>IF($E908="M",$J908,0)</f>
        <v>0</v>
      </c>
      <c r="O908" s="16">
        <f>IF($E908="P",$J908,0)</f>
        <v>1154.2485571893037</v>
      </c>
      <c r="P908" s="16">
        <f>IF($E908="S",$J908,0)</f>
        <v>0</v>
      </c>
      <c r="Q908" s="16">
        <f>SUM(M908:P908)</f>
        <v>1154.2485571893037</v>
      </c>
      <c r="R908" s="118">
        <v>52</v>
      </c>
    </row>
    <row r="909" spans="1:18" outlineLevel="1" x14ac:dyDescent="0.5">
      <c r="A909" s="132" t="s">
        <v>448</v>
      </c>
      <c r="B909" s="1"/>
      <c r="C909" s="2"/>
      <c r="D909" s="1"/>
      <c r="E909" s="45"/>
      <c r="F909" s="53"/>
      <c r="G909" s="11"/>
      <c r="H909" s="11"/>
      <c r="I909" s="11"/>
      <c r="J909" s="11"/>
      <c r="K909" s="91"/>
      <c r="L909" s="91"/>
      <c r="M909" s="13"/>
      <c r="N909" s="13"/>
      <c r="O909" s="13"/>
      <c r="P909" s="13"/>
      <c r="Q909" s="13"/>
      <c r="R909" s="119"/>
    </row>
    <row r="910" spans="1:18" x14ac:dyDescent="0.5">
      <c r="A910" s="130">
        <v>188</v>
      </c>
      <c r="B910" s="7" t="s">
        <v>506</v>
      </c>
      <c r="C910" s="7" t="s">
        <v>507</v>
      </c>
      <c r="D910" s="8" t="s">
        <v>83</v>
      </c>
      <c r="E910" s="43"/>
      <c r="F910" s="51"/>
      <c r="G910" s="9"/>
      <c r="H910" s="129">
        <f>VLOOKUP($A910,'Model Inputs'!$A:$D,4)</f>
        <v>1800</v>
      </c>
      <c r="I910" s="9"/>
      <c r="J910" s="9">
        <f>SUBTOTAL(9,J911:J914)</f>
        <v>3667.4285714285716</v>
      </c>
      <c r="K910" s="89"/>
      <c r="L910" s="89">
        <f>MAX(L911:L914)/workhrs</f>
        <v>1.142857142857143</v>
      </c>
      <c r="M910" s="9">
        <f>SUBTOTAL(9,M911:M914)</f>
        <v>781.71428571428578</v>
      </c>
      <c r="N910" s="9">
        <f t="shared" ref="N910:Q910" si="95">SUBTOTAL(9,N911:N914)</f>
        <v>0</v>
      </c>
      <c r="O910" s="9">
        <f t="shared" si="95"/>
        <v>2885.7142857142858</v>
      </c>
      <c r="P910" s="9">
        <f t="shared" si="95"/>
        <v>0</v>
      </c>
      <c r="Q910" s="9">
        <f t="shared" si="95"/>
        <v>3667.4285714285716</v>
      </c>
      <c r="R910" s="43"/>
    </row>
    <row r="911" spans="1:18" outlineLevel="1" x14ac:dyDescent="0.5">
      <c r="A911" s="131">
        <v>188.1</v>
      </c>
      <c r="B911" s="14">
        <v>1</v>
      </c>
      <c r="C911" s="15" t="s">
        <v>96</v>
      </c>
      <c r="D911" s="44" t="str">
        <f>VLOOKUP(Estimate!$C911,Resources!$B$3:$G$336,4,FALSE)</f>
        <v xml:space="preserve">hr   </v>
      </c>
      <c r="E911" s="44" t="str">
        <f>VLOOKUP(Estimate!$C911,Resources!$B$3:$G$336,3,FALSE)</f>
        <v>P</v>
      </c>
      <c r="F911" s="52">
        <v>1</v>
      </c>
      <c r="G911" s="129">
        <f>VLOOKUP($A911,'Model Inputs'!$A:$D,4)</f>
        <v>175</v>
      </c>
      <c r="H911" s="12">
        <f>H910</f>
        <v>1800</v>
      </c>
      <c r="I911" s="12">
        <f>VLOOKUP(C911,Resources!$B$3:$G$336,6,FALSE)</f>
        <v>145</v>
      </c>
      <c r="J911" s="12">
        <f>(H911/(G911/F911))*I911</f>
        <v>1491.4285714285716</v>
      </c>
      <c r="K911" s="90">
        <f>L911*F911</f>
        <v>10.285714285714286</v>
      </c>
      <c r="L911" s="90">
        <f>IF(E911="M"," ",H911/G911)</f>
        <v>10.285714285714286</v>
      </c>
      <c r="M911" s="16">
        <f>IF($E911="L",$J911,0)</f>
        <v>0</v>
      </c>
      <c r="N911" s="16">
        <f>IF($E911="M",$J911,0)</f>
        <v>0</v>
      </c>
      <c r="O911" s="16">
        <f>IF($E911="P",$J911,0)</f>
        <v>1491.4285714285716</v>
      </c>
      <c r="P911" s="16">
        <f>IF($E911="S",$J911,0)</f>
        <v>0</v>
      </c>
      <c r="Q911" s="16">
        <f>SUM(M911:P911)</f>
        <v>1491.4285714285716</v>
      </c>
      <c r="R911" s="118">
        <v>61</v>
      </c>
    </row>
    <row r="912" spans="1:18" outlineLevel="1" x14ac:dyDescent="0.5">
      <c r="A912" s="131" t="s">
        <v>448</v>
      </c>
      <c r="B912" s="14">
        <v>2</v>
      </c>
      <c r="C912" s="15" t="s">
        <v>110</v>
      </c>
      <c r="D912" s="44" t="str">
        <f>VLOOKUP(Estimate!$C912,Resources!$B$3:$G$336,4,FALSE)</f>
        <v xml:space="preserve">day  </v>
      </c>
      <c r="E912" s="44" t="str">
        <f>VLOOKUP(Estimate!$C912,Resources!$B$3:$G$336,3,FALSE)</f>
        <v>P</v>
      </c>
      <c r="F912" s="52">
        <v>1</v>
      </c>
      <c r="G912" s="12">
        <f>G911*9</f>
        <v>1575</v>
      </c>
      <c r="H912" s="12">
        <f>H911</f>
        <v>1800</v>
      </c>
      <c r="I912" s="12">
        <f>VLOOKUP(C912,Resources!$B$3:$G$336,6,FALSE)</f>
        <v>365</v>
      </c>
      <c r="J912" s="12">
        <f>(H912/(G912/F912))*I912</f>
        <v>417.14285714285711</v>
      </c>
      <c r="K912" s="90">
        <f>L912*F912</f>
        <v>1.1428571428571428</v>
      </c>
      <c r="L912" s="90">
        <f>IF(E912="M"," ",H912/G912)</f>
        <v>1.1428571428571428</v>
      </c>
      <c r="M912" s="16">
        <f>IF($E912="L",$J912,0)</f>
        <v>0</v>
      </c>
      <c r="N912" s="16">
        <f>IF($E912="M",$J912,0)</f>
        <v>0</v>
      </c>
      <c r="O912" s="16">
        <f>IF($E912="P",$J912,0)</f>
        <v>417.14285714285711</v>
      </c>
      <c r="P912" s="16">
        <f>IF($E912="S",$J912,0)</f>
        <v>0</v>
      </c>
      <c r="Q912" s="16">
        <f>SUM(M912:P912)</f>
        <v>417.14285714285711</v>
      </c>
      <c r="R912" s="118">
        <v>61</v>
      </c>
    </row>
    <row r="913" spans="1:18" outlineLevel="1" x14ac:dyDescent="0.5">
      <c r="A913" s="131" t="s">
        <v>448</v>
      </c>
      <c r="B913" s="14">
        <v>3</v>
      </c>
      <c r="C913" s="15" t="s">
        <v>60</v>
      </c>
      <c r="D913" s="44" t="str">
        <f>VLOOKUP(Estimate!$C913,Resources!$B$3:$G$336,4,FALSE)</f>
        <v xml:space="preserve">hr   </v>
      </c>
      <c r="E913" s="44" t="str">
        <f>VLOOKUP(Estimate!$C913,Resources!$B$3:$G$336,3,FALSE)</f>
        <v>P</v>
      </c>
      <c r="F913" s="52">
        <v>1</v>
      </c>
      <c r="G913" s="12">
        <f>G911</f>
        <v>175</v>
      </c>
      <c r="H913" s="12">
        <f>H912</f>
        <v>1800</v>
      </c>
      <c r="I913" s="12">
        <f>VLOOKUP(C913,Resources!$B$3:$G$336,6,FALSE)</f>
        <v>95</v>
      </c>
      <c r="J913" s="12">
        <f>(H913/(G913/F913))*I913</f>
        <v>977.14285714285722</v>
      </c>
      <c r="K913" s="90">
        <f>L913*F913</f>
        <v>10.285714285714286</v>
      </c>
      <c r="L913" s="90">
        <f>IF(E913="M"," ",H913/G913)</f>
        <v>10.285714285714286</v>
      </c>
      <c r="M913" s="16">
        <f>IF($E913="L",$J913,0)</f>
        <v>0</v>
      </c>
      <c r="N913" s="16">
        <f>IF($E913="M",$J913,0)</f>
        <v>0</v>
      </c>
      <c r="O913" s="16">
        <f>IF($E913="P",$J913,0)</f>
        <v>977.14285714285722</v>
      </c>
      <c r="P913" s="16">
        <f>IF($E913="S",$J913,0)</f>
        <v>0</v>
      </c>
      <c r="Q913" s="16">
        <f>SUM(M913:P913)</f>
        <v>977.14285714285722</v>
      </c>
      <c r="R913" s="118">
        <v>61</v>
      </c>
    </row>
    <row r="914" spans="1:18" outlineLevel="1" x14ac:dyDescent="0.5">
      <c r="A914" s="131" t="s">
        <v>448</v>
      </c>
      <c r="B914" s="14">
        <v>4</v>
      </c>
      <c r="C914" s="15" t="s">
        <v>7</v>
      </c>
      <c r="D914" s="44" t="str">
        <f>VLOOKUP(Estimate!$C914,Resources!$B$3:$G$336,4,FALSE)</f>
        <v xml:space="preserve">hr   </v>
      </c>
      <c r="E914" s="44" t="str">
        <f>VLOOKUP(Estimate!$C914,Resources!$B$3:$G$336,3,FALSE)</f>
        <v>L</v>
      </c>
      <c r="F914" s="52">
        <v>2</v>
      </c>
      <c r="G914" s="12">
        <f>G911</f>
        <v>175</v>
      </c>
      <c r="H914" s="12">
        <f>H913</f>
        <v>1800</v>
      </c>
      <c r="I914" s="12">
        <f>VLOOKUP(C914,Resources!$B$3:$G$336,6,FALSE)</f>
        <v>38</v>
      </c>
      <c r="J914" s="12">
        <f>(H914/(G914/F914))*I914</f>
        <v>781.71428571428578</v>
      </c>
      <c r="K914" s="90">
        <f>L914*F914</f>
        <v>20.571428571428573</v>
      </c>
      <c r="L914" s="90">
        <f>IF(E914="M"," ",H914/G914)</f>
        <v>10.285714285714286</v>
      </c>
      <c r="M914" s="16">
        <f>IF($E914="L",$J914,0)</f>
        <v>781.71428571428578</v>
      </c>
      <c r="N914" s="16">
        <f>IF($E914="M",$J914,0)</f>
        <v>0</v>
      </c>
      <c r="O914" s="16">
        <f>IF($E914="P",$J914,0)</f>
        <v>0</v>
      </c>
      <c r="P914" s="16">
        <f>IF($E914="S",$J914,0)</f>
        <v>0</v>
      </c>
      <c r="Q914" s="16">
        <f>SUM(M914:P914)</f>
        <v>781.71428571428578</v>
      </c>
      <c r="R914" s="118">
        <v>61</v>
      </c>
    </row>
    <row r="915" spans="1:18" outlineLevel="1" x14ac:dyDescent="0.5">
      <c r="A915" s="132" t="s">
        <v>448</v>
      </c>
      <c r="B915" s="1"/>
      <c r="C915" s="2"/>
      <c r="D915" s="1"/>
      <c r="E915" s="45"/>
      <c r="F915" s="53"/>
      <c r="G915" s="11"/>
      <c r="H915" s="11"/>
      <c r="I915" s="11"/>
      <c r="J915" s="11"/>
      <c r="K915" s="91"/>
      <c r="L915" s="91"/>
      <c r="M915" s="13"/>
      <c r="N915" s="13"/>
      <c r="O915" s="13"/>
      <c r="P915" s="13"/>
      <c r="Q915" s="13"/>
      <c r="R915" s="119"/>
    </row>
    <row r="916" spans="1:18" x14ac:dyDescent="0.5">
      <c r="A916" s="130">
        <v>189</v>
      </c>
      <c r="B916" s="7" t="s">
        <v>514</v>
      </c>
      <c r="C916" s="7" t="s">
        <v>515</v>
      </c>
      <c r="D916" s="8" t="s">
        <v>72</v>
      </c>
      <c r="E916" s="43"/>
      <c r="F916" s="51"/>
      <c r="G916" s="9"/>
      <c r="H916" s="129">
        <f>VLOOKUP($A916,'Model Inputs'!$A:$D,4)</f>
        <v>225</v>
      </c>
      <c r="I916" s="9"/>
      <c r="J916" s="9">
        <f>SUBTOTAL(9,J917:J921)</f>
        <v>14156.140550669856</v>
      </c>
      <c r="K916" s="89"/>
      <c r="L916" s="89">
        <f>MAX(L917:L921)/workhrs</f>
        <v>0.75535498470004359</v>
      </c>
      <c r="M916" s="9">
        <f>SUBTOTAL(9,M917:M921)</f>
        <v>774.99421430224481</v>
      </c>
      <c r="N916" s="9">
        <f t="shared" ref="N916:Q916" si="96">SUBTOTAL(9,N917:N921)</f>
        <v>11473.875</v>
      </c>
      <c r="O916" s="9">
        <f t="shared" si="96"/>
        <v>1907.2713363676103</v>
      </c>
      <c r="P916" s="9">
        <f t="shared" si="96"/>
        <v>0</v>
      </c>
      <c r="Q916" s="9">
        <f t="shared" si="96"/>
        <v>14156.140550669856</v>
      </c>
      <c r="R916" s="43"/>
    </row>
    <row r="917" spans="1:18" outlineLevel="1" x14ac:dyDescent="0.5">
      <c r="A917" s="131" t="s">
        <v>448</v>
      </c>
      <c r="B917" s="14">
        <v>1</v>
      </c>
      <c r="C917" s="15" t="s">
        <v>721</v>
      </c>
      <c r="D917" s="44" t="str">
        <f>VLOOKUP(Estimate!$C917,Resources!$B$3:$G$336,4,FALSE)</f>
        <v>tonne</v>
      </c>
      <c r="E917" s="44" t="str">
        <f>VLOOKUP(Estimate!$C917,Resources!$B$3:$G$336,3,FALSE)</f>
        <v>M</v>
      </c>
      <c r="F917" s="52">
        <v>1</v>
      </c>
      <c r="G917" s="12">
        <v>1</v>
      </c>
      <c r="H917" s="12">
        <f>H916*2.35</f>
        <v>528.75</v>
      </c>
      <c r="I917" s="12">
        <f>VLOOKUP(C917,Resources!$B$3:$G$336,6,FALSE)</f>
        <v>21.7</v>
      </c>
      <c r="J917" s="12">
        <f>(H917/(G917/F917))*I917</f>
        <v>11473.875</v>
      </c>
      <c r="K917" s="90"/>
      <c r="L917" s="90" t="str">
        <f>IF(E917="M"," ",H917/G917)</f>
        <v xml:space="preserve"> </v>
      </c>
      <c r="M917" s="16">
        <f>IF($E917="L",$J917,0)</f>
        <v>0</v>
      </c>
      <c r="N917" s="16">
        <f>IF($E917="M",$J917,0)</f>
        <v>11473.875</v>
      </c>
      <c r="O917" s="16">
        <f>IF($E917="P",$J917,0)</f>
        <v>0</v>
      </c>
      <c r="P917" s="16">
        <f>IF($E917="S",$J917,0)</f>
        <v>0</v>
      </c>
      <c r="Q917" s="16">
        <f t="shared" ref="Q917:Q921" si="97">SUM(M917:P917)</f>
        <v>11473.875</v>
      </c>
      <c r="R917" s="118" t="s">
        <v>948</v>
      </c>
    </row>
    <row r="918" spans="1:18" outlineLevel="1" x14ac:dyDescent="0.5">
      <c r="A918" s="131">
        <v>189.1</v>
      </c>
      <c r="B918" s="14">
        <v>2</v>
      </c>
      <c r="C918" s="15" t="s">
        <v>96</v>
      </c>
      <c r="D918" s="44" t="str">
        <f>VLOOKUP(Estimate!$C918,Resources!$B$3:$G$336,4,FALSE)</f>
        <v xml:space="preserve">hr   </v>
      </c>
      <c r="E918" s="44" t="str">
        <f>VLOOKUP(Estimate!$C918,Resources!$B$3:$G$336,3,FALSE)</f>
        <v>P</v>
      </c>
      <c r="F918" s="52">
        <v>1</v>
      </c>
      <c r="G918" s="129">
        <f>VLOOKUP($A918,'Model Inputs'!$A:$D,4)</f>
        <v>77.778000000000006</v>
      </c>
      <c r="H918" s="12">
        <f>H917</f>
        <v>528.75</v>
      </c>
      <c r="I918" s="12">
        <f>VLOOKUP(C918,Resources!$B$3:$G$336,6,FALSE)</f>
        <v>145</v>
      </c>
      <c r="J918" s="12">
        <f>(H918/(G918/F918))*I918</f>
        <v>985.73825503355692</v>
      </c>
      <c r="K918" s="90">
        <f>L918*F918</f>
        <v>6.7981948623003925</v>
      </c>
      <c r="L918" s="90">
        <f>IF(E918="M"," ",H918/G918)</f>
        <v>6.7981948623003925</v>
      </c>
      <c r="M918" s="16">
        <f>IF($E918="L",$J918,0)</f>
        <v>0</v>
      </c>
      <c r="N918" s="16">
        <f>IF($E918="M",$J918,0)</f>
        <v>0</v>
      </c>
      <c r="O918" s="16">
        <f>IF($E918="P",$J918,0)</f>
        <v>985.73825503355692</v>
      </c>
      <c r="P918" s="16">
        <f>IF($E918="S",$J918,0)</f>
        <v>0</v>
      </c>
      <c r="Q918" s="16">
        <f t="shared" si="97"/>
        <v>985.73825503355692</v>
      </c>
      <c r="R918" s="118">
        <v>62</v>
      </c>
    </row>
    <row r="919" spans="1:18" outlineLevel="1" x14ac:dyDescent="0.5">
      <c r="A919" s="131" t="s">
        <v>448</v>
      </c>
      <c r="B919" s="14">
        <v>3</v>
      </c>
      <c r="C919" s="15" t="s">
        <v>60</v>
      </c>
      <c r="D919" s="44" t="str">
        <f>VLOOKUP(Estimate!$C919,Resources!$B$3:$G$336,4,FALSE)</f>
        <v xml:space="preserve">hr   </v>
      </c>
      <c r="E919" s="44" t="str">
        <f>VLOOKUP(Estimate!$C919,Resources!$B$3:$G$336,3,FALSE)</f>
        <v>P</v>
      </c>
      <c r="F919" s="52">
        <v>1</v>
      </c>
      <c r="G919" s="12">
        <f>G918</f>
        <v>77.778000000000006</v>
      </c>
      <c r="H919" s="12">
        <f>H918</f>
        <v>528.75</v>
      </c>
      <c r="I919" s="12">
        <f>VLOOKUP(C919,Resources!$B$3:$G$336,6,FALSE)</f>
        <v>95</v>
      </c>
      <c r="J919" s="12">
        <f>(H919/(G919/F919))*I919</f>
        <v>645.82851191853729</v>
      </c>
      <c r="K919" s="90">
        <f>L919*F919</f>
        <v>6.7981948623003925</v>
      </c>
      <c r="L919" s="90">
        <f>IF(E919="M"," ",H919/G919)</f>
        <v>6.7981948623003925</v>
      </c>
      <c r="M919" s="16">
        <f>IF($E919="L",$J919,0)</f>
        <v>0</v>
      </c>
      <c r="N919" s="16">
        <f>IF($E919="M",$J919,0)</f>
        <v>0</v>
      </c>
      <c r="O919" s="16">
        <f>IF($E919="P",$J919,0)</f>
        <v>645.82851191853729</v>
      </c>
      <c r="P919" s="16">
        <f>IF($E919="S",$J919,0)</f>
        <v>0</v>
      </c>
      <c r="Q919" s="16">
        <f t="shared" si="97"/>
        <v>645.82851191853729</v>
      </c>
      <c r="R919" s="118">
        <v>62</v>
      </c>
    </row>
    <row r="920" spans="1:18" outlineLevel="1" x14ac:dyDescent="0.5">
      <c r="A920" s="131" t="s">
        <v>448</v>
      </c>
      <c r="B920" s="14">
        <v>4</v>
      </c>
      <c r="C920" s="15" t="s">
        <v>110</v>
      </c>
      <c r="D920" s="44" t="str">
        <f>VLOOKUP(Estimate!$C920,Resources!$B$3:$G$336,4,FALSE)</f>
        <v xml:space="preserve">day  </v>
      </c>
      <c r="E920" s="44" t="str">
        <f>VLOOKUP(Estimate!$C920,Resources!$B$3:$G$336,3,FALSE)</f>
        <v>P</v>
      </c>
      <c r="F920" s="52">
        <v>1</v>
      </c>
      <c r="G920" s="12">
        <f>G918*9</f>
        <v>700.00200000000007</v>
      </c>
      <c r="H920" s="12">
        <f>H919</f>
        <v>528.75</v>
      </c>
      <c r="I920" s="12">
        <f>VLOOKUP(C920,Resources!$B$3:$G$336,6,FALSE)</f>
        <v>365</v>
      </c>
      <c r="J920" s="12">
        <f>(H920/(G920/F920))*I920</f>
        <v>275.70456941551595</v>
      </c>
      <c r="K920" s="90">
        <f>L920*F920</f>
        <v>0.7553549847000437</v>
      </c>
      <c r="L920" s="90">
        <f>IF(E920="M"," ",H920/G920)</f>
        <v>0.7553549847000437</v>
      </c>
      <c r="M920" s="16">
        <f>IF($E920="L",$J920,0)</f>
        <v>0</v>
      </c>
      <c r="N920" s="16">
        <f>IF($E920="M",$J920,0)</f>
        <v>0</v>
      </c>
      <c r="O920" s="16">
        <f>IF($E920="P",$J920,0)</f>
        <v>275.70456941551595</v>
      </c>
      <c r="P920" s="16">
        <f>IF($E920="S",$J920,0)</f>
        <v>0</v>
      </c>
      <c r="Q920" s="16">
        <f t="shared" si="97"/>
        <v>275.70456941551595</v>
      </c>
      <c r="R920" s="118">
        <v>62</v>
      </c>
    </row>
    <row r="921" spans="1:18" outlineLevel="1" x14ac:dyDescent="0.5">
      <c r="A921" s="131" t="s">
        <v>448</v>
      </c>
      <c r="B921" s="14">
        <v>5</v>
      </c>
      <c r="C921" s="15" t="s">
        <v>7</v>
      </c>
      <c r="D921" s="44" t="str">
        <f>VLOOKUP(Estimate!$C921,Resources!$B$3:$G$336,4,FALSE)</f>
        <v xml:space="preserve">hr   </v>
      </c>
      <c r="E921" s="44" t="str">
        <f>VLOOKUP(Estimate!$C921,Resources!$B$3:$G$336,3,FALSE)</f>
        <v>L</v>
      </c>
      <c r="F921" s="52">
        <v>3</v>
      </c>
      <c r="G921" s="12">
        <f>G918</f>
        <v>77.778000000000006</v>
      </c>
      <c r="H921" s="12">
        <f>H920</f>
        <v>528.75</v>
      </c>
      <c r="I921" s="12">
        <f>VLOOKUP(C921,Resources!$B$3:$G$336,6,FALSE)</f>
        <v>38</v>
      </c>
      <c r="J921" s="12">
        <f>(H921/(G921/F921))*I921</f>
        <v>774.99421430224481</v>
      </c>
      <c r="K921" s="90">
        <f>L921*F921</f>
        <v>20.394584586901178</v>
      </c>
      <c r="L921" s="90">
        <f>IF(E921="M"," ",H921/G921)</f>
        <v>6.7981948623003925</v>
      </c>
      <c r="M921" s="16">
        <f>IF($E921="L",$J921,0)</f>
        <v>774.99421430224481</v>
      </c>
      <c r="N921" s="16">
        <f>IF($E921="M",$J921,0)</f>
        <v>0</v>
      </c>
      <c r="O921" s="16">
        <f>IF($E921="P",$J921,0)</f>
        <v>0</v>
      </c>
      <c r="P921" s="16">
        <f>IF($E921="S",$J921,0)</f>
        <v>0</v>
      </c>
      <c r="Q921" s="16">
        <f t="shared" si="97"/>
        <v>774.99421430224481</v>
      </c>
      <c r="R921" s="118">
        <v>62</v>
      </c>
    </row>
    <row r="922" spans="1:18" outlineLevel="1" x14ac:dyDescent="0.5">
      <c r="A922" s="132" t="s">
        <v>448</v>
      </c>
      <c r="B922" s="1"/>
      <c r="C922" s="2"/>
      <c r="D922" s="1"/>
      <c r="E922" s="45"/>
      <c r="F922" s="53"/>
      <c r="G922" s="11"/>
      <c r="H922" s="11"/>
      <c r="I922" s="11"/>
      <c r="J922" s="11"/>
      <c r="K922" s="91"/>
      <c r="L922" s="91"/>
      <c r="M922" s="13"/>
      <c r="N922" s="13"/>
      <c r="O922" s="13"/>
      <c r="P922" s="13"/>
      <c r="Q922" s="13"/>
      <c r="R922" s="119"/>
    </row>
    <row r="923" spans="1:18" x14ac:dyDescent="0.5">
      <c r="A923" s="130">
        <v>190</v>
      </c>
      <c r="B923" s="7" t="s">
        <v>512</v>
      </c>
      <c r="C923" s="7" t="s">
        <v>513</v>
      </c>
      <c r="D923" s="8" t="s">
        <v>451</v>
      </c>
      <c r="E923" s="43"/>
      <c r="F923" s="51"/>
      <c r="G923" s="9"/>
      <c r="H923" s="129">
        <f>VLOOKUP($A923,'Model Inputs'!$A:$D,4)</f>
        <v>180</v>
      </c>
      <c r="I923" s="9"/>
      <c r="J923" s="9">
        <f>SUBTOTAL(9,J924:J928)</f>
        <v>11007.662440535883</v>
      </c>
      <c r="K923" s="89"/>
      <c r="L923" s="89">
        <f>MAX(L924:L928)/workhrs</f>
        <v>0.60428398776003489</v>
      </c>
      <c r="M923" s="9">
        <f>SUBTOTAL(9,M924:M928)</f>
        <v>619.99537144179578</v>
      </c>
      <c r="N923" s="9">
        <f t="shared" ref="N923:Q923" si="98">SUBTOTAL(9,N924:N928)</f>
        <v>8861.85</v>
      </c>
      <c r="O923" s="9">
        <f t="shared" si="98"/>
        <v>1525.8170690940881</v>
      </c>
      <c r="P923" s="9">
        <f t="shared" si="98"/>
        <v>0</v>
      </c>
      <c r="Q923" s="9">
        <f t="shared" si="98"/>
        <v>11007.662440535883</v>
      </c>
      <c r="R923" s="43"/>
    </row>
    <row r="924" spans="1:18" outlineLevel="1" x14ac:dyDescent="0.5">
      <c r="A924" s="131" t="s">
        <v>448</v>
      </c>
      <c r="B924" s="14">
        <v>1</v>
      </c>
      <c r="C924" s="15" t="s">
        <v>115</v>
      </c>
      <c r="D924" s="44" t="str">
        <f>VLOOKUP(Estimate!$C924,Resources!$B$3:$G$336,4,FALSE)</f>
        <v>tonne</v>
      </c>
      <c r="E924" s="44" t="str">
        <f>VLOOKUP(Estimate!$C924,Resources!$B$3:$G$336,3,FALSE)</f>
        <v>M</v>
      </c>
      <c r="F924" s="52">
        <v>1</v>
      </c>
      <c r="G924" s="12">
        <v>1</v>
      </c>
      <c r="H924" s="12">
        <f>H923*2.35</f>
        <v>423</v>
      </c>
      <c r="I924" s="12">
        <f>VLOOKUP(C924,Resources!$B$3:$G$336,6,FALSE)</f>
        <v>20.95</v>
      </c>
      <c r="J924" s="12">
        <f>(H924/(G924/F924))*I924</f>
        <v>8861.85</v>
      </c>
      <c r="K924" s="90"/>
      <c r="L924" s="90" t="str">
        <f>IF(E924="M"," ",H924/G924)</f>
        <v xml:space="preserve"> </v>
      </c>
      <c r="M924" s="16">
        <f>IF($E924="L",$J924,0)</f>
        <v>0</v>
      </c>
      <c r="N924" s="16">
        <f>IF($E924="M",$J924,0)</f>
        <v>8861.85</v>
      </c>
      <c r="O924" s="16">
        <f>IF($E924="P",$J924,0)</f>
        <v>0</v>
      </c>
      <c r="P924" s="16">
        <f>IF($E924="S",$J924,0)</f>
        <v>0</v>
      </c>
      <c r="Q924" s="16">
        <f t="shared" ref="Q924:Q928" si="99">SUM(M924:P924)</f>
        <v>8861.85</v>
      </c>
      <c r="R924" s="118" t="s">
        <v>948</v>
      </c>
    </row>
    <row r="925" spans="1:18" outlineLevel="1" x14ac:dyDescent="0.5">
      <c r="A925" s="131">
        <v>190.1</v>
      </c>
      <c r="B925" s="14">
        <v>2</v>
      </c>
      <c r="C925" s="15" t="s">
        <v>96</v>
      </c>
      <c r="D925" s="44" t="str">
        <f>VLOOKUP(Estimate!$C925,Resources!$B$3:$G$336,4,FALSE)</f>
        <v xml:space="preserve">hr   </v>
      </c>
      <c r="E925" s="44" t="str">
        <f>VLOOKUP(Estimate!$C925,Resources!$B$3:$G$336,3,FALSE)</f>
        <v>P</v>
      </c>
      <c r="F925" s="52">
        <v>1</v>
      </c>
      <c r="G925" s="129">
        <f>VLOOKUP($A925,'Model Inputs'!$A:$D,4)</f>
        <v>77.778000000000006</v>
      </c>
      <c r="H925" s="12">
        <f>H924</f>
        <v>423</v>
      </c>
      <c r="I925" s="12">
        <f>VLOOKUP(C925,Resources!$B$3:$G$336,6,FALSE)</f>
        <v>145</v>
      </c>
      <c r="J925" s="12">
        <f>(H925/(G925/F925))*I925</f>
        <v>788.59060402684554</v>
      </c>
      <c r="K925" s="90">
        <f>L925*F925</f>
        <v>5.4385558898403144</v>
      </c>
      <c r="L925" s="90">
        <f>IF(E925="M"," ",H925/G925)</f>
        <v>5.4385558898403144</v>
      </c>
      <c r="M925" s="16">
        <f>IF($E925="L",$J925,0)</f>
        <v>0</v>
      </c>
      <c r="N925" s="16">
        <f>IF($E925="M",$J925,0)</f>
        <v>0</v>
      </c>
      <c r="O925" s="16">
        <f>IF($E925="P",$J925,0)</f>
        <v>788.59060402684554</v>
      </c>
      <c r="P925" s="16">
        <f>IF($E925="S",$J925,0)</f>
        <v>0</v>
      </c>
      <c r="Q925" s="16">
        <f t="shared" si="99"/>
        <v>788.59060402684554</v>
      </c>
      <c r="R925" s="118">
        <v>62</v>
      </c>
    </row>
    <row r="926" spans="1:18" outlineLevel="1" x14ac:dyDescent="0.5">
      <c r="A926" s="131" t="s">
        <v>448</v>
      </c>
      <c r="B926" s="14">
        <v>3</v>
      </c>
      <c r="C926" s="15" t="s">
        <v>60</v>
      </c>
      <c r="D926" s="44" t="str">
        <f>VLOOKUP(Estimate!$C926,Resources!$B$3:$G$336,4,FALSE)</f>
        <v xml:space="preserve">hr   </v>
      </c>
      <c r="E926" s="44" t="str">
        <f>VLOOKUP(Estimate!$C926,Resources!$B$3:$G$336,3,FALSE)</f>
        <v>P</v>
      </c>
      <c r="F926" s="52">
        <v>1</v>
      </c>
      <c r="G926" s="12">
        <f>G925</f>
        <v>77.778000000000006</v>
      </c>
      <c r="H926" s="12">
        <f>H925</f>
        <v>423</v>
      </c>
      <c r="I926" s="12">
        <f>VLOOKUP(C926,Resources!$B$3:$G$336,6,FALSE)</f>
        <v>95</v>
      </c>
      <c r="J926" s="12">
        <f>(H926/(G926/F926))*I926</f>
        <v>516.66280953482988</v>
      </c>
      <c r="K926" s="90">
        <f>L926*F926</f>
        <v>5.4385558898403144</v>
      </c>
      <c r="L926" s="90">
        <f>IF(E926="M"," ",H926/G926)</f>
        <v>5.4385558898403144</v>
      </c>
      <c r="M926" s="16">
        <f>IF($E926="L",$J926,0)</f>
        <v>0</v>
      </c>
      <c r="N926" s="16">
        <f>IF($E926="M",$J926,0)</f>
        <v>0</v>
      </c>
      <c r="O926" s="16">
        <f>IF($E926="P",$J926,0)</f>
        <v>516.66280953482988</v>
      </c>
      <c r="P926" s="16">
        <f>IF($E926="S",$J926,0)</f>
        <v>0</v>
      </c>
      <c r="Q926" s="16">
        <f t="shared" si="99"/>
        <v>516.66280953482988</v>
      </c>
      <c r="R926" s="118">
        <v>62</v>
      </c>
    </row>
    <row r="927" spans="1:18" outlineLevel="1" x14ac:dyDescent="0.5">
      <c r="A927" s="131" t="s">
        <v>448</v>
      </c>
      <c r="B927" s="14">
        <v>4</v>
      </c>
      <c r="C927" s="15" t="s">
        <v>110</v>
      </c>
      <c r="D927" s="44" t="str">
        <f>VLOOKUP(Estimate!$C927,Resources!$B$3:$G$336,4,FALSE)</f>
        <v xml:space="preserve">day  </v>
      </c>
      <c r="E927" s="44" t="str">
        <f>VLOOKUP(Estimate!$C927,Resources!$B$3:$G$336,3,FALSE)</f>
        <v>P</v>
      </c>
      <c r="F927" s="52">
        <v>1</v>
      </c>
      <c r="G927" s="12">
        <f>G925*9</f>
        <v>700.00200000000007</v>
      </c>
      <c r="H927" s="12">
        <f>H926</f>
        <v>423</v>
      </c>
      <c r="I927" s="12">
        <f>VLOOKUP(C927,Resources!$B$3:$G$336,6,FALSE)</f>
        <v>365</v>
      </c>
      <c r="J927" s="12">
        <f>(H927/(G927/F927))*I927</f>
        <v>220.56365553241272</v>
      </c>
      <c r="K927" s="90">
        <f>L927*F927</f>
        <v>0.60428398776003489</v>
      </c>
      <c r="L927" s="90">
        <f>IF(E927="M"," ",H927/G927)</f>
        <v>0.60428398776003489</v>
      </c>
      <c r="M927" s="16">
        <f>IF($E927="L",$J927,0)</f>
        <v>0</v>
      </c>
      <c r="N927" s="16">
        <f>IF($E927="M",$J927,0)</f>
        <v>0</v>
      </c>
      <c r="O927" s="16">
        <f>IF($E927="P",$J927,0)</f>
        <v>220.56365553241272</v>
      </c>
      <c r="P927" s="16">
        <f>IF($E927="S",$J927,0)</f>
        <v>0</v>
      </c>
      <c r="Q927" s="16">
        <f t="shared" si="99"/>
        <v>220.56365553241272</v>
      </c>
      <c r="R927" s="118">
        <v>62</v>
      </c>
    </row>
    <row r="928" spans="1:18" outlineLevel="1" x14ac:dyDescent="0.5">
      <c r="A928" s="131" t="s">
        <v>448</v>
      </c>
      <c r="B928" s="14">
        <v>5</v>
      </c>
      <c r="C928" s="15" t="s">
        <v>7</v>
      </c>
      <c r="D928" s="44" t="str">
        <f>VLOOKUP(Estimate!$C928,Resources!$B$3:$G$336,4,FALSE)</f>
        <v xml:space="preserve">hr   </v>
      </c>
      <c r="E928" s="44" t="str">
        <f>VLOOKUP(Estimate!$C928,Resources!$B$3:$G$336,3,FALSE)</f>
        <v>L</v>
      </c>
      <c r="F928" s="52">
        <v>3</v>
      </c>
      <c r="G928" s="12">
        <f>G925</f>
        <v>77.778000000000006</v>
      </c>
      <c r="H928" s="12">
        <f>H927</f>
        <v>423</v>
      </c>
      <c r="I928" s="12">
        <f>VLOOKUP(C928,Resources!$B$3:$G$336,6,FALSE)</f>
        <v>38</v>
      </c>
      <c r="J928" s="12">
        <f>(H928/(G928/F928))*I928</f>
        <v>619.99537144179578</v>
      </c>
      <c r="K928" s="90">
        <f>L928*F928</f>
        <v>16.315667669520941</v>
      </c>
      <c r="L928" s="90">
        <f>IF(E928="M"," ",H928/G928)</f>
        <v>5.4385558898403144</v>
      </c>
      <c r="M928" s="16">
        <f>IF($E928="L",$J928,0)</f>
        <v>619.99537144179578</v>
      </c>
      <c r="N928" s="16">
        <f>IF($E928="M",$J928,0)</f>
        <v>0</v>
      </c>
      <c r="O928" s="16">
        <f>IF($E928="P",$J928,0)</f>
        <v>0</v>
      </c>
      <c r="P928" s="16">
        <f>IF($E928="S",$J928,0)</f>
        <v>0</v>
      </c>
      <c r="Q928" s="16">
        <f t="shared" si="99"/>
        <v>619.99537144179578</v>
      </c>
      <c r="R928" s="118">
        <v>62</v>
      </c>
    </row>
    <row r="929" spans="1:75" outlineLevel="1" x14ac:dyDescent="0.5">
      <c r="A929" s="132" t="s">
        <v>448</v>
      </c>
      <c r="B929" s="1"/>
      <c r="C929" s="5"/>
      <c r="D929" s="1"/>
      <c r="E929" s="45"/>
      <c r="F929" s="53"/>
      <c r="G929" s="11"/>
      <c r="H929" s="11"/>
      <c r="I929" s="11"/>
      <c r="J929" s="11"/>
      <c r="K929" s="91"/>
      <c r="L929" s="91"/>
      <c r="M929" s="13"/>
      <c r="N929" s="13"/>
      <c r="O929" s="13"/>
      <c r="P929" s="13"/>
      <c r="Q929" s="13"/>
      <c r="R929" s="119"/>
    </row>
    <row r="930" spans="1:75" x14ac:dyDescent="0.5">
      <c r="A930" s="130">
        <v>191</v>
      </c>
      <c r="B930" s="7" t="s">
        <v>504</v>
      </c>
      <c r="C930" s="7" t="s">
        <v>505</v>
      </c>
      <c r="D930" s="8" t="s">
        <v>83</v>
      </c>
      <c r="E930" s="43"/>
      <c r="F930" s="51"/>
      <c r="G930" s="9"/>
      <c r="H930" s="129">
        <f>VLOOKUP($A930,'Model Inputs'!$A:$D,4)</f>
        <v>1800</v>
      </c>
      <c r="I930" s="9"/>
      <c r="J930" s="9">
        <f>SUBTOTAL(9,J931)</f>
        <v>8486.1</v>
      </c>
      <c r="K930" s="89"/>
      <c r="L930" s="89">
        <v>1</v>
      </c>
      <c r="M930" s="9">
        <f>SUBTOTAL(9,M931)</f>
        <v>0</v>
      </c>
      <c r="N930" s="9">
        <f t="shared" ref="N930:Q930" si="100">SUBTOTAL(9,N931)</f>
        <v>0</v>
      </c>
      <c r="O930" s="9">
        <f t="shared" si="100"/>
        <v>0</v>
      </c>
      <c r="P930" s="9">
        <f t="shared" si="100"/>
        <v>8486.1</v>
      </c>
      <c r="Q930" s="9">
        <f t="shared" si="100"/>
        <v>8486.1</v>
      </c>
      <c r="R930" s="43"/>
    </row>
    <row r="931" spans="1:75" outlineLevel="1" x14ac:dyDescent="0.5">
      <c r="A931" s="131" t="s">
        <v>448</v>
      </c>
      <c r="B931" s="14">
        <v>1</v>
      </c>
      <c r="C931" s="15" t="s">
        <v>587</v>
      </c>
      <c r="D931" s="44" t="str">
        <f>VLOOKUP(Estimate!$C931,Resources!$B$3:$G$336,4,FALSE)</f>
        <v xml:space="preserve">m²   </v>
      </c>
      <c r="E931" s="44" t="str">
        <f>VLOOKUP(Estimate!$C931,Resources!$B$3:$G$336,3,FALSE)</f>
        <v>S</v>
      </c>
      <c r="F931" s="52">
        <v>1</v>
      </c>
      <c r="G931" s="12">
        <v>1</v>
      </c>
      <c r="H931" s="12">
        <f>H930*1.05</f>
        <v>1890</v>
      </c>
      <c r="I931" s="12">
        <f>VLOOKUP(C931,Resources!$B$3:$G$336,6,FALSE)</f>
        <v>4.49</v>
      </c>
      <c r="J931" s="12">
        <f>(H931/(G931/F931))*I931</f>
        <v>8486.1</v>
      </c>
      <c r="K931" s="90"/>
      <c r="L931" s="90">
        <v>1</v>
      </c>
      <c r="M931" s="16">
        <f>IF($E931="L",$J931,0)</f>
        <v>0</v>
      </c>
      <c r="N931" s="16">
        <f>IF($E931="M",$J931,0)</f>
        <v>0</v>
      </c>
      <c r="O931" s="16">
        <f>IF($E931="P",$J931,0)</f>
        <v>0</v>
      </c>
      <c r="P931" s="16">
        <f>IF($E931="S",$J931,0)</f>
        <v>8486.1</v>
      </c>
      <c r="Q931" s="16">
        <f>SUM(M931:P931)</f>
        <v>8486.1</v>
      </c>
      <c r="R931" s="118">
        <v>64</v>
      </c>
    </row>
    <row r="932" spans="1:75" customFormat="1" ht="14.25" customHeight="1" x14ac:dyDescent="0.65">
      <c r="A932" s="47" t="s">
        <v>448</v>
      </c>
      <c r="B932" s="30"/>
      <c r="C932" s="31"/>
      <c r="D932" s="55"/>
      <c r="E932" s="47"/>
      <c r="F932" s="56"/>
      <c r="G932" s="56"/>
      <c r="H932" s="32"/>
      <c r="I932" s="32"/>
      <c r="J932" s="32"/>
      <c r="K932" s="32"/>
      <c r="L932" s="32"/>
      <c r="M932" s="33"/>
      <c r="N932" s="33"/>
      <c r="O932" s="33"/>
      <c r="P932" s="93"/>
      <c r="Q932" s="93"/>
      <c r="R932" s="122"/>
      <c r="S932" s="33"/>
      <c r="T932" s="34"/>
      <c r="BW932" s="28"/>
    </row>
    <row r="933" spans="1:75" x14ac:dyDescent="0.5">
      <c r="A933" s="130">
        <v>192</v>
      </c>
      <c r="B933" s="7" t="s">
        <v>502</v>
      </c>
      <c r="C933" s="7" t="s">
        <v>503</v>
      </c>
      <c r="D933" s="8" t="s">
        <v>25</v>
      </c>
      <c r="E933" s="43"/>
      <c r="F933" s="51"/>
      <c r="G933" s="9"/>
      <c r="H933" s="129">
        <f>VLOOKUP($A933,'Model Inputs'!$A:$D,4)</f>
        <v>44</v>
      </c>
      <c r="I933" s="9"/>
      <c r="J933" s="9">
        <f>SUBTOTAL(9,J934:J935)</f>
        <v>1071.6804849432929</v>
      </c>
      <c r="K933" s="89"/>
      <c r="L933" s="89">
        <v>1</v>
      </c>
      <c r="M933" s="9">
        <f>SUBTOTAL(9,M934:M935)</f>
        <v>0</v>
      </c>
      <c r="N933" s="9">
        <f t="shared" ref="N933:Q933" si="101">SUBTOTAL(9,N934:N935)</f>
        <v>180.68048494329292</v>
      </c>
      <c r="O933" s="9">
        <f t="shared" si="101"/>
        <v>0</v>
      </c>
      <c r="P933" s="9">
        <f t="shared" si="101"/>
        <v>891</v>
      </c>
      <c r="Q933" s="9">
        <f t="shared" si="101"/>
        <v>1071.6804849432929</v>
      </c>
      <c r="R933" s="43"/>
    </row>
    <row r="934" spans="1:75" outlineLevel="1" x14ac:dyDescent="0.5">
      <c r="A934" s="131" t="s">
        <v>448</v>
      </c>
      <c r="B934" s="14">
        <v>1</v>
      </c>
      <c r="C934" s="15" t="s">
        <v>136</v>
      </c>
      <c r="D934" s="44" t="str">
        <f>VLOOKUP(Estimate!$C934,Resources!$B$3:$G$336,4,FALSE)</f>
        <v xml:space="preserve">m³   </v>
      </c>
      <c r="E934" s="44" t="str">
        <f>VLOOKUP(Estimate!$C934,Resources!$B$3:$G$336,3,FALSE)</f>
        <v>M</v>
      </c>
      <c r="F934" s="52">
        <v>1</v>
      </c>
      <c r="G934" s="12">
        <v>1</v>
      </c>
      <c r="H934" s="12">
        <f>H933/43.469</f>
        <v>1.0122156019232096</v>
      </c>
      <c r="I934" s="12">
        <f>VLOOKUP(C934,Resources!$B$3:$G$336,6,FALSE)</f>
        <v>178.5</v>
      </c>
      <c r="J934" s="12">
        <f>(H934/(G934/F934))*I934</f>
        <v>180.68048494329292</v>
      </c>
      <c r="K934" s="90"/>
      <c r="L934" s="90" t="str">
        <f>IF(E934="M"," ",H934/G934)</f>
        <v xml:space="preserve"> </v>
      </c>
      <c r="M934" s="16">
        <f>IF($E934="L",$J934,0)</f>
        <v>0</v>
      </c>
      <c r="N934" s="16">
        <f>IF($E934="M",$J934,0)</f>
        <v>180.68048494329292</v>
      </c>
      <c r="O934" s="16">
        <f>IF($E934="P",$J934,0)</f>
        <v>0</v>
      </c>
      <c r="P934" s="16">
        <f>IF($E934="S",$J934,0)</f>
        <v>0</v>
      </c>
      <c r="Q934" s="16">
        <f>SUM(M934:P934)</f>
        <v>180.68048494329292</v>
      </c>
      <c r="R934" s="118" t="s">
        <v>949</v>
      </c>
    </row>
    <row r="935" spans="1:75" outlineLevel="1" x14ac:dyDescent="0.5">
      <c r="A935" s="131" t="s">
        <v>448</v>
      </c>
      <c r="B935" s="14">
        <v>2</v>
      </c>
      <c r="C935" s="15" t="s">
        <v>137</v>
      </c>
      <c r="D935" s="44" t="str">
        <f>VLOOKUP(Estimate!$C935,Resources!$B$3:$G$336,4,FALSE)</f>
        <v xml:space="preserve">m    </v>
      </c>
      <c r="E935" s="44" t="str">
        <f>VLOOKUP(Estimate!$C935,Resources!$B$3:$G$336,3,FALSE)</f>
        <v>S</v>
      </c>
      <c r="F935" s="52">
        <v>1</v>
      </c>
      <c r="G935" s="12">
        <v>1</v>
      </c>
      <c r="H935" s="12">
        <f>H933</f>
        <v>44</v>
      </c>
      <c r="I935" s="12">
        <f>VLOOKUP(C935,Resources!$B$3:$G$336,6,FALSE)</f>
        <v>20.25</v>
      </c>
      <c r="J935" s="12">
        <f>(H935/(G935/F935))*I935</f>
        <v>891</v>
      </c>
      <c r="K935" s="90">
        <f>L935*F935</f>
        <v>44</v>
      </c>
      <c r="L935" s="90">
        <f>IF(E935="M"," ",H935/G935)</f>
        <v>44</v>
      </c>
      <c r="M935" s="16">
        <f>IF($E935="L",$J935,0)</f>
        <v>0</v>
      </c>
      <c r="N935" s="16">
        <f>IF($E935="M",$J935,0)</f>
        <v>0</v>
      </c>
      <c r="O935" s="16">
        <f>IF($E935="P",$J935,0)</f>
        <v>0</v>
      </c>
      <c r="P935" s="16">
        <f>IF($E935="S",$J935,0)</f>
        <v>891</v>
      </c>
      <c r="Q935" s="16">
        <f>SUM(M935:P935)</f>
        <v>891</v>
      </c>
      <c r="R935" s="118">
        <v>71</v>
      </c>
    </row>
    <row r="936" spans="1:75" outlineLevel="1" x14ac:dyDescent="0.5">
      <c r="A936" s="132" t="s">
        <v>448</v>
      </c>
      <c r="B936" s="1"/>
      <c r="C936" s="2"/>
      <c r="D936" s="1"/>
      <c r="E936" s="45"/>
      <c r="F936" s="53"/>
      <c r="G936" s="11"/>
      <c r="H936" s="11"/>
      <c r="I936" s="11"/>
      <c r="J936" s="11"/>
      <c r="K936" s="91"/>
      <c r="L936" s="91"/>
      <c r="M936" s="13"/>
      <c r="N936" s="13"/>
      <c r="O936" s="13"/>
      <c r="P936" s="13"/>
      <c r="Q936" s="13"/>
      <c r="R936" s="119"/>
    </row>
    <row r="937" spans="1:75" x14ac:dyDescent="0.5">
      <c r="A937" s="130">
        <v>193</v>
      </c>
      <c r="B937" s="7" t="s">
        <v>522</v>
      </c>
      <c r="C937" s="7" t="s">
        <v>523</v>
      </c>
      <c r="D937" s="8" t="s">
        <v>25</v>
      </c>
      <c r="E937" s="43"/>
      <c r="F937" s="51"/>
      <c r="G937" s="9"/>
      <c r="H937" s="129">
        <f>VLOOKUP($A937,'Model Inputs'!$A:$D,4)</f>
        <v>44</v>
      </c>
      <c r="I937" s="9"/>
      <c r="J937" s="9">
        <f>SUBTOTAL(9,J939:J947)</f>
        <v>2431.2907617057162</v>
      </c>
      <c r="K937" s="89"/>
      <c r="L937" s="89">
        <v>1</v>
      </c>
      <c r="M937" s="9">
        <f>SUBTOTAL(9,M939:M947)</f>
        <v>61.306053606130618</v>
      </c>
      <c r="N937" s="9">
        <f t="shared" ref="N937:Q937" si="102">SUBTOTAL(9,N939:N947)</f>
        <v>1193.3521410919225</v>
      </c>
      <c r="O937" s="9">
        <f t="shared" si="102"/>
        <v>76.632567007663269</v>
      </c>
      <c r="P937" s="9">
        <f t="shared" si="102"/>
        <v>1100</v>
      </c>
      <c r="Q937" s="9">
        <f t="shared" si="102"/>
        <v>2431.2907617057162</v>
      </c>
      <c r="R937" s="43"/>
    </row>
    <row r="938" spans="1:75" outlineLevel="1" x14ac:dyDescent="0.5">
      <c r="A938" s="132" t="s">
        <v>448</v>
      </c>
      <c r="B938" s="1">
        <v>1</v>
      </c>
      <c r="C938" s="2" t="s">
        <v>635</v>
      </c>
      <c r="D938" s="1"/>
      <c r="E938" s="45"/>
      <c r="F938" s="53"/>
      <c r="G938" s="11"/>
      <c r="H938" s="11"/>
      <c r="I938" s="11"/>
      <c r="J938" s="11"/>
      <c r="K938" s="91"/>
      <c r="L938" s="91"/>
      <c r="M938" s="13"/>
      <c r="N938" s="13"/>
      <c r="O938" s="13"/>
      <c r="P938" s="13"/>
      <c r="Q938" s="13"/>
      <c r="R938" s="119"/>
    </row>
    <row r="939" spans="1:75" outlineLevel="1" x14ac:dyDescent="0.5">
      <c r="A939" s="131" t="s">
        <v>448</v>
      </c>
      <c r="B939" s="14">
        <v>2</v>
      </c>
      <c r="C939" s="15" t="s">
        <v>145</v>
      </c>
      <c r="D939" s="44" t="str">
        <f>VLOOKUP(Estimate!$C939,Resources!$B$3:$G$336,4,FALSE)</f>
        <v xml:space="preserve">m³   </v>
      </c>
      <c r="E939" s="44" t="str">
        <f>VLOOKUP(Estimate!$C939,Resources!$B$3:$G$336,3,FALSE)</f>
        <v>M</v>
      </c>
      <c r="F939" s="52">
        <v>1</v>
      </c>
      <c r="G939" s="12">
        <v>1</v>
      </c>
      <c r="H939" s="12">
        <f>H937/9.091</f>
        <v>4.839951600483996</v>
      </c>
      <c r="I939" s="12">
        <f>VLOOKUP(C939,Resources!$B$3:$G$336,6,FALSE)</f>
        <v>158.19999999999999</v>
      </c>
      <c r="J939" s="12">
        <f>(H939/(G939/F939))*I939</f>
        <v>765.68034319656806</v>
      </c>
      <c r="K939" s="90"/>
      <c r="L939" s="90" t="str">
        <f>IF(E939="M"," ",H939/G939)</f>
        <v xml:space="preserve"> </v>
      </c>
      <c r="M939" s="16">
        <f>IF($E939="L",$J939,0)</f>
        <v>0</v>
      </c>
      <c r="N939" s="16">
        <f>IF($E939="M",$J939,0)</f>
        <v>765.68034319656806</v>
      </c>
      <c r="O939" s="16">
        <f>IF($E939="P",$J939,0)</f>
        <v>0</v>
      </c>
      <c r="P939" s="16">
        <f>IF($E939="S",$J939,0)</f>
        <v>0</v>
      </c>
      <c r="Q939" s="16">
        <f>SUM(M939:P939)</f>
        <v>765.68034319656806</v>
      </c>
      <c r="R939" s="118" t="s">
        <v>946</v>
      </c>
    </row>
    <row r="940" spans="1:75" outlineLevel="1" x14ac:dyDescent="0.5">
      <c r="A940" s="131" t="s">
        <v>448</v>
      </c>
      <c r="B940" s="14">
        <v>3</v>
      </c>
      <c r="C940" s="15" t="s">
        <v>149</v>
      </c>
      <c r="D940" s="44" t="str">
        <f>VLOOKUP(Estimate!$C940,Resources!$B$3:$G$336,4,FALSE)</f>
        <v xml:space="preserve">m²   </v>
      </c>
      <c r="E940" s="44" t="str">
        <f>VLOOKUP(Estimate!$C940,Resources!$B$3:$G$336,3,FALSE)</f>
        <v>M</v>
      </c>
      <c r="F940" s="52">
        <v>1</v>
      </c>
      <c r="G940" s="12">
        <v>1</v>
      </c>
      <c r="H940" s="12">
        <f>H937*1.2</f>
        <v>52.8</v>
      </c>
      <c r="I940" s="12">
        <f>VLOOKUP(C940,Resources!$B$3:$G$336,6,FALSE)</f>
        <v>5.76</v>
      </c>
      <c r="J940" s="12">
        <f>(H940/(G940/F940))*I940</f>
        <v>304.12799999999999</v>
      </c>
      <c r="K940" s="90"/>
      <c r="L940" s="90" t="str">
        <f>IF(E940="M"," ",H940/G940)</f>
        <v xml:space="preserve"> </v>
      </c>
      <c r="M940" s="16">
        <f>IF($E940="L",$J940,0)</f>
        <v>0</v>
      </c>
      <c r="N940" s="16">
        <f>IF($E940="M",$J940,0)</f>
        <v>304.12799999999999</v>
      </c>
      <c r="O940" s="16">
        <f>IF($E940="P",$J940,0)</f>
        <v>0</v>
      </c>
      <c r="P940" s="16">
        <f>IF($E940="S",$J940,0)</f>
        <v>0</v>
      </c>
      <c r="Q940" s="16">
        <f>SUM(M940:P940)</f>
        <v>304.12799999999999</v>
      </c>
      <c r="R940" s="118" t="s">
        <v>944</v>
      </c>
    </row>
    <row r="941" spans="1:75" outlineLevel="1" x14ac:dyDescent="0.5">
      <c r="A941" s="131" t="s">
        <v>448</v>
      </c>
      <c r="B941" s="14">
        <v>4</v>
      </c>
      <c r="C941" s="15" t="s">
        <v>73</v>
      </c>
      <c r="D941" s="44" t="str">
        <f>VLOOKUP(Estimate!$C941,Resources!$B$3:$G$336,4,FALSE)</f>
        <v>tonne</v>
      </c>
      <c r="E941" s="44" t="str">
        <f>VLOOKUP(Estimate!$C941,Resources!$B$3:$G$336,3,FALSE)</f>
        <v>M</v>
      </c>
      <c r="F941" s="52">
        <v>1</v>
      </c>
      <c r="G941" s="12">
        <v>1</v>
      </c>
      <c r="H941" s="12">
        <f>H937/9.091</f>
        <v>4.839951600483996</v>
      </c>
      <c r="I941" s="12">
        <f>VLOOKUP(C941,Resources!$B$3:$G$336,6,FALSE)</f>
        <v>17.95</v>
      </c>
      <c r="J941" s="12">
        <f>(H941/(G941/F941))*I941</f>
        <v>86.87713122868773</v>
      </c>
      <c r="K941" s="90"/>
      <c r="L941" s="90" t="str">
        <f>IF(E941="M"," ",H941/G941)</f>
        <v xml:space="preserve"> </v>
      </c>
      <c r="M941" s="16">
        <f>IF($E941="L",$J941,0)</f>
        <v>0</v>
      </c>
      <c r="N941" s="16">
        <f>IF($E941="M",$J941,0)</f>
        <v>86.87713122868773</v>
      </c>
      <c r="O941" s="16">
        <f>IF($E941="P",$J941,0)</f>
        <v>0</v>
      </c>
      <c r="P941" s="16">
        <f>IF($E941="S",$J941,0)</f>
        <v>0</v>
      </c>
      <c r="Q941" s="16">
        <f>SUM(M941:P941)</f>
        <v>86.87713122868773</v>
      </c>
      <c r="R941" s="118" t="s">
        <v>945</v>
      </c>
    </row>
    <row r="942" spans="1:75" outlineLevel="1" x14ac:dyDescent="0.5">
      <c r="A942" s="131" t="s">
        <v>448</v>
      </c>
      <c r="B942" s="14">
        <v>5</v>
      </c>
      <c r="C942" s="15" t="s">
        <v>150</v>
      </c>
      <c r="D942" s="44" t="str">
        <f>VLOOKUP(Estimate!$C942,Resources!$B$3:$G$336,4,FALSE)</f>
        <v xml:space="preserve">each </v>
      </c>
      <c r="E942" s="44" t="str">
        <f>VLOOKUP(Estimate!$C942,Resources!$B$3:$G$336,3,FALSE)</f>
        <v>M</v>
      </c>
      <c r="F942" s="52">
        <v>1</v>
      </c>
      <c r="G942" s="12">
        <v>1</v>
      </c>
      <c r="H942" s="12">
        <f>H937/2.4</f>
        <v>18.333333333333336</v>
      </c>
      <c r="I942" s="12">
        <f>VLOOKUP(C942,Resources!$B$3:$G$336,6,FALSE)</f>
        <v>2</v>
      </c>
      <c r="J942" s="12">
        <f>(H942/(G942/F942))*I942</f>
        <v>36.666666666666671</v>
      </c>
      <c r="K942" s="90"/>
      <c r="L942" s="90" t="str">
        <f>IF(E942="M"," ",H942/G942)</f>
        <v xml:space="preserve"> </v>
      </c>
      <c r="M942" s="16">
        <f>IF($E942="L",$J942,0)</f>
        <v>0</v>
      </c>
      <c r="N942" s="16">
        <f>IF($E942="M",$J942,0)</f>
        <v>36.666666666666671</v>
      </c>
      <c r="O942" s="16">
        <f>IF($E942="P",$J942,0)</f>
        <v>0</v>
      </c>
      <c r="P942" s="16">
        <f>IF($E942="S",$J942,0)</f>
        <v>0</v>
      </c>
      <c r="Q942" s="16">
        <f>SUM(M942:P942)</f>
        <v>36.666666666666671</v>
      </c>
      <c r="R942" s="118" t="s">
        <v>958</v>
      </c>
    </row>
    <row r="943" spans="1:75" s="22" customFormat="1" outlineLevel="1" x14ac:dyDescent="0.5">
      <c r="A943" s="133" t="s">
        <v>448</v>
      </c>
      <c r="B943" s="18">
        <v>6</v>
      </c>
      <c r="C943" s="19" t="s">
        <v>636</v>
      </c>
      <c r="D943" s="18"/>
      <c r="E943" s="46"/>
      <c r="F943" s="54"/>
      <c r="G943" s="20"/>
      <c r="H943" s="20"/>
      <c r="I943" s="20"/>
      <c r="J943" s="20"/>
      <c r="K943" s="92"/>
      <c r="L943" s="92"/>
      <c r="M943" s="21"/>
      <c r="N943" s="21"/>
      <c r="O943" s="21"/>
      <c r="P943" s="21"/>
      <c r="Q943" s="21"/>
      <c r="R943" s="120"/>
      <c r="BR943" s="83"/>
    </row>
    <row r="944" spans="1:75" outlineLevel="1" x14ac:dyDescent="0.5">
      <c r="A944" s="131">
        <v>193.1</v>
      </c>
      <c r="B944" s="14">
        <v>7</v>
      </c>
      <c r="C944" s="15" t="s">
        <v>49</v>
      </c>
      <c r="D944" s="44" t="str">
        <f>VLOOKUP(Estimate!$C944,Resources!$B$3:$G$336,4,FALSE)</f>
        <v xml:space="preserve">hr   </v>
      </c>
      <c r="E944" s="44" t="str">
        <f>VLOOKUP(Estimate!$C944,Resources!$B$3:$G$336,3,FALSE)</f>
        <v>P</v>
      </c>
      <c r="F944" s="52">
        <v>1</v>
      </c>
      <c r="G944" s="129">
        <f>VLOOKUP($A944,'Model Inputs'!$A:$D,4)</f>
        <v>6</v>
      </c>
      <c r="H944" s="12">
        <f>H941</f>
        <v>4.839951600483996</v>
      </c>
      <c r="I944" s="12">
        <f>VLOOKUP(C944,Resources!$B$3:$G$336,6,FALSE)</f>
        <v>95</v>
      </c>
      <c r="J944" s="12">
        <f>(H944/(G944/F944))*I944</f>
        <v>76.632567007663269</v>
      </c>
      <c r="K944" s="90">
        <f>L944*F944</f>
        <v>0.80665860008066603</v>
      </c>
      <c r="L944" s="90">
        <f>IF(E944="M"," ",H944/G944)</f>
        <v>0.80665860008066603</v>
      </c>
      <c r="M944" s="16">
        <f>IF($E944="L",$J944,0)</f>
        <v>0</v>
      </c>
      <c r="N944" s="16">
        <f>IF($E944="M",$J944,0)</f>
        <v>0</v>
      </c>
      <c r="O944" s="16">
        <f>IF($E944="P",$J944,0)</f>
        <v>76.632567007663269</v>
      </c>
      <c r="P944" s="16">
        <f>IF($E944="S",$J944,0)</f>
        <v>0</v>
      </c>
      <c r="Q944" s="16">
        <f>SUM(M944:P944)</f>
        <v>76.632567007663269</v>
      </c>
      <c r="R944" s="118">
        <v>71</v>
      </c>
    </row>
    <row r="945" spans="1:70" outlineLevel="1" x14ac:dyDescent="0.5">
      <c r="A945" s="131" t="s">
        <v>448</v>
      </c>
      <c r="B945" s="14">
        <v>8</v>
      </c>
      <c r="C945" s="15" t="s">
        <v>7</v>
      </c>
      <c r="D945" s="44" t="str">
        <f>VLOOKUP(Estimate!$C945,Resources!$B$3:$G$336,4,FALSE)</f>
        <v xml:space="preserve">hr   </v>
      </c>
      <c r="E945" s="44" t="str">
        <f>VLOOKUP(Estimate!$C945,Resources!$B$3:$G$336,3,FALSE)</f>
        <v>L</v>
      </c>
      <c r="F945" s="52">
        <v>2</v>
      </c>
      <c r="G945" s="12">
        <f>G944</f>
        <v>6</v>
      </c>
      <c r="H945" s="12">
        <f>H944</f>
        <v>4.839951600483996</v>
      </c>
      <c r="I945" s="12">
        <f>VLOOKUP(C945,Resources!$B$3:$G$336,6,FALSE)</f>
        <v>38</v>
      </c>
      <c r="J945" s="12">
        <f>(H945/(G945/F945))*I945</f>
        <v>61.306053606130618</v>
      </c>
      <c r="K945" s="90">
        <f>L945*F945</f>
        <v>1.6133172001613321</v>
      </c>
      <c r="L945" s="90">
        <f>IF(E945="M"," ",H945/G945)</f>
        <v>0.80665860008066603</v>
      </c>
      <c r="M945" s="16">
        <f>IF($E945="L",$J945,0)</f>
        <v>61.306053606130618</v>
      </c>
      <c r="N945" s="16">
        <f>IF($E945="M",$J945,0)</f>
        <v>0</v>
      </c>
      <c r="O945" s="16">
        <f>IF($E945="P",$J945,0)</f>
        <v>0</v>
      </c>
      <c r="P945" s="16">
        <f>IF($E945="S",$J945,0)</f>
        <v>0</v>
      </c>
      <c r="Q945" s="16">
        <f>SUM(M945:P945)</f>
        <v>61.306053606130618</v>
      </c>
      <c r="R945" s="118">
        <v>71</v>
      </c>
    </row>
    <row r="946" spans="1:70" s="22" customFormat="1" outlineLevel="1" x14ac:dyDescent="0.5">
      <c r="A946" s="133" t="s">
        <v>448</v>
      </c>
      <c r="B946" s="18"/>
      <c r="C946" s="19" t="s">
        <v>638</v>
      </c>
      <c r="D946" s="18"/>
      <c r="E946" s="46"/>
      <c r="F946" s="54"/>
      <c r="G946" s="20"/>
      <c r="H946" s="20"/>
      <c r="I946" s="20"/>
      <c r="J946" s="20"/>
      <c r="K946" s="92"/>
      <c r="L946" s="92"/>
      <c r="M946" s="21"/>
      <c r="N946" s="21"/>
      <c r="O946" s="21"/>
      <c r="P946" s="21"/>
      <c r="Q946" s="21"/>
      <c r="R946" s="120"/>
      <c r="BR946" s="83"/>
    </row>
    <row r="947" spans="1:70" outlineLevel="1" x14ac:dyDescent="0.5">
      <c r="A947" s="131" t="s">
        <v>448</v>
      </c>
      <c r="B947" s="14">
        <v>10</v>
      </c>
      <c r="C947" s="15" t="s">
        <v>151</v>
      </c>
      <c r="D947" s="44" t="str">
        <f>VLOOKUP(Estimate!$C947,Resources!$B$3:$G$336,4,FALSE)</f>
        <v xml:space="preserve">m²   </v>
      </c>
      <c r="E947" s="44" t="str">
        <f>VLOOKUP(Estimate!$C947,Resources!$B$3:$G$336,3,FALSE)</f>
        <v>S</v>
      </c>
      <c r="F947" s="52">
        <v>1</v>
      </c>
      <c r="G947" s="12">
        <v>1</v>
      </c>
      <c r="H947" s="12">
        <f>H937</f>
        <v>44</v>
      </c>
      <c r="I947" s="12">
        <f>VLOOKUP(C947,Resources!$B$3:$G$336,6,FALSE)</f>
        <v>25</v>
      </c>
      <c r="J947" s="12">
        <f>(H947/(G947/F947))*I947</f>
        <v>1100</v>
      </c>
      <c r="K947" s="90"/>
      <c r="L947" s="90">
        <f>IF(E947="M"," ",H947/G947)</f>
        <v>44</v>
      </c>
      <c r="M947" s="16">
        <f>IF($E947="L",$J947,0)</f>
        <v>0</v>
      </c>
      <c r="N947" s="16">
        <f>IF($E947="M",$J947,0)</f>
        <v>0</v>
      </c>
      <c r="O947" s="16">
        <f>IF($E947="P",$J947,0)</f>
        <v>0</v>
      </c>
      <c r="P947" s="16">
        <f>IF($E947="S",$J947,0)</f>
        <v>1100</v>
      </c>
      <c r="Q947" s="16">
        <f>SUM(M947:P947)</f>
        <v>1100</v>
      </c>
      <c r="R947" s="118">
        <v>71</v>
      </c>
    </row>
    <row r="948" spans="1:70" outlineLevel="1" x14ac:dyDescent="0.5">
      <c r="A948" s="132" t="s">
        <v>448</v>
      </c>
      <c r="B948" s="1"/>
      <c r="C948" s="2"/>
      <c r="D948" s="1"/>
      <c r="E948" s="45"/>
      <c r="F948" s="53"/>
      <c r="G948" s="11"/>
      <c r="H948" s="11"/>
      <c r="I948" s="11"/>
      <c r="J948" s="11"/>
      <c r="K948" s="91"/>
      <c r="L948" s="91"/>
      <c r="M948" s="13"/>
      <c r="N948" s="13"/>
      <c r="O948" s="13"/>
      <c r="P948" s="13"/>
      <c r="Q948" s="13"/>
      <c r="R948" s="119"/>
    </row>
    <row r="949" spans="1:70" x14ac:dyDescent="0.5">
      <c r="A949" s="130">
        <v>194</v>
      </c>
      <c r="B949" s="7" t="s">
        <v>520</v>
      </c>
      <c r="C949" s="7" t="s">
        <v>521</v>
      </c>
      <c r="D949" s="8" t="s">
        <v>25</v>
      </c>
      <c r="E949" s="43"/>
      <c r="F949" s="51"/>
      <c r="G949" s="9"/>
      <c r="H949" s="129">
        <f>VLOOKUP($A949,'Model Inputs'!$A:$D,4)</f>
        <v>44</v>
      </c>
      <c r="I949" s="9"/>
      <c r="J949" s="9">
        <f>SUBTOTAL(9,J950:J951)</f>
        <v>1279.8311302539728</v>
      </c>
      <c r="K949" s="89"/>
      <c r="L949" s="89">
        <v>1</v>
      </c>
      <c r="M949" s="9">
        <f>SUBTOTAL(9,M950:M951)</f>
        <v>0</v>
      </c>
      <c r="N949" s="9">
        <f t="shared" ref="N949:Q949" si="103">SUBTOTAL(9,N950:N951)</f>
        <v>388.8311302539729</v>
      </c>
      <c r="O949" s="9">
        <f t="shared" si="103"/>
        <v>0</v>
      </c>
      <c r="P949" s="9">
        <f t="shared" si="103"/>
        <v>891</v>
      </c>
      <c r="Q949" s="9">
        <f t="shared" si="103"/>
        <v>1279.8311302539728</v>
      </c>
      <c r="R949" s="43"/>
    </row>
    <row r="950" spans="1:70" outlineLevel="1" x14ac:dyDescent="0.5">
      <c r="A950" s="131" t="s">
        <v>448</v>
      </c>
      <c r="B950" s="14">
        <v>1</v>
      </c>
      <c r="C950" s="15" t="s">
        <v>136</v>
      </c>
      <c r="D950" s="44" t="str">
        <f>VLOOKUP(Estimate!$C950,Resources!$B$3:$G$336,4,FALSE)</f>
        <v xml:space="preserve">m³   </v>
      </c>
      <c r="E950" s="44" t="str">
        <f>VLOOKUP(Estimate!$C950,Resources!$B$3:$G$336,3,FALSE)</f>
        <v>M</v>
      </c>
      <c r="F950" s="52">
        <v>1</v>
      </c>
      <c r="G950" s="12">
        <v>1</v>
      </c>
      <c r="H950" s="12">
        <f>H949/20.199</f>
        <v>2.1783256596861227</v>
      </c>
      <c r="I950" s="12">
        <f>VLOOKUP(C950,Resources!$B$3:$G$336,6,FALSE)</f>
        <v>178.5</v>
      </c>
      <c r="J950" s="12">
        <f>(H950/(G950/F950))*I950</f>
        <v>388.8311302539729</v>
      </c>
      <c r="K950" s="90"/>
      <c r="L950" s="90" t="str">
        <f>IF(E950="M"," ",H950/G950)</f>
        <v xml:space="preserve"> </v>
      </c>
      <c r="M950" s="16">
        <f>IF($E950="L",$J950,0)</f>
        <v>0</v>
      </c>
      <c r="N950" s="16">
        <f>IF($E950="M",$J950,0)</f>
        <v>388.8311302539729</v>
      </c>
      <c r="O950" s="16">
        <f>IF($E950="P",$J950,0)</f>
        <v>0</v>
      </c>
      <c r="P950" s="16">
        <f>IF($E950="S",$J950,0)</f>
        <v>0</v>
      </c>
      <c r="Q950" s="16">
        <f>SUM(M950:P950)</f>
        <v>388.8311302539729</v>
      </c>
      <c r="R950" s="118" t="s">
        <v>949</v>
      </c>
    </row>
    <row r="951" spans="1:70" outlineLevel="1" x14ac:dyDescent="0.5">
      <c r="A951" s="131" t="s">
        <v>448</v>
      </c>
      <c r="B951" s="14">
        <v>2</v>
      </c>
      <c r="C951" s="15" t="s">
        <v>137</v>
      </c>
      <c r="D951" s="44" t="str">
        <f>VLOOKUP(Estimate!$C951,Resources!$B$3:$G$336,4,FALSE)</f>
        <v xml:space="preserve">m    </v>
      </c>
      <c r="E951" s="44" t="str">
        <f>VLOOKUP(Estimate!$C951,Resources!$B$3:$G$336,3,FALSE)</f>
        <v>S</v>
      </c>
      <c r="F951" s="52">
        <v>1</v>
      </c>
      <c r="G951" s="12">
        <v>1</v>
      </c>
      <c r="H951" s="12">
        <f>H949</f>
        <v>44</v>
      </c>
      <c r="I951" s="12">
        <f>VLOOKUP(C951,Resources!$B$3:$G$336,6,FALSE)</f>
        <v>20.25</v>
      </c>
      <c r="J951" s="12">
        <f>(H951/(G951/F951))*I951</f>
        <v>891</v>
      </c>
      <c r="K951" s="90">
        <f>L951*F951</f>
        <v>44</v>
      </c>
      <c r="L951" s="90">
        <f>IF(E951="M"," ",H951/G951)</f>
        <v>44</v>
      </c>
      <c r="M951" s="16">
        <f>IF($E951="L",$J951,0)</f>
        <v>0</v>
      </c>
      <c r="N951" s="16">
        <f>IF($E951="M",$J951,0)</f>
        <v>0</v>
      </c>
      <c r="O951" s="16">
        <f>IF($E951="P",$J951,0)</f>
        <v>0</v>
      </c>
      <c r="P951" s="16">
        <f>IF($E951="S",$J951,0)</f>
        <v>891</v>
      </c>
      <c r="Q951" s="16">
        <f>SUM(M951:P951)</f>
        <v>891</v>
      </c>
      <c r="R951" s="118">
        <v>71</v>
      </c>
    </row>
    <row r="952" spans="1:70" outlineLevel="1" x14ac:dyDescent="0.5">
      <c r="A952" s="132" t="s">
        <v>448</v>
      </c>
      <c r="B952" s="1"/>
      <c r="C952" s="2"/>
      <c r="D952" s="1"/>
      <c r="E952" s="45"/>
      <c r="F952" s="53"/>
      <c r="G952" s="11"/>
      <c r="H952" s="11"/>
      <c r="I952" s="11"/>
      <c r="J952" s="11"/>
      <c r="K952" s="91"/>
      <c r="L952" s="91"/>
      <c r="M952" s="13"/>
      <c r="N952" s="13"/>
      <c r="O952" s="13"/>
      <c r="P952" s="13"/>
      <c r="Q952" s="13"/>
      <c r="R952" s="119"/>
    </row>
    <row r="953" spans="1:70" x14ac:dyDescent="0.5">
      <c r="A953" s="130">
        <v>195</v>
      </c>
      <c r="B953" s="7" t="s">
        <v>498</v>
      </c>
      <c r="C953" s="7" t="s">
        <v>499</v>
      </c>
      <c r="D953" s="8" t="s">
        <v>72</v>
      </c>
      <c r="E953" s="43"/>
      <c r="F953" s="51"/>
      <c r="G953" s="9"/>
      <c r="H953" s="129">
        <f>VLOOKUP($A953,'Model Inputs'!$A:$D,4)</f>
        <v>20</v>
      </c>
      <c r="I953" s="9"/>
      <c r="J953" s="9">
        <f>SUBTOTAL(9,J954:J957)</f>
        <v>284.8</v>
      </c>
      <c r="K953" s="89"/>
      <c r="L953" s="89">
        <f>MAX(L954:L957)/workhrs</f>
        <v>8.8888888888888892E-2</v>
      </c>
      <c r="M953" s="9">
        <f>SUBTOTAL(9,M954:M957)</f>
        <v>60.800000000000004</v>
      </c>
      <c r="N953" s="9">
        <f t="shared" ref="N953:Q953" si="104">SUBTOTAL(9,N954:N957)</f>
        <v>0</v>
      </c>
      <c r="O953" s="9">
        <f t="shared" si="104"/>
        <v>224</v>
      </c>
      <c r="P953" s="9">
        <f t="shared" si="104"/>
        <v>0</v>
      </c>
      <c r="Q953" s="9">
        <f t="shared" si="104"/>
        <v>284.8</v>
      </c>
      <c r="R953" s="43"/>
    </row>
    <row r="954" spans="1:70" outlineLevel="1" x14ac:dyDescent="0.5">
      <c r="A954" s="131">
        <v>195.1</v>
      </c>
      <c r="B954" s="14">
        <v>1</v>
      </c>
      <c r="C954" s="15" t="s">
        <v>91</v>
      </c>
      <c r="D954" s="44" t="str">
        <f>VLOOKUP(Estimate!$C954,Resources!$B$3:$G$336,4,FALSE)</f>
        <v xml:space="preserve">hr   </v>
      </c>
      <c r="E954" s="44" t="str">
        <f>VLOOKUP(Estimate!$C954,Resources!$B$3:$G$336,3,FALSE)</f>
        <v>P</v>
      </c>
      <c r="F954" s="52">
        <v>1</v>
      </c>
      <c r="G954" s="129">
        <f>VLOOKUP($A954,'Model Inputs'!$A:$D,4)</f>
        <v>250</v>
      </c>
      <c r="H954" s="12">
        <f>H953*10</f>
        <v>200</v>
      </c>
      <c r="I954" s="12">
        <f>VLOOKUP(C954,Resources!$B$3:$G$336,6,FALSE)</f>
        <v>100</v>
      </c>
      <c r="J954" s="12">
        <f>(H954/(G954/F954))*I954</f>
        <v>80</v>
      </c>
      <c r="K954" s="90">
        <f>L954*F954</f>
        <v>0.8</v>
      </c>
      <c r="L954" s="90">
        <f>IF(E954="M"," ",H954/G954)</f>
        <v>0.8</v>
      </c>
      <c r="M954" s="16">
        <f>IF($E954="L",$J954,0)</f>
        <v>0</v>
      </c>
      <c r="N954" s="16">
        <f>IF($E954="M",$J954,0)</f>
        <v>0</v>
      </c>
      <c r="O954" s="16">
        <f>IF($E954="P",$J954,0)</f>
        <v>80</v>
      </c>
      <c r="P954" s="16">
        <f>IF($E954="S",$J954,0)</f>
        <v>0</v>
      </c>
      <c r="Q954" s="16">
        <f>SUM(M954:P954)</f>
        <v>80</v>
      </c>
      <c r="R954" s="118">
        <v>33</v>
      </c>
    </row>
    <row r="955" spans="1:70" outlineLevel="1" x14ac:dyDescent="0.5">
      <c r="A955" s="131" t="s">
        <v>448</v>
      </c>
      <c r="B955" s="14">
        <v>2</v>
      </c>
      <c r="C955" s="15" t="s">
        <v>66</v>
      </c>
      <c r="D955" s="44" t="str">
        <f>VLOOKUP(Estimate!$C955,Resources!$B$3:$G$336,4,FALSE)</f>
        <v xml:space="preserve">hr   </v>
      </c>
      <c r="E955" s="44" t="str">
        <f>VLOOKUP(Estimate!$C955,Resources!$B$3:$G$336,3,FALSE)</f>
        <v>P</v>
      </c>
      <c r="F955" s="52">
        <v>1</v>
      </c>
      <c r="G955" s="12">
        <f>G954</f>
        <v>250</v>
      </c>
      <c r="H955" s="12">
        <f>H954</f>
        <v>200</v>
      </c>
      <c r="I955" s="12">
        <f>VLOOKUP(C955,Resources!$B$3:$G$336,6,FALSE)</f>
        <v>85</v>
      </c>
      <c r="J955" s="12">
        <f>(H955/(G955/F955))*I955</f>
        <v>68</v>
      </c>
      <c r="K955" s="90">
        <f>L955*F955</f>
        <v>0.8</v>
      </c>
      <c r="L955" s="90">
        <f>IF(E955="M"," ",H955/G955)</f>
        <v>0.8</v>
      </c>
      <c r="M955" s="16">
        <f>IF($E955="L",$J955,0)</f>
        <v>0</v>
      </c>
      <c r="N955" s="16">
        <f>IF($E955="M",$J955,0)</f>
        <v>0</v>
      </c>
      <c r="O955" s="16">
        <f>IF($E955="P",$J955,0)</f>
        <v>68</v>
      </c>
      <c r="P955" s="16">
        <f>IF($E955="S",$J955,0)</f>
        <v>0</v>
      </c>
      <c r="Q955" s="16">
        <f>SUM(M955:P955)</f>
        <v>68</v>
      </c>
      <c r="R955" s="118">
        <v>33</v>
      </c>
    </row>
    <row r="956" spans="1:70" outlineLevel="1" x14ac:dyDescent="0.5">
      <c r="A956" s="131" t="s">
        <v>448</v>
      </c>
      <c r="B956" s="14">
        <v>3</v>
      </c>
      <c r="C956" s="15" t="s">
        <v>49</v>
      </c>
      <c r="D956" s="44" t="str">
        <f>VLOOKUP(Estimate!$C956,Resources!$B$3:$G$336,4,FALSE)</f>
        <v xml:space="preserve">hr   </v>
      </c>
      <c r="E956" s="44" t="str">
        <f>VLOOKUP(Estimate!$C956,Resources!$B$3:$G$336,3,FALSE)</f>
        <v>P</v>
      </c>
      <c r="F956" s="52">
        <v>1</v>
      </c>
      <c r="G956" s="12">
        <f>G954</f>
        <v>250</v>
      </c>
      <c r="H956" s="12">
        <f>H954</f>
        <v>200</v>
      </c>
      <c r="I956" s="12">
        <f>VLOOKUP(C956,Resources!$B$3:$G$336,6,FALSE)</f>
        <v>95</v>
      </c>
      <c r="J956" s="12">
        <f>(H956/(G956/F956))*I956</f>
        <v>76</v>
      </c>
      <c r="K956" s="90">
        <f>L956*F956</f>
        <v>0.8</v>
      </c>
      <c r="L956" s="90">
        <f>IF(E956="M"," ",H956/G956)</f>
        <v>0.8</v>
      </c>
      <c r="M956" s="16">
        <f>IF($E956="L",$J956,0)</f>
        <v>0</v>
      </c>
      <c r="N956" s="16">
        <f>IF($E956="M",$J956,0)</f>
        <v>0</v>
      </c>
      <c r="O956" s="16">
        <f>IF($E956="P",$J956,0)</f>
        <v>76</v>
      </c>
      <c r="P956" s="16">
        <f>IF($E956="S",$J956,0)</f>
        <v>0</v>
      </c>
      <c r="Q956" s="16">
        <f>SUM(M956:P956)</f>
        <v>76</v>
      </c>
      <c r="R956" s="118">
        <v>33</v>
      </c>
    </row>
    <row r="957" spans="1:70" outlineLevel="1" x14ac:dyDescent="0.5">
      <c r="A957" s="131" t="s">
        <v>448</v>
      </c>
      <c r="B957" s="14">
        <v>4</v>
      </c>
      <c r="C957" s="15" t="s">
        <v>7</v>
      </c>
      <c r="D957" s="44" t="str">
        <f>VLOOKUP(Estimate!$C957,Resources!$B$3:$G$336,4,FALSE)</f>
        <v xml:space="preserve">hr   </v>
      </c>
      <c r="E957" s="44" t="str">
        <f>VLOOKUP(Estimate!$C957,Resources!$B$3:$G$336,3,FALSE)</f>
        <v>L</v>
      </c>
      <c r="F957" s="52">
        <v>2</v>
      </c>
      <c r="G957" s="12">
        <f>G954</f>
        <v>250</v>
      </c>
      <c r="H957" s="12">
        <f>H954</f>
        <v>200</v>
      </c>
      <c r="I957" s="12">
        <f>VLOOKUP(C957,Resources!$B$3:$G$336,6,FALSE)</f>
        <v>38</v>
      </c>
      <c r="J957" s="12">
        <f>(H957/(G957/F957))*I957</f>
        <v>60.800000000000004</v>
      </c>
      <c r="K957" s="90">
        <f>L957*F957</f>
        <v>1.6</v>
      </c>
      <c r="L957" s="90">
        <f>IF(E957="M"," ",H957/G957)</f>
        <v>0.8</v>
      </c>
      <c r="M957" s="16">
        <f>IF($E957="L",$J957,0)</f>
        <v>60.800000000000004</v>
      </c>
      <c r="N957" s="16">
        <f>IF($E957="M",$J957,0)</f>
        <v>0</v>
      </c>
      <c r="O957" s="16">
        <f>IF($E957="P",$J957,0)</f>
        <v>0</v>
      </c>
      <c r="P957" s="16">
        <f>IF($E957="S",$J957,0)</f>
        <v>0</v>
      </c>
      <c r="Q957" s="16">
        <f>SUM(M957:P957)</f>
        <v>60.800000000000004</v>
      </c>
      <c r="R957" s="118">
        <v>33</v>
      </c>
    </row>
    <row r="958" spans="1:70" outlineLevel="1" x14ac:dyDescent="0.5">
      <c r="A958" s="132" t="s">
        <v>448</v>
      </c>
      <c r="B958" s="1"/>
      <c r="C958" s="2"/>
      <c r="D958" s="1"/>
      <c r="E958" s="45"/>
      <c r="F958" s="53"/>
      <c r="G958" s="11"/>
      <c r="H958" s="11"/>
      <c r="I958" s="11"/>
      <c r="J958" s="11"/>
      <c r="K958" s="91"/>
      <c r="L958" s="91"/>
      <c r="M958" s="13"/>
      <c r="N958" s="13"/>
      <c r="O958" s="13"/>
      <c r="P958" s="13"/>
      <c r="Q958" s="13"/>
      <c r="R958" s="119"/>
    </row>
    <row r="959" spans="1:70" x14ac:dyDescent="0.5">
      <c r="A959" s="130">
        <v>196</v>
      </c>
      <c r="B959" s="7" t="s">
        <v>534</v>
      </c>
      <c r="C959" s="7" t="s">
        <v>535</v>
      </c>
      <c r="D959" s="8" t="s">
        <v>25</v>
      </c>
      <c r="E959" s="43"/>
      <c r="F959" s="51"/>
      <c r="G959" s="9"/>
      <c r="H959" s="129">
        <f>VLOOKUP($A959,'Model Inputs'!$A:$D,4)</f>
        <v>26</v>
      </c>
      <c r="I959" s="9"/>
      <c r="J959" s="9">
        <f>SUBTOTAL(9,J961:J966)</f>
        <v>4674.4885225738708</v>
      </c>
      <c r="K959" s="89"/>
      <c r="L959" s="89">
        <f>MAX(L961:L966)/workhrs</f>
        <v>0.43331166774994584</v>
      </c>
      <c r="M959" s="9">
        <f>SUBTOTAL(9,M961:M966)</f>
        <v>444.57777111144446</v>
      </c>
      <c r="N959" s="9">
        <f t="shared" ref="N959:Q959" si="105">SUBTOTAL(9,N961:N966)</f>
        <v>3644.94</v>
      </c>
      <c r="O959" s="9">
        <f t="shared" si="105"/>
        <v>584.97075146242685</v>
      </c>
      <c r="P959" s="9">
        <f t="shared" si="105"/>
        <v>0</v>
      </c>
      <c r="Q959" s="9">
        <f t="shared" si="105"/>
        <v>4674.4885225738708</v>
      </c>
      <c r="R959" s="43"/>
    </row>
    <row r="960" spans="1:70" outlineLevel="1" x14ac:dyDescent="0.5">
      <c r="A960" s="132" t="s">
        <v>448</v>
      </c>
      <c r="B960" s="1">
        <v>1</v>
      </c>
      <c r="C960" s="2" t="s">
        <v>635</v>
      </c>
      <c r="D960" s="1"/>
      <c r="E960" s="45"/>
      <c r="F960" s="53"/>
      <c r="G960" s="11"/>
      <c r="H960" s="11"/>
      <c r="I960" s="11"/>
      <c r="J960" s="11"/>
      <c r="K960" s="91"/>
      <c r="L960" s="91"/>
      <c r="M960" s="13"/>
      <c r="N960" s="13"/>
      <c r="O960" s="13"/>
      <c r="P960" s="13"/>
      <c r="Q960" s="13"/>
      <c r="R960" s="119"/>
    </row>
    <row r="961" spans="1:18" outlineLevel="1" x14ac:dyDescent="0.5">
      <c r="A961" s="131" t="s">
        <v>448</v>
      </c>
      <c r="B961" s="14">
        <v>2</v>
      </c>
      <c r="C961" s="15" t="s">
        <v>701</v>
      </c>
      <c r="D961" s="44" t="str">
        <f>VLOOKUP(Estimate!$C961,Resources!$B$3:$G$336,4,FALSE)</f>
        <v xml:space="preserve">m    </v>
      </c>
      <c r="E961" s="44" t="str">
        <f>VLOOKUP(Estimate!$C961,Resources!$B$3:$G$336,3,FALSE)</f>
        <v>M</v>
      </c>
      <c r="F961" s="52">
        <v>1</v>
      </c>
      <c r="G961" s="12">
        <v>1</v>
      </c>
      <c r="H961" s="12">
        <f>H959</f>
        <v>26</v>
      </c>
      <c r="I961" s="12">
        <f>VLOOKUP(C961,Resources!$B$3:$G$336,6,FALSE)</f>
        <v>115.06</v>
      </c>
      <c r="J961" s="12">
        <f>(H961/(G961/F961))*I961</f>
        <v>2991.56</v>
      </c>
      <c r="K961" s="90"/>
      <c r="L961" s="90" t="str">
        <f>IF(E961="M"," ",H961/G961)</f>
        <v xml:space="preserve"> </v>
      </c>
      <c r="M961" s="16">
        <f>IF($E961="L",$J961,0)</f>
        <v>0</v>
      </c>
      <c r="N961" s="16">
        <f>IF($E961="M",$J961,0)</f>
        <v>2991.56</v>
      </c>
      <c r="O961" s="16">
        <f>IF($E961="P",$J961,0)</f>
        <v>0</v>
      </c>
      <c r="P961" s="16">
        <f>IF($E961="S",$J961,0)</f>
        <v>0</v>
      </c>
      <c r="Q961" s="16">
        <f>SUM(M961:P961)</f>
        <v>2991.56</v>
      </c>
      <c r="R961" s="118" t="s">
        <v>960</v>
      </c>
    </row>
    <row r="962" spans="1:18" outlineLevel="1" x14ac:dyDescent="0.5">
      <c r="A962" s="131" t="s">
        <v>448</v>
      </c>
      <c r="B962" s="14">
        <v>3</v>
      </c>
      <c r="C962" s="15" t="s">
        <v>73</v>
      </c>
      <c r="D962" s="44" t="str">
        <f>VLOOKUP(Estimate!$C962,Resources!$B$3:$G$336,4,FALSE)</f>
        <v>tonne</v>
      </c>
      <c r="E962" s="44" t="str">
        <f>VLOOKUP(Estimate!$C962,Resources!$B$3:$G$336,3,FALSE)</f>
        <v>M</v>
      </c>
      <c r="F962" s="52">
        <v>1</v>
      </c>
      <c r="G962" s="12">
        <v>1</v>
      </c>
      <c r="H962" s="12">
        <f>H959*1.4</f>
        <v>36.4</v>
      </c>
      <c r="I962" s="12">
        <f>VLOOKUP(C962,Resources!$B$3:$G$336,6,FALSE)</f>
        <v>17.95</v>
      </c>
      <c r="J962" s="12">
        <f>(H962/(G962/F962))*I962</f>
        <v>653.38</v>
      </c>
      <c r="K962" s="90"/>
      <c r="L962" s="90" t="str">
        <f>IF(E962="M"," ",H962/G962)</f>
        <v xml:space="preserve"> </v>
      </c>
      <c r="M962" s="16">
        <f>IF($E962="L",$J962,0)</f>
        <v>0</v>
      </c>
      <c r="N962" s="16">
        <f>IF($E962="M",$J962,0)</f>
        <v>653.38</v>
      </c>
      <c r="O962" s="16">
        <f>IF($E962="P",$J962,0)</f>
        <v>0</v>
      </c>
      <c r="P962" s="16">
        <f>IF($E962="S",$J962,0)</f>
        <v>0</v>
      </c>
      <c r="Q962" s="16">
        <f>SUM(M962:P962)</f>
        <v>653.38</v>
      </c>
      <c r="R962" s="118" t="s">
        <v>945</v>
      </c>
    </row>
    <row r="963" spans="1:18" outlineLevel="1" x14ac:dyDescent="0.5">
      <c r="A963" s="132" t="s">
        <v>448</v>
      </c>
      <c r="B963" s="1">
        <v>4</v>
      </c>
      <c r="C963" s="2" t="s">
        <v>639</v>
      </c>
      <c r="D963" s="1"/>
      <c r="E963" s="45"/>
      <c r="F963" s="53"/>
      <c r="G963" s="11"/>
      <c r="H963" s="11"/>
      <c r="I963" s="11"/>
      <c r="J963" s="11"/>
      <c r="K963" s="91"/>
      <c r="L963" s="91"/>
      <c r="M963" s="13"/>
      <c r="N963" s="13"/>
      <c r="O963" s="13"/>
      <c r="P963" s="13"/>
      <c r="Q963" s="13"/>
      <c r="R963" s="119"/>
    </row>
    <row r="964" spans="1:18" outlineLevel="1" x14ac:dyDescent="0.5">
      <c r="A964" s="131">
        <v>196.1</v>
      </c>
      <c r="B964" s="14">
        <v>5</v>
      </c>
      <c r="C964" s="15" t="s">
        <v>55</v>
      </c>
      <c r="D964" s="44" t="str">
        <f>VLOOKUP(Estimate!$C964,Resources!$B$3:$G$336,4,FALSE)</f>
        <v xml:space="preserve">hr   </v>
      </c>
      <c r="E964" s="44" t="str">
        <f>VLOOKUP(Estimate!$C964,Resources!$B$3:$G$336,3,FALSE)</f>
        <v>P</v>
      </c>
      <c r="F964" s="52">
        <v>1</v>
      </c>
      <c r="G964" s="129">
        <f>VLOOKUP($A964,'Model Inputs'!$A:$D,4)</f>
        <v>6.6669999999999998</v>
      </c>
      <c r="H964" s="12">
        <f>H959</f>
        <v>26</v>
      </c>
      <c r="I964" s="12">
        <f>VLOOKUP(C964,Resources!$B$3:$G$336,6,FALSE)</f>
        <v>135</v>
      </c>
      <c r="J964" s="12">
        <f>(H964/(G964/F964))*I964</f>
        <v>526.4736763161842</v>
      </c>
      <c r="K964" s="90">
        <f>L964*F964</f>
        <v>3.8998050097495125</v>
      </c>
      <c r="L964" s="90">
        <f>IF(E964="M"," ",H964/G964)</f>
        <v>3.8998050097495125</v>
      </c>
      <c r="M964" s="16">
        <f>IF($E964="L",$J964,0)</f>
        <v>0</v>
      </c>
      <c r="N964" s="16">
        <f>IF($E964="M",$J964,0)</f>
        <v>0</v>
      </c>
      <c r="O964" s="16">
        <f>IF($E964="P",$J964,0)</f>
        <v>526.4736763161842</v>
      </c>
      <c r="P964" s="16">
        <f>IF($E964="S",$J964,0)</f>
        <v>0</v>
      </c>
      <c r="Q964" s="16">
        <f>SUM(M964:P964)</f>
        <v>526.4736763161842</v>
      </c>
      <c r="R964" s="118">
        <v>81</v>
      </c>
    </row>
    <row r="965" spans="1:18" outlineLevel="1" x14ac:dyDescent="0.5">
      <c r="A965" s="131" t="s">
        <v>448</v>
      </c>
      <c r="B965" s="14">
        <v>6</v>
      </c>
      <c r="C965" s="15" t="s">
        <v>7</v>
      </c>
      <c r="D965" s="44" t="str">
        <f>VLOOKUP(Estimate!$C965,Resources!$B$3:$G$336,4,FALSE)</f>
        <v xml:space="preserve">hr   </v>
      </c>
      <c r="E965" s="44" t="str">
        <f>VLOOKUP(Estimate!$C965,Resources!$B$3:$G$336,3,FALSE)</f>
        <v>L</v>
      </c>
      <c r="F965" s="52">
        <v>3</v>
      </c>
      <c r="G965" s="12">
        <f>G964</f>
        <v>6.6669999999999998</v>
      </c>
      <c r="H965" s="12">
        <f>H959</f>
        <v>26</v>
      </c>
      <c r="I965" s="12">
        <f>VLOOKUP(C965,Resources!$B$3:$G$336,6,FALSE)</f>
        <v>38</v>
      </c>
      <c r="J965" s="12">
        <f>(H965/(G965/F965))*I965</f>
        <v>444.57777111144446</v>
      </c>
      <c r="K965" s="90">
        <f>L965*F965</f>
        <v>11.699415029248538</v>
      </c>
      <c r="L965" s="90">
        <f>IF(E965="M"," ",H965/G965)</f>
        <v>3.8998050097495125</v>
      </c>
      <c r="M965" s="16">
        <f>IF($E965="L",$J965,0)</f>
        <v>444.57777111144446</v>
      </c>
      <c r="N965" s="16">
        <f>IF($E965="M",$J965,0)</f>
        <v>0</v>
      </c>
      <c r="O965" s="16">
        <f>IF($E965="P",$J965,0)</f>
        <v>0</v>
      </c>
      <c r="P965" s="16">
        <f>IF($E965="S",$J965,0)</f>
        <v>0</v>
      </c>
      <c r="Q965" s="16">
        <f>SUM(M965:P965)</f>
        <v>444.57777111144446</v>
      </c>
      <c r="R965" s="118">
        <v>81</v>
      </c>
    </row>
    <row r="966" spans="1:18" outlineLevel="1" x14ac:dyDescent="0.5">
      <c r="A966" s="131" t="s">
        <v>448</v>
      </c>
      <c r="B966" s="14">
        <v>7</v>
      </c>
      <c r="C966" s="15" t="s">
        <v>179</v>
      </c>
      <c r="D966" s="44" t="str">
        <f>VLOOKUP(Estimate!$C966,Resources!$B$3:$G$336,4,FALSE)</f>
        <v xml:space="preserve">hr   </v>
      </c>
      <c r="E966" s="44" t="str">
        <f>VLOOKUP(Estimate!$C966,Resources!$B$3:$G$336,3,FALSE)</f>
        <v>P</v>
      </c>
      <c r="F966" s="52">
        <v>1</v>
      </c>
      <c r="G966" s="12">
        <f>G964</f>
        <v>6.6669999999999998</v>
      </c>
      <c r="H966" s="12">
        <f>H959</f>
        <v>26</v>
      </c>
      <c r="I966" s="12">
        <f>VLOOKUP(C966,Resources!$B$3:$G$336,6,FALSE)</f>
        <v>15</v>
      </c>
      <c r="J966" s="12">
        <f>(H966/(G966/F966))*I966</f>
        <v>58.497075146242686</v>
      </c>
      <c r="K966" s="90">
        <f>L966*F966</f>
        <v>3.8998050097495125</v>
      </c>
      <c r="L966" s="90">
        <f>IF(E966="M"," ",H966/G966)</f>
        <v>3.8998050097495125</v>
      </c>
      <c r="M966" s="16">
        <f>IF($E966="L",$J966,0)</f>
        <v>0</v>
      </c>
      <c r="N966" s="16">
        <f>IF($E966="M",$J966,0)</f>
        <v>0</v>
      </c>
      <c r="O966" s="16">
        <f>IF($E966="P",$J966,0)</f>
        <v>58.497075146242686</v>
      </c>
      <c r="P966" s="16">
        <f>IF($E966="S",$J966,0)</f>
        <v>0</v>
      </c>
      <c r="Q966" s="16">
        <f>SUM(M966:P966)</f>
        <v>58.497075146242686</v>
      </c>
      <c r="R966" s="118">
        <v>81</v>
      </c>
    </row>
    <row r="967" spans="1:18" outlineLevel="1" x14ac:dyDescent="0.5">
      <c r="A967" s="132" t="s">
        <v>448</v>
      </c>
      <c r="B967" s="1"/>
      <c r="C967" s="2"/>
      <c r="D967" s="1"/>
      <c r="E967" s="45"/>
      <c r="F967" s="53"/>
      <c r="G967" s="11"/>
      <c r="H967" s="11"/>
      <c r="I967" s="11"/>
      <c r="J967" s="11"/>
      <c r="K967" s="91"/>
      <c r="L967" s="91"/>
      <c r="M967" s="13"/>
      <c r="N967" s="13"/>
      <c r="O967" s="13"/>
      <c r="P967" s="13"/>
      <c r="Q967" s="13"/>
      <c r="R967" s="119"/>
    </row>
    <row r="968" spans="1:18" x14ac:dyDescent="0.5">
      <c r="A968" s="130">
        <v>197</v>
      </c>
      <c r="B968" s="7" t="s">
        <v>516</v>
      </c>
      <c r="C968" s="7" t="s">
        <v>517</v>
      </c>
      <c r="D968" s="8" t="s">
        <v>83</v>
      </c>
      <c r="E968" s="43"/>
      <c r="F968" s="51"/>
      <c r="G968" s="9"/>
      <c r="H968" s="129">
        <f>VLOOKUP($A968,'Model Inputs'!$A:$D,4)</f>
        <v>1800</v>
      </c>
      <c r="I968" s="9"/>
      <c r="J968" s="9">
        <f>SUBTOTAL(9,J969:J972)</f>
        <v>4432</v>
      </c>
      <c r="K968" s="89"/>
      <c r="L968" s="89">
        <f>MAX(L969:L972)/workhrs</f>
        <v>1.3333333333333333</v>
      </c>
      <c r="M968" s="9">
        <f>SUBTOTAL(9,M969:M972)</f>
        <v>912</v>
      </c>
      <c r="N968" s="9">
        <f t="shared" ref="N968:Q968" si="106">SUBTOTAL(9,N969:N972)</f>
        <v>0</v>
      </c>
      <c r="O968" s="9">
        <f t="shared" si="106"/>
        <v>3520</v>
      </c>
      <c r="P968" s="9">
        <f t="shared" si="106"/>
        <v>0</v>
      </c>
      <c r="Q968" s="9">
        <f t="shared" si="106"/>
        <v>4432</v>
      </c>
      <c r="R968" s="43"/>
    </row>
    <row r="969" spans="1:18" outlineLevel="1" x14ac:dyDescent="0.5">
      <c r="A969" s="131">
        <v>197.1</v>
      </c>
      <c r="B969" s="14">
        <v>1</v>
      </c>
      <c r="C969" s="15" t="s">
        <v>96</v>
      </c>
      <c r="D969" s="44" t="str">
        <f>VLOOKUP(Estimate!$C969,Resources!$B$3:$G$336,4,FALSE)</f>
        <v xml:space="preserve">hr   </v>
      </c>
      <c r="E969" s="44" t="str">
        <f>VLOOKUP(Estimate!$C969,Resources!$B$3:$G$336,3,FALSE)</f>
        <v>P</v>
      </c>
      <c r="F969" s="52">
        <v>1</v>
      </c>
      <c r="G969" s="129">
        <f>VLOOKUP($A969,'Model Inputs'!$A:$D,4)</f>
        <v>150</v>
      </c>
      <c r="H969" s="12">
        <f>H968</f>
        <v>1800</v>
      </c>
      <c r="I969" s="12">
        <f>VLOOKUP(C969,Resources!$B$3:$G$336,6,FALSE)</f>
        <v>145</v>
      </c>
      <c r="J969" s="12">
        <f>(H969/(G969/F969))*I969</f>
        <v>1740</v>
      </c>
      <c r="K969" s="90">
        <f>L969*F969</f>
        <v>12</v>
      </c>
      <c r="L969" s="90">
        <f>IF(E969="M"," ",H969/G969)</f>
        <v>12</v>
      </c>
      <c r="M969" s="16">
        <f>IF($E969="L",$J969,0)</f>
        <v>0</v>
      </c>
      <c r="N969" s="16">
        <f>IF($E969="M",$J969,0)</f>
        <v>0</v>
      </c>
      <c r="O969" s="16">
        <f>IF($E969="P",$J969,0)</f>
        <v>1740</v>
      </c>
      <c r="P969" s="16">
        <f>IF($E969="S",$J969,0)</f>
        <v>0</v>
      </c>
      <c r="Q969" s="16">
        <f>SUM(M969:P969)</f>
        <v>1740</v>
      </c>
      <c r="R969" s="118">
        <v>63</v>
      </c>
    </row>
    <row r="970" spans="1:18" outlineLevel="1" x14ac:dyDescent="0.5">
      <c r="A970" s="131" t="s">
        <v>448</v>
      </c>
      <c r="B970" s="14">
        <v>2</v>
      </c>
      <c r="C970" s="15" t="s">
        <v>827</v>
      </c>
      <c r="D970" s="44" t="str">
        <f>VLOOKUP(Estimate!$C970,Resources!$B$3:$G$336,4,FALSE)</f>
        <v xml:space="preserve">day  </v>
      </c>
      <c r="E970" s="44" t="str">
        <f>VLOOKUP(Estimate!$C970,Resources!$B$3:$G$336,3,FALSE)</f>
        <v>P</v>
      </c>
      <c r="F970" s="52">
        <v>1</v>
      </c>
      <c r="G970" s="12">
        <f>G969*9</f>
        <v>1350</v>
      </c>
      <c r="H970" s="12">
        <f>H969</f>
        <v>1800</v>
      </c>
      <c r="I970" s="12">
        <f>VLOOKUP(C970,Resources!$B$3:$G$336,6,FALSE)</f>
        <v>480</v>
      </c>
      <c r="J970" s="12">
        <f>(H970/(G970/F970))*I970</f>
        <v>640</v>
      </c>
      <c r="K970" s="90">
        <f>L970*F970</f>
        <v>1.3333333333333333</v>
      </c>
      <c r="L970" s="90">
        <f>IF(E970="M"," ",H970/G970)</f>
        <v>1.3333333333333333</v>
      </c>
      <c r="M970" s="16">
        <f>IF($E970="L",$J970,0)</f>
        <v>0</v>
      </c>
      <c r="N970" s="16">
        <f>IF($E970="M",$J970,0)</f>
        <v>0</v>
      </c>
      <c r="O970" s="16">
        <f>IF($E970="P",$J970,0)</f>
        <v>640</v>
      </c>
      <c r="P970" s="16">
        <f>IF($E970="S",$J970,0)</f>
        <v>0</v>
      </c>
      <c r="Q970" s="16">
        <f>SUM(M970:P970)</f>
        <v>640</v>
      </c>
      <c r="R970" s="118">
        <v>63</v>
      </c>
    </row>
    <row r="971" spans="1:18" outlineLevel="1" x14ac:dyDescent="0.5">
      <c r="A971" s="131" t="s">
        <v>448</v>
      </c>
      <c r="B971" s="14">
        <v>3</v>
      </c>
      <c r="C971" s="15" t="s">
        <v>60</v>
      </c>
      <c r="D971" s="44" t="str">
        <f>VLOOKUP(Estimate!$C971,Resources!$B$3:$G$336,4,FALSE)</f>
        <v xml:space="preserve">hr   </v>
      </c>
      <c r="E971" s="44" t="str">
        <f>VLOOKUP(Estimate!$C971,Resources!$B$3:$G$336,3,FALSE)</f>
        <v>P</v>
      </c>
      <c r="F971" s="52">
        <v>1</v>
      </c>
      <c r="G971" s="12">
        <f>G969</f>
        <v>150</v>
      </c>
      <c r="H971" s="12">
        <f>H970</f>
        <v>1800</v>
      </c>
      <c r="I971" s="12">
        <f>VLOOKUP(C971,Resources!$B$3:$G$336,6,FALSE)</f>
        <v>95</v>
      </c>
      <c r="J971" s="12">
        <f>(H971/(G971/F971))*I971</f>
        <v>1140</v>
      </c>
      <c r="K971" s="90">
        <f>L971*F971</f>
        <v>12</v>
      </c>
      <c r="L971" s="90">
        <f>IF(E971="M"," ",H971/G971)</f>
        <v>12</v>
      </c>
      <c r="M971" s="16">
        <f>IF($E971="L",$J971,0)</f>
        <v>0</v>
      </c>
      <c r="N971" s="16">
        <f>IF($E971="M",$J971,0)</f>
        <v>0</v>
      </c>
      <c r="O971" s="16">
        <f>IF($E971="P",$J971,0)</f>
        <v>1140</v>
      </c>
      <c r="P971" s="16">
        <f>IF($E971="S",$J971,0)</f>
        <v>0</v>
      </c>
      <c r="Q971" s="16">
        <f>SUM(M971:P971)</f>
        <v>1140</v>
      </c>
      <c r="R971" s="118">
        <v>63</v>
      </c>
    </row>
    <row r="972" spans="1:18" outlineLevel="1" x14ac:dyDescent="0.5">
      <c r="A972" s="131" t="s">
        <v>448</v>
      </c>
      <c r="B972" s="14">
        <v>4</v>
      </c>
      <c r="C972" s="15" t="s">
        <v>7</v>
      </c>
      <c r="D972" s="44" t="str">
        <f>VLOOKUP(Estimate!$C972,Resources!$B$3:$G$336,4,FALSE)</f>
        <v xml:space="preserve">hr   </v>
      </c>
      <c r="E972" s="44" t="str">
        <f>VLOOKUP(Estimate!$C972,Resources!$B$3:$G$336,3,FALSE)</f>
        <v>L</v>
      </c>
      <c r="F972" s="52">
        <v>2</v>
      </c>
      <c r="G972" s="12">
        <f>G969</f>
        <v>150</v>
      </c>
      <c r="H972" s="12">
        <f>H971</f>
        <v>1800</v>
      </c>
      <c r="I972" s="12">
        <f>VLOOKUP(C972,Resources!$B$3:$G$336,6,FALSE)</f>
        <v>38</v>
      </c>
      <c r="J972" s="12">
        <f>(H972/(G972/F972))*I972</f>
        <v>912</v>
      </c>
      <c r="K972" s="90">
        <f>L972*F972</f>
        <v>24</v>
      </c>
      <c r="L972" s="90">
        <f>IF(E972="M"," ",H972/G972)</f>
        <v>12</v>
      </c>
      <c r="M972" s="16">
        <f>IF($E972="L",$J972,0)</f>
        <v>912</v>
      </c>
      <c r="N972" s="16">
        <f>IF($E972="M",$J972,0)</f>
        <v>0</v>
      </c>
      <c r="O972" s="16">
        <f>IF($E972="P",$J972,0)</f>
        <v>0</v>
      </c>
      <c r="P972" s="16">
        <f>IF($E972="S",$J972,0)</f>
        <v>0</v>
      </c>
      <c r="Q972" s="16">
        <f>SUM(M972:P972)</f>
        <v>912</v>
      </c>
      <c r="R972" s="118">
        <v>63</v>
      </c>
    </row>
    <row r="973" spans="1:18" outlineLevel="1" x14ac:dyDescent="0.5">
      <c r="A973" s="132" t="s">
        <v>448</v>
      </c>
      <c r="B973" s="1"/>
      <c r="C973" s="2"/>
      <c r="D973" s="1"/>
      <c r="E973" s="45"/>
      <c r="F973" s="53"/>
      <c r="G973" s="11"/>
      <c r="H973" s="11"/>
      <c r="I973" s="11"/>
      <c r="J973" s="11"/>
      <c r="K973" s="91"/>
      <c r="L973" s="91"/>
      <c r="M973" s="13"/>
      <c r="N973" s="13"/>
      <c r="O973" s="13"/>
      <c r="P973" s="13"/>
      <c r="Q973" s="13"/>
      <c r="R973" s="119"/>
    </row>
    <row r="974" spans="1:18" x14ac:dyDescent="0.5">
      <c r="A974" s="130">
        <v>198</v>
      </c>
      <c r="B974" s="7" t="s">
        <v>530</v>
      </c>
      <c r="C974" s="7" t="s">
        <v>531</v>
      </c>
      <c r="D974" s="8" t="s">
        <v>25</v>
      </c>
      <c r="E974" s="43"/>
      <c r="F974" s="51"/>
      <c r="G974" s="9"/>
      <c r="H974" s="129">
        <f>VLOOKUP($A974,'Model Inputs'!$A:$D,4)</f>
        <v>45</v>
      </c>
      <c r="I974" s="9"/>
      <c r="J974" s="9">
        <f>SUBTOTAL(9,J976:J983)</f>
        <v>1560.2113805723884</v>
      </c>
      <c r="K974" s="89"/>
      <c r="L974" s="89">
        <f>MAX(L976:L983)/workhrs</f>
        <v>0.29999400011999755</v>
      </c>
      <c r="M974" s="9">
        <f>SUBTOTAL(9,M976:M983)</f>
        <v>512.98974020519586</v>
      </c>
      <c r="N974" s="9">
        <f t="shared" ref="N974:Q974" si="107">SUBTOTAL(9,N976:N983)</f>
        <v>129.24</v>
      </c>
      <c r="O974" s="9">
        <f t="shared" si="107"/>
        <v>917.98164036719265</v>
      </c>
      <c r="P974" s="9">
        <f t="shared" si="107"/>
        <v>0</v>
      </c>
      <c r="Q974" s="9">
        <f t="shared" si="107"/>
        <v>1560.2113805723884</v>
      </c>
      <c r="R974" s="43"/>
    </row>
    <row r="975" spans="1:18" outlineLevel="1" x14ac:dyDescent="0.5">
      <c r="A975" s="132" t="s">
        <v>448</v>
      </c>
      <c r="B975" s="1">
        <v>1</v>
      </c>
      <c r="C975" s="2" t="s">
        <v>916</v>
      </c>
      <c r="D975" s="1"/>
      <c r="E975" s="45"/>
      <c r="F975" s="53"/>
      <c r="G975" s="11"/>
      <c r="H975" s="11"/>
      <c r="I975" s="11"/>
      <c r="J975" s="11"/>
      <c r="K975" s="91"/>
      <c r="L975" s="91"/>
      <c r="M975" s="13"/>
      <c r="N975" s="13"/>
      <c r="O975" s="13"/>
      <c r="P975" s="13"/>
      <c r="Q975" s="13"/>
      <c r="R975" s="119"/>
    </row>
    <row r="976" spans="1:18" outlineLevel="1" x14ac:dyDescent="0.5">
      <c r="A976" s="131">
        <v>198.1</v>
      </c>
      <c r="B976" s="14">
        <v>2</v>
      </c>
      <c r="C976" s="15" t="s">
        <v>55</v>
      </c>
      <c r="D976" s="44" t="str">
        <f>VLOOKUP(Estimate!$C976,Resources!$B$3:$G$336,4,FALSE)</f>
        <v xml:space="preserve">hr   </v>
      </c>
      <c r="E976" s="44" t="str">
        <f>VLOOKUP(Estimate!$C976,Resources!$B$3:$G$336,3,FALSE)</f>
        <v>P</v>
      </c>
      <c r="F976" s="52">
        <v>1</v>
      </c>
      <c r="G976" s="129">
        <f>VLOOKUP($A976,'Model Inputs'!$A:$D,4)</f>
        <v>16.667000000000002</v>
      </c>
      <c r="H976" s="12">
        <f>H974</f>
        <v>45</v>
      </c>
      <c r="I976" s="12">
        <f>VLOOKUP(C976,Resources!$B$3:$G$336,6,FALSE)</f>
        <v>135</v>
      </c>
      <c r="J976" s="12">
        <f>(H976/(G976/F976))*I976</f>
        <v>364.49271014579705</v>
      </c>
      <c r="K976" s="90">
        <f>L976*F976</f>
        <v>2.6999460010799781</v>
      </c>
      <c r="L976" s="90">
        <f>IF(E976="M"," ",H976/G976)</f>
        <v>2.6999460010799781</v>
      </c>
      <c r="M976" s="16">
        <f>IF($E976="L",$J976,0)</f>
        <v>0</v>
      </c>
      <c r="N976" s="16">
        <f>IF($E976="M",$J976,0)</f>
        <v>0</v>
      </c>
      <c r="O976" s="16">
        <f>IF($E976="P",$J976,0)</f>
        <v>364.49271014579705</v>
      </c>
      <c r="P976" s="16">
        <f>IF($E976="S",$J976,0)</f>
        <v>0</v>
      </c>
      <c r="Q976" s="16">
        <f>SUM(M976:P976)</f>
        <v>364.49271014579705</v>
      </c>
      <c r="R976" s="118">
        <v>111</v>
      </c>
    </row>
    <row r="977" spans="1:18" outlineLevel="1" x14ac:dyDescent="0.5">
      <c r="A977" s="131" t="s">
        <v>448</v>
      </c>
      <c r="B977" s="14">
        <v>3</v>
      </c>
      <c r="C977" s="15" t="s">
        <v>7</v>
      </c>
      <c r="D977" s="44" t="str">
        <f>VLOOKUP(Estimate!$C977,Resources!$B$3:$G$336,4,FALSE)</f>
        <v xml:space="preserve">hr   </v>
      </c>
      <c r="E977" s="44" t="str">
        <f>VLOOKUP(Estimate!$C977,Resources!$B$3:$G$336,3,FALSE)</f>
        <v>L</v>
      </c>
      <c r="F977" s="52">
        <v>3</v>
      </c>
      <c r="G977" s="12">
        <f>G976</f>
        <v>16.667000000000002</v>
      </c>
      <c r="H977" s="12">
        <f>H974</f>
        <v>45</v>
      </c>
      <c r="I977" s="12">
        <f>VLOOKUP(C977,Resources!$B$3:$G$336,6,FALSE)</f>
        <v>38</v>
      </c>
      <c r="J977" s="12">
        <f>(H977/(G977/F977))*I977</f>
        <v>307.79384412311754</v>
      </c>
      <c r="K977" s="90">
        <f>L977*F977</f>
        <v>8.0998380032399346</v>
      </c>
      <c r="L977" s="90">
        <f>IF(E977="M"," ",H977/G977)</f>
        <v>2.6999460010799781</v>
      </c>
      <c r="M977" s="16">
        <f>IF($E977="L",$J977,0)</f>
        <v>307.79384412311754</v>
      </c>
      <c r="N977" s="16">
        <f>IF($E977="M",$J977,0)</f>
        <v>0</v>
      </c>
      <c r="O977" s="16">
        <f>IF($E977="P",$J977,0)</f>
        <v>0</v>
      </c>
      <c r="P977" s="16">
        <f>IF($E977="S",$J977,0)</f>
        <v>0</v>
      </c>
      <c r="Q977" s="16">
        <f>SUM(M977:P977)</f>
        <v>307.79384412311754</v>
      </c>
      <c r="R977" s="118">
        <v>111</v>
      </c>
    </row>
    <row r="978" spans="1:18" outlineLevel="1" x14ac:dyDescent="0.5">
      <c r="A978" s="131" t="s">
        <v>448</v>
      </c>
      <c r="B978" s="14">
        <v>4</v>
      </c>
      <c r="C978" s="15" t="s">
        <v>73</v>
      </c>
      <c r="D978" s="44" t="str">
        <f>VLOOKUP(Estimate!$C978,Resources!$B$3:$G$336,4,FALSE)</f>
        <v>tonne</v>
      </c>
      <c r="E978" s="44" t="str">
        <f>VLOOKUP(Estimate!$C978,Resources!$B$3:$G$336,3,FALSE)</f>
        <v>M</v>
      </c>
      <c r="F978" s="52">
        <v>1</v>
      </c>
      <c r="G978" s="12">
        <v>1</v>
      </c>
      <c r="H978" s="12">
        <f>H974/6.25</f>
        <v>7.2</v>
      </c>
      <c r="I978" s="12">
        <f>VLOOKUP(C978,Resources!$B$3:$G$336,6,FALSE)</f>
        <v>17.95</v>
      </c>
      <c r="J978" s="12">
        <f>(H978/(G978/F978))*I978</f>
        <v>129.24</v>
      </c>
      <c r="K978" s="90"/>
      <c r="L978" s="90" t="str">
        <f>IF(E978="M"," ",H978/G978)</f>
        <v xml:space="preserve"> </v>
      </c>
      <c r="M978" s="16">
        <f>IF($E978="L",$J978,0)</f>
        <v>0</v>
      </c>
      <c r="N978" s="16">
        <f>IF($E978="M",$J978,0)</f>
        <v>129.24</v>
      </c>
      <c r="O978" s="16">
        <f>IF($E978="P",$J978,0)</f>
        <v>0</v>
      </c>
      <c r="P978" s="16">
        <f>IF($E978="S",$J978,0)</f>
        <v>0</v>
      </c>
      <c r="Q978" s="16">
        <f>SUM(M978:P978)</f>
        <v>129.24</v>
      </c>
      <c r="R978" s="118" t="s">
        <v>945</v>
      </c>
    </row>
    <row r="979" spans="1:18" outlineLevel="1" x14ac:dyDescent="0.5">
      <c r="A979" s="132" t="s">
        <v>448</v>
      </c>
      <c r="B979" s="1">
        <v>5</v>
      </c>
      <c r="C979" s="2" t="s">
        <v>917</v>
      </c>
      <c r="D979" s="1"/>
      <c r="E979" s="45"/>
      <c r="F979" s="53"/>
      <c r="G979" s="11"/>
      <c r="H979" s="11"/>
      <c r="I979" s="11"/>
      <c r="J979" s="11"/>
      <c r="K979" s="91"/>
      <c r="L979" s="91"/>
      <c r="M979" s="13"/>
      <c r="N979" s="13"/>
      <c r="O979" s="13"/>
      <c r="P979" s="13"/>
      <c r="Q979" s="13"/>
      <c r="R979" s="119"/>
    </row>
    <row r="980" spans="1:18" outlineLevel="1" x14ac:dyDescent="0.5">
      <c r="A980" s="131" t="s">
        <v>448</v>
      </c>
      <c r="B980" s="14">
        <v>6</v>
      </c>
      <c r="C980" s="15" t="s">
        <v>49</v>
      </c>
      <c r="D980" s="44" t="str">
        <f>VLOOKUP(Estimate!$C980,Resources!$B$3:$G$336,4,FALSE)</f>
        <v xml:space="preserve">hr   </v>
      </c>
      <c r="E980" s="44" t="str">
        <f>VLOOKUP(Estimate!$C980,Resources!$B$3:$G$336,3,FALSE)</f>
        <v>P</v>
      </c>
      <c r="F980" s="52">
        <v>1</v>
      </c>
      <c r="G980" s="12">
        <f>G976</f>
        <v>16.667000000000002</v>
      </c>
      <c r="H980" s="12">
        <f>H974</f>
        <v>45</v>
      </c>
      <c r="I980" s="12">
        <f>VLOOKUP(C980,Resources!$B$3:$G$336,6,FALSE)</f>
        <v>95</v>
      </c>
      <c r="J980" s="12">
        <f>(H980/(G980/F980))*I980</f>
        <v>256.49487010259793</v>
      </c>
      <c r="K980" s="90">
        <f>L980*F980</f>
        <v>2.6999460010799781</v>
      </c>
      <c r="L980" s="90">
        <f>IF(E980="M"," ",H980/G980)</f>
        <v>2.6999460010799781</v>
      </c>
      <c r="M980" s="16">
        <f>IF($E980="L",$J980,0)</f>
        <v>0</v>
      </c>
      <c r="N980" s="16">
        <f>IF($E980="M",$J980,0)</f>
        <v>0</v>
      </c>
      <c r="O980" s="16">
        <f>IF($E980="P",$J980,0)</f>
        <v>256.49487010259793</v>
      </c>
      <c r="P980" s="16">
        <f>IF($E980="S",$J980,0)</f>
        <v>0</v>
      </c>
      <c r="Q980" s="16">
        <f>SUM(M980:P980)</f>
        <v>256.49487010259793</v>
      </c>
      <c r="R980" s="118">
        <v>111</v>
      </c>
    </row>
    <row r="981" spans="1:18" outlineLevel="1" x14ac:dyDescent="0.5">
      <c r="A981" s="131" t="s">
        <v>448</v>
      </c>
      <c r="B981" s="14">
        <v>7</v>
      </c>
      <c r="C981" s="15" t="s">
        <v>60</v>
      </c>
      <c r="D981" s="44" t="str">
        <f>VLOOKUP(Estimate!$C981,Resources!$B$3:$G$336,4,FALSE)</f>
        <v xml:space="preserve">hr   </v>
      </c>
      <c r="E981" s="44" t="str">
        <f>VLOOKUP(Estimate!$C981,Resources!$B$3:$G$336,3,FALSE)</f>
        <v>P</v>
      </c>
      <c r="F981" s="52">
        <v>1</v>
      </c>
      <c r="G981" s="12">
        <f>G976</f>
        <v>16.667000000000002</v>
      </c>
      <c r="H981" s="12">
        <f>H974</f>
        <v>45</v>
      </c>
      <c r="I981" s="12">
        <f>VLOOKUP(C981,Resources!$B$3:$G$336,6,FALSE)</f>
        <v>95</v>
      </c>
      <c r="J981" s="12">
        <f>(H981/(G981/F981))*I981</f>
        <v>256.49487010259793</v>
      </c>
      <c r="K981" s="90">
        <f>L981*F981</f>
        <v>2.6999460010799781</v>
      </c>
      <c r="L981" s="90">
        <f>IF(E981="M"," ",H981/G981)</f>
        <v>2.6999460010799781</v>
      </c>
      <c r="M981" s="16">
        <f>IF($E981="L",$J981,0)</f>
        <v>0</v>
      </c>
      <c r="N981" s="16">
        <f>IF($E981="M",$J981,0)</f>
        <v>0</v>
      </c>
      <c r="O981" s="16">
        <f>IF($E981="P",$J981,0)</f>
        <v>256.49487010259793</v>
      </c>
      <c r="P981" s="16">
        <f>IF($E981="S",$J981,0)</f>
        <v>0</v>
      </c>
      <c r="Q981" s="16">
        <f>SUM(M981:P981)</f>
        <v>256.49487010259793</v>
      </c>
      <c r="R981" s="118">
        <v>111</v>
      </c>
    </row>
    <row r="982" spans="1:18" outlineLevel="1" x14ac:dyDescent="0.5">
      <c r="A982" s="131" t="s">
        <v>448</v>
      </c>
      <c r="B982" s="14">
        <v>8</v>
      </c>
      <c r="C982" s="15" t="s">
        <v>179</v>
      </c>
      <c r="D982" s="44" t="str">
        <f>VLOOKUP(Estimate!$C982,Resources!$B$3:$G$336,4,FALSE)</f>
        <v xml:space="preserve">hr   </v>
      </c>
      <c r="E982" s="44" t="str">
        <f>VLOOKUP(Estimate!$C982,Resources!$B$3:$G$336,3,FALSE)</f>
        <v>P</v>
      </c>
      <c r="F982" s="52">
        <v>1</v>
      </c>
      <c r="G982" s="12">
        <f>G976</f>
        <v>16.667000000000002</v>
      </c>
      <c r="H982" s="12">
        <f>H974</f>
        <v>45</v>
      </c>
      <c r="I982" s="12">
        <f>VLOOKUP(C982,Resources!$B$3:$G$336,6,FALSE)</f>
        <v>15</v>
      </c>
      <c r="J982" s="12">
        <f>(H982/(G982/F982))*I982</f>
        <v>40.49919001619967</v>
      </c>
      <c r="K982" s="90">
        <f>L982*F982</f>
        <v>2.6999460010799781</v>
      </c>
      <c r="L982" s="90">
        <f>IF(E982="M"," ",H982/G982)</f>
        <v>2.6999460010799781</v>
      </c>
      <c r="M982" s="16">
        <f>IF($E982="L",$J982,0)</f>
        <v>0</v>
      </c>
      <c r="N982" s="16">
        <f>IF($E982="M",$J982,0)</f>
        <v>0</v>
      </c>
      <c r="O982" s="16">
        <f>IF($E982="P",$J982,0)</f>
        <v>40.49919001619967</v>
      </c>
      <c r="P982" s="16">
        <f>IF($E982="S",$J982,0)</f>
        <v>0</v>
      </c>
      <c r="Q982" s="16">
        <f>SUM(M982:P982)</f>
        <v>40.49919001619967</v>
      </c>
      <c r="R982" s="118">
        <v>111</v>
      </c>
    </row>
    <row r="983" spans="1:18" outlineLevel="1" x14ac:dyDescent="0.5">
      <c r="A983" s="131" t="s">
        <v>448</v>
      </c>
      <c r="B983" s="14">
        <v>9</v>
      </c>
      <c r="C983" s="15" t="s">
        <v>7</v>
      </c>
      <c r="D983" s="44" t="str">
        <f>VLOOKUP(Estimate!$C983,Resources!$B$3:$G$336,4,FALSE)</f>
        <v xml:space="preserve">hr   </v>
      </c>
      <c r="E983" s="44" t="str">
        <f>VLOOKUP(Estimate!$C983,Resources!$B$3:$G$336,3,FALSE)</f>
        <v>L</v>
      </c>
      <c r="F983" s="52">
        <v>2</v>
      </c>
      <c r="G983" s="12">
        <f>G976</f>
        <v>16.667000000000002</v>
      </c>
      <c r="H983" s="12">
        <f>H974</f>
        <v>45</v>
      </c>
      <c r="I983" s="12">
        <f>VLOOKUP(C983,Resources!$B$3:$G$336,6,FALSE)</f>
        <v>38</v>
      </c>
      <c r="J983" s="12">
        <f>(H983/(G983/F983))*I983</f>
        <v>205.19589608207832</v>
      </c>
      <c r="K983" s="90">
        <f>L983*F983</f>
        <v>5.3998920021599561</v>
      </c>
      <c r="L983" s="90">
        <f>IF(E983="M"," ",H983/G983)</f>
        <v>2.6999460010799781</v>
      </c>
      <c r="M983" s="16">
        <f>IF($E983="L",$J983,0)</f>
        <v>205.19589608207832</v>
      </c>
      <c r="N983" s="16">
        <f>IF($E983="M",$J983,0)</f>
        <v>0</v>
      </c>
      <c r="O983" s="16">
        <f>IF($E983="P",$J983,0)</f>
        <v>0</v>
      </c>
      <c r="P983" s="16">
        <f>IF($E983="S",$J983,0)</f>
        <v>0</v>
      </c>
      <c r="Q983" s="16">
        <f>SUM(M983:P983)</f>
        <v>205.19589608207832</v>
      </c>
      <c r="R983" s="118">
        <v>111</v>
      </c>
    </row>
    <row r="984" spans="1:18" outlineLevel="1" x14ac:dyDescent="0.5">
      <c r="A984" s="132" t="s">
        <v>448</v>
      </c>
      <c r="B984" s="1"/>
      <c r="C984" s="2"/>
      <c r="D984" s="1"/>
      <c r="E984" s="45"/>
      <c r="F984" s="53"/>
      <c r="G984" s="11"/>
      <c r="H984" s="11"/>
      <c r="I984" s="11"/>
      <c r="J984" s="11"/>
      <c r="K984" s="91"/>
      <c r="L984" s="91"/>
      <c r="M984" s="13"/>
      <c r="N984" s="13"/>
      <c r="O984" s="13"/>
      <c r="P984" s="13"/>
      <c r="Q984" s="13"/>
      <c r="R984" s="119"/>
    </row>
    <row r="985" spans="1:18" x14ac:dyDescent="0.5">
      <c r="A985" s="130">
        <v>199</v>
      </c>
      <c r="B985" s="7" t="s">
        <v>532</v>
      </c>
      <c r="C985" s="7" t="s">
        <v>533</v>
      </c>
      <c r="D985" s="8" t="s">
        <v>25</v>
      </c>
      <c r="E985" s="43"/>
      <c r="F985" s="51"/>
      <c r="G985" s="9"/>
      <c r="H985" s="129">
        <f>VLOOKUP($A985,'Model Inputs'!$A:$D,4)</f>
        <v>45</v>
      </c>
      <c r="I985" s="9"/>
      <c r="J985" s="9">
        <f>SUBTOTAL(9,J986:J988)</f>
        <v>131.53500000000003</v>
      </c>
      <c r="K985" s="89"/>
      <c r="L985" s="89">
        <v>1</v>
      </c>
      <c r="M985" s="9">
        <f>SUBTOTAL(9,M986:M988)</f>
        <v>0</v>
      </c>
      <c r="N985" s="9">
        <f t="shared" ref="N985:Q985" si="108">SUBTOTAL(9,N986:N988)</f>
        <v>131.53500000000003</v>
      </c>
      <c r="O985" s="9">
        <f t="shared" si="108"/>
        <v>0</v>
      </c>
      <c r="P985" s="9">
        <f t="shared" si="108"/>
        <v>0</v>
      </c>
      <c r="Q985" s="9">
        <f t="shared" si="108"/>
        <v>131.53500000000003</v>
      </c>
      <c r="R985" s="43"/>
    </row>
    <row r="986" spans="1:18" outlineLevel="1" x14ac:dyDescent="0.5">
      <c r="A986" s="131" t="s">
        <v>448</v>
      </c>
      <c r="B986" s="14">
        <v>1</v>
      </c>
      <c r="C986" s="15" t="s">
        <v>216</v>
      </c>
      <c r="D986" s="44" t="str">
        <f>VLOOKUP(Estimate!$C986,Resources!$B$3:$G$336,4,FALSE)</f>
        <v xml:space="preserve">m    </v>
      </c>
      <c r="E986" s="44" t="str">
        <f>VLOOKUP(Estimate!$C986,Resources!$B$3:$G$336,3,FALSE)</f>
        <v>M</v>
      </c>
      <c r="F986" s="52">
        <v>1</v>
      </c>
      <c r="G986" s="12">
        <v>1</v>
      </c>
      <c r="H986" s="12">
        <f>H985*1.05</f>
        <v>47.25</v>
      </c>
      <c r="I986" s="12">
        <f>VLOOKUP(C986,Resources!$B$3:$G$336,6,FALSE)</f>
        <v>2.04</v>
      </c>
      <c r="J986" s="12">
        <f>(H986/(G986/F986))*I986</f>
        <v>96.39</v>
      </c>
      <c r="K986" s="90"/>
      <c r="L986" s="90" t="str">
        <f>IF(E986="M"," ",H986/G986)</f>
        <v xml:space="preserve"> </v>
      </c>
      <c r="M986" s="16">
        <f>IF($E986="L",$J986,0)</f>
        <v>0</v>
      </c>
      <c r="N986" s="16">
        <f>IF($E986="M",$J986,0)</f>
        <v>96.39</v>
      </c>
      <c r="O986" s="16">
        <f>IF($E986="P",$J986,0)</f>
        <v>0</v>
      </c>
      <c r="P986" s="16">
        <f>IF($E986="S",$J986,0)</f>
        <v>0</v>
      </c>
      <c r="Q986" s="16">
        <f>SUM(M986:P986)</f>
        <v>96.39</v>
      </c>
      <c r="R986" s="118" t="s">
        <v>964</v>
      </c>
    </row>
    <row r="987" spans="1:18" outlineLevel="1" x14ac:dyDescent="0.5">
      <c r="A987" s="131" t="s">
        <v>448</v>
      </c>
      <c r="B987" s="14">
        <v>2</v>
      </c>
      <c r="C987" s="15" t="s">
        <v>213</v>
      </c>
      <c r="D987" s="44" t="str">
        <f>VLOOKUP(Estimate!$C987,Resources!$B$3:$G$336,4,FALSE)</f>
        <v xml:space="preserve">m    </v>
      </c>
      <c r="E987" s="44" t="str">
        <f>VLOOKUP(Estimate!$C987,Resources!$B$3:$G$336,3,FALSE)</f>
        <v>M</v>
      </c>
      <c r="F987" s="52">
        <v>1</v>
      </c>
      <c r="G987" s="12">
        <v>1</v>
      </c>
      <c r="H987" s="12">
        <f>H985*1.1</f>
        <v>49.500000000000007</v>
      </c>
      <c r="I987" s="12">
        <f>VLOOKUP(C987,Resources!$B$3:$G$336,6,FALSE)</f>
        <v>0.11</v>
      </c>
      <c r="J987" s="12">
        <f>(H987/(G987/F987))*I987</f>
        <v>5.4450000000000012</v>
      </c>
      <c r="K987" s="90"/>
      <c r="L987" s="90" t="str">
        <f>IF(E987="M"," ",H987/G987)</f>
        <v xml:space="preserve"> </v>
      </c>
      <c r="M987" s="16">
        <f>IF($E987="L",$J987,0)</f>
        <v>0</v>
      </c>
      <c r="N987" s="16">
        <f>IF($E987="M",$J987,0)</f>
        <v>5.4450000000000012</v>
      </c>
      <c r="O987" s="16">
        <f>IF($E987="P",$J987,0)</f>
        <v>0</v>
      </c>
      <c r="P987" s="16">
        <f>IF($E987="S",$J987,0)</f>
        <v>0</v>
      </c>
      <c r="Q987" s="16">
        <f>SUM(M987:P987)</f>
        <v>5.4450000000000012</v>
      </c>
      <c r="R987" s="118" t="s">
        <v>965</v>
      </c>
    </row>
    <row r="988" spans="1:18" outlineLevel="1" x14ac:dyDescent="0.5">
      <c r="A988" s="131" t="s">
        <v>448</v>
      </c>
      <c r="B988" s="14">
        <v>3</v>
      </c>
      <c r="C988" s="15" t="s">
        <v>214</v>
      </c>
      <c r="D988" s="44" t="str">
        <f>VLOOKUP(Estimate!$C988,Resources!$B$3:$G$336,4,FALSE)</f>
        <v xml:space="preserve">m    </v>
      </c>
      <c r="E988" s="44" t="str">
        <f>VLOOKUP(Estimate!$C988,Resources!$B$3:$G$336,3,FALSE)</f>
        <v>M</v>
      </c>
      <c r="F988" s="52">
        <v>1</v>
      </c>
      <c r="G988" s="12">
        <v>1</v>
      </c>
      <c r="H988" s="12">
        <f>H985*2</f>
        <v>90</v>
      </c>
      <c r="I988" s="12">
        <f>VLOOKUP(C988,Resources!$B$3:$G$336,6,FALSE)</f>
        <v>0.33</v>
      </c>
      <c r="J988" s="12">
        <f>(H988/(G988/F988))*I988</f>
        <v>29.700000000000003</v>
      </c>
      <c r="K988" s="90"/>
      <c r="L988" s="90" t="str">
        <f>IF(E988="M"," ",H988/G988)</f>
        <v xml:space="preserve"> </v>
      </c>
      <c r="M988" s="16">
        <f>IF($E988="L",$J988,0)</f>
        <v>0</v>
      </c>
      <c r="N988" s="16">
        <f>IF($E988="M",$J988,0)</f>
        <v>29.700000000000003</v>
      </c>
      <c r="O988" s="16">
        <f>IF($E988="P",$J988,0)</f>
        <v>0</v>
      </c>
      <c r="P988" s="16">
        <f>IF($E988="S",$J988,0)</f>
        <v>0</v>
      </c>
      <c r="Q988" s="16">
        <f>SUM(M988:P988)</f>
        <v>29.700000000000003</v>
      </c>
      <c r="R988" s="118" t="s">
        <v>965</v>
      </c>
    </row>
    <row r="989" spans="1:18" outlineLevel="1" x14ac:dyDescent="0.5">
      <c r="A989" s="132" t="s">
        <v>448</v>
      </c>
      <c r="B989" s="1"/>
      <c r="C989" s="2"/>
      <c r="D989" s="1"/>
      <c r="E989" s="45"/>
      <c r="F989" s="53"/>
      <c r="G989" s="11"/>
      <c r="H989" s="11"/>
      <c r="I989" s="11"/>
      <c r="J989" s="11"/>
      <c r="K989" s="91"/>
      <c r="L989" s="91"/>
      <c r="M989" s="13"/>
      <c r="N989" s="13"/>
      <c r="O989" s="13"/>
      <c r="P989" s="13"/>
      <c r="Q989" s="13"/>
      <c r="R989" s="119"/>
    </row>
    <row r="990" spans="1:18" x14ac:dyDescent="0.5">
      <c r="A990" s="130">
        <v>200</v>
      </c>
      <c r="B990" s="7" t="s">
        <v>524</v>
      </c>
      <c r="C990" s="7" t="s">
        <v>525</v>
      </c>
      <c r="D990" s="8" t="s">
        <v>526</v>
      </c>
      <c r="E990" s="43"/>
      <c r="F990" s="51"/>
      <c r="G990" s="9"/>
      <c r="H990" s="129">
        <f>VLOOKUP($A990,'Model Inputs'!$A:$D,4)</f>
        <v>10</v>
      </c>
      <c r="I990" s="9"/>
      <c r="J990" s="9">
        <f>SUBTOTAL(9,J991:J993)</f>
        <v>1546.6666666666667</v>
      </c>
      <c r="K990" s="89"/>
      <c r="L990" s="89">
        <f>H993*0.1/workhrs</f>
        <v>0.1111111111111111</v>
      </c>
      <c r="M990" s="9">
        <f>SUBTOTAL(9,M991:M993)</f>
        <v>380</v>
      </c>
      <c r="N990" s="9">
        <f t="shared" ref="N990:Q990" si="109">SUBTOTAL(9,N991:N993)</f>
        <v>850</v>
      </c>
      <c r="O990" s="9">
        <f t="shared" si="109"/>
        <v>316.66666666666669</v>
      </c>
      <c r="P990" s="9">
        <f t="shared" si="109"/>
        <v>0</v>
      </c>
      <c r="Q990" s="9">
        <f t="shared" si="109"/>
        <v>1546.6666666666667</v>
      </c>
      <c r="R990" s="43"/>
    </row>
    <row r="991" spans="1:18" outlineLevel="1" x14ac:dyDescent="0.5">
      <c r="A991" s="131" t="s">
        <v>448</v>
      </c>
      <c r="B991" s="14">
        <v>1</v>
      </c>
      <c r="C991" s="15" t="s">
        <v>162</v>
      </c>
      <c r="D991" s="44" t="str">
        <f>VLOOKUP(Estimate!$C991,Resources!$B$3:$G$336,4,FALSE)</f>
        <v xml:space="preserve">each </v>
      </c>
      <c r="E991" s="44" t="str">
        <f>VLOOKUP(Estimate!$C991,Resources!$B$3:$G$336,3,FALSE)</f>
        <v>M</v>
      </c>
      <c r="F991" s="52">
        <v>1</v>
      </c>
      <c r="G991" s="12">
        <v>1</v>
      </c>
      <c r="H991" s="12">
        <f>H990</f>
        <v>10</v>
      </c>
      <c r="I991" s="12">
        <f>VLOOKUP(C991,Resources!$B$3:$G$336,6,FALSE)</f>
        <v>85</v>
      </c>
      <c r="J991" s="12">
        <f>(H991/(G991/F991))*I991</f>
        <v>850</v>
      </c>
      <c r="K991" s="90"/>
      <c r="L991" s="90" t="str">
        <f>IF(E991="M"," ",H991/G991)</f>
        <v xml:space="preserve"> </v>
      </c>
      <c r="M991" s="16">
        <f>IF($E991="L",$J991,0)</f>
        <v>0</v>
      </c>
      <c r="N991" s="16">
        <f>IF($E991="M",$J991,0)</f>
        <v>850</v>
      </c>
      <c r="O991" s="16">
        <f>IF($E991="P",$J991,0)</f>
        <v>0</v>
      </c>
      <c r="P991" s="16">
        <f>IF($E991="S",$J991,0)</f>
        <v>0</v>
      </c>
      <c r="Q991" s="16">
        <f>SUM(M991:P991)</f>
        <v>850</v>
      </c>
      <c r="R991" s="118">
        <v>67</v>
      </c>
    </row>
    <row r="992" spans="1:18" outlineLevel="1" x14ac:dyDescent="0.5">
      <c r="A992" s="131" t="s">
        <v>448</v>
      </c>
      <c r="B992" s="14">
        <v>2</v>
      </c>
      <c r="C992" s="15" t="s">
        <v>7</v>
      </c>
      <c r="D992" s="44" t="str">
        <f>VLOOKUP(Estimate!$C992,Resources!$B$3:$G$336,4,FALSE)</f>
        <v xml:space="preserve">hr   </v>
      </c>
      <c r="E992" s="44" t="str">
        <f>VLOOKUP(Estimate!$C992,Resources!$B$3:$G$336,3,FALSE)</f>
        <v>L</v>
      </c>
      <c r="F992" s="52">
        <v>3</v>
      </c>
      <c r="G992" s="12">
        <v>3</v>
      </c>
      <c r="H992" s="12">
        <f>H991</f>
        <v>10</v>
      </c>
      <c r="I992" s="12">
        <f>VLOOKUP(C992,Resources!$B$3:$G$336,6,FALSE)</f>
        <v>38</v>
      </c>
      <c r="J992" s="12">
        <f>(H992/(G992/F992))*I992</f>
        <v>380</v>
      </c>
      <c r="K992" s="90">
        <f>L992*F992</f>
        <v>10</v>
      </c>
      <c r="L992" s="90">
        <f>IF(E992="M"," ",H992/G992)</f>
        <v>3.3333333333333335</v>
      </c>
      <c r="M992" s="16">
        <f>IF($E992="L",$J992,0)</f>
        <v>380</v>
      </c>
      <c r="N992" s="16">
        <f>IF($E992="M",$J992,0)</f>
        <v>0</v>
      </c>
      <c r="O992" s="16">
        <f>IF($E992="P",$J992,0)</f>
        <v>0</v>
      </c>
      <c r="P992" s="16">
        <f>IF($E992="S",$J992,0)</f>
        <v>0</v>
      </c>
      <c r="Q992" s="16">
        <f>SUM(M992:P992)</f>
        <v>380</v>
      </c>
      <c r="R992" s="118">
        <v>67</v>
      </c>
    </row>
    <row r="993" spans="1:18" outlineLevel="1" x14ac:dyDescent="0.5">
      <c r="A993" s="131" t="s">
        <v>448</v>
      </c>
      <c r="B993" s="14">
        <v>3</v>
      </c>
      <c r="C993" s="15" t="s">
        <v>49</v>
      </c>
      <c r="D993" s="44" t="str">
        <f>VLOOKUP(Estimate!$C993,Resources!$B$3:$G$336,4,FALSE)</f>
        <v xml:space="preserve">hr   </v>
      </c>
      <c r="E993" s="44" t="str">
        <f>VLOOKUP(Estimate!$C993,Resources!$B$3:$G$336,3,FALSE)</f>
        <v>P</v>
      </c>
      <c r="F993" s="52">
        <v>1</v>
      </c>
      <c r="G993" s="12">
        <v>3</v>
      </c>
      <c r="H993" s="12">
        <f>H992</f>
        <v>10</v>
      </c>
      <c r="I993" s="12">
        <f>VLOOKUP(C993,Resources!$B$3:$G$336,6,FALSE)</f>
        <v>95</v>
      </c>
      <c r="J993" s="12">
        <f>(H993/(G993/F993))*I993</f>
        <v>316.66666666666669</v>
      </c>
      <c r="K993" s="90">
        <f>L993*F993</f>
        <v>3.3333333333333335</v>
      </c>
      <c r="L993" s="90">
        <f>IF(E993="M"," ",H993/G993)</f>
        <v>3.3333333333333335</v>
      </c>
      <c r="M993" s="16">
        <f>IF($E993="L",$J993,0)</f>
        <v>0</v>
      </c>
      <c r="N993" s="16">
        <f>IF($E993="M",$J993,0)</f>
        <v>0</v>
      </c>
      <c r="O993" s="16">
        <f>IF($E993="P",$J993,0)</f>
        <v>316.66666666666669</v>
      </c>
      <c r="P993" s="16">
        <f>IF($E993="S",$J993,0)</f>
        <v>0</v>
      </c>
      <c r="Q993" s="16">
        <f>SUM(M993:P993)</f>
        <v>316.66666666666669</v>
      </c>
      <c r="R993" s="118">
        <v>67</v>
      </c>
    </row>
    <row r="994" spans="1:18" outlineLevel="1" x14ac:dyDescent="0.5">
      <c r="A994" s="132" t="s">
        <v>448</v>
      </c>
      <c r="B994" s="1"/>
      <c r="C994" s="2"/>
      <c r="D994" s="1"/>
      <c r="E994" s="45"/>
      <c r="F994" s="53"/>
      <c r="G994" s="11"/>
      <c r="H994" s="11"/>
      <c r="I994" s="11"/>
      <c r="J994" s="11"/>
      <c r="K994" s="91"/>
      <c r="L994" s="91"/>
      <c r="M994" s="13"/>
      <c r="N994" s="13"/>
      <c r="O994" s="13"/>
      <c r="P994" s="13"/>
      <c r="Q994" s="13"/>
      <c r="R994" s="119"/>
    </row>
    <row r="995" spans="1:18" x14ac:dyDescent="0.5">
      <c r="A995" s="130">
        <v>201</v>
      </c>
      <c r="B995" s="7" t="s">
        <v>527</v>
      </c>
      <c r="C995" s="7" t="s">
        <v>528</v>
      </c>
      <c r="D995" s="8" t="s">
        <v>25</v>
      </c>
      <c r="E995" s="43"/>
      <c r="F995" s="51"/>
      <c r="G995" s="9"/>
      <c r="H995" s="129">
        <f>VLOOKUP($A995,'Model Inputs'!$A:$D,4)</f>
        <v>31</v>
      </c>
      <c r="I995" s="9"/>
      <c r="J995" s="9">
        <f>SUBTOTAL(9,J996)</f>
        <v>836.53500000000008</v>
      </c>
      <c r="K995" s="89"/>
      <c r="L995" s="89">
        <f>18/workhrs</f>
        <v>2</v>
      </c>
      <c r="M995" s="9">
        <f>SUBTOTAL(9,M996)</f>
        <v>0</v>
      </c>
      <c r="N995" s="9">
        <f t="shared" ref="N995:Q995" si="110">SUBTOTAL(9,N996)</f>
        <v>0</v>
      </c>
      <c r="O995" s="9">
        <f t="shared" si="110"/>
        <v>0</v>
      </c>
      <c r="P995" s="9">
        <f t="shared" si="110"/>
        <v>836.53500000000008</v>
      </c>
      <c r="Q995" s="9">
        <f t="shared" si="110"/>
        <v>836.53500000000008</v>
      </c>
      <c r="R995" s="43"/>
    </row>
    <row r="996" spans="1:18" outlineLevel="1" x14ac:dyDescent="0.5">
      <c r="A996" s="131" t="s">
        <v>448</v>
      </c>
      <c r="B996" s="14">
        <v>1</v>
      </c>
      <c r="C996" s="15" t="s">
        <v>302</v>
      </c>
      <c r="D996" s="44" t="str">
        <f>VLOOKUP(Estimate!$C996,Resources!$B$3:$G$336,4,FALSE)</f>
        <v xml:space="preserve">m    </v>
      </c>
      <c r="E996" s="44" t="str">
        <f>VLOOKUP(Estimate!$C996,Resources!$B$3:$G$336,3,FALSE)</f>
        <v>S</v>
      </c>
      <c r="F996" s="52">
        <v>1</v>
      </c>
      <c r="G996" s="12">
        <v>1</v>
      </c>
      <c r="H996" s="12">
        <f>H995*1.05</f>
        <v>32.550000000000004</v>
      </c>
      <c r="I996" s="12">
        <f>VLOOKUP(C996,Resources!$B$3:$G$336,6,FALSE)</f>
        <v>25.7</v>
      </c>
      <c r="J996" s="12">
        <f>(H996/(G996/F996))*I996</f>
        <v>836.53500000000008</v>
      </c>
      <c r="K996" s="90"/>
      <c r="L996" s="90">
        <f>IF(E996="M"," ",H996/G996)</f>
        <v>32.550000000000004</v>
      </c>
      <c r="M996" s="16">
        <f>IF($E996="L",$J996,0)</f>
        <v>0</v>
      </c>
      <c r="N996" s="16">
        <f>IF($E996="M",$J996,0)</f>
        <v>0</v>
      </c>
      <c r="O996" s="16">
        <f>IF($E996="P",$J996,0)</f>
        <v>0</v>
      </c>
      <c r="P996" s="16">
        <f>IF($E996="S",$J996,0)</f>
        <v>836.53500000000008</v>
      </c>
      <c r="Q996" s="16">
        <f>SUM(M996:P996)</f>
        <v>836.53500000000008</v>
      </c>
      <c r="R996" s="118">
        <v>131</v>
      </c>
    </row>
    <row r="997" spans="1:18" outlineLevel="1" x14ac:dyDescent="0.5">
      <c r="A997" s="132" t="s">
        <v>448</v>
      </c>
      <c r="B997" s="1"/>
      <c r="C997" s="2"/>
      <c r="D997" s="1"/>
      <c r="E997" s="45"/>
      <c r="F997" s="53"/>
      <c r="G997" s="11"/>
      <c r="H997" s="11"/>
      <c r="I997" s="11"/>
      <c r="J997" s="11"/>
      <c r="K997" s="91"/>
      <c r="L997" s="91"/>
      <c r="M997" s="13"/>
      <c r="N997" s="13"/>
      <c r="O997" s="13"/>
      <c r="P997" s="13"/>
      <c r="Q997" s="13"/>
      <c r="R997" s="119"/>
    </row>
    <row r="998" spans="1:18" x14ac:dyDescent="0.5">
      <c r="A998" s="130">
        <v>202</v>
      </c>
      <c r="B998" s="7" t="s">
        <v>508</v>
      </c>
      <c r="C998" s="7" t="s">
        <v>509</v>
      </c>
      <c r="D998" s="8" t="s">
        <v>79</v>
      </c>
      <c r="E998" s="43"/>
      <c r="F998" s="51"/>
      <c r="G998" s="9"/>
      <c r="H998" s="129">
        <f>VLOOKUP($A998,'Model Inputs'!$A:$D,4)</f>
        <v>1</v>
      </c>
      <c r="I998" s="9"/>
      <c r="J998" s="9">
        <f>SUBTOTAL(9,J999:J1001)</f>
        <v>2107.1999999999998</v>
      </c>
      <c r="K998" s="89"/>
      <c r="L998" s="89">
        <f>H1001/workhrs</f>
        <v>1.3333333333333333</v>
      </c>
      <c r="M998" s="9">
        <f>SUBTOTAL(9,M999:M1001)</f>
        <v>456</v>
      </c>
      <c r="N998" s="9">
        <f t="shared" ref="N998:Q998" si="111">SUBTOTAL(9,N999:N1001)</f>
        <v>1651.2</v>
      </c>
      <c r="O998" s="9">
        <f t="shared" si="111"/>
        <v>0</v>
      </c>
      <c r="P998" s="9">
        <f t="shared" si="111"/>
        <v>0</v>
      </c>
      <c r="Q998" s="9">
        <f t="shared" si="111"/>
        <v>2107.1999999999998</v>
      </c>
      <c r="R998" s="43"/>
    </row>
    <row r="999" spans="1:18" outlineLevel="1" x14ac:dyDescent="0.5">
      <c r="A999" s="131" t="s">
        <v>448</v>
      </c>
      <c r="B999" s="14">
        <v>1</v>
      </c>
      <c r="C999" s="15" t="s">
        <v>198</v>
      </c>
      <c r="D999" s="44" t="str">
        <f>VLOOKUP(Estimate!$C999,Resources!$B$3:$G$336,4,FALSE)</f>
        <v xml:space="preserve">Item </v>
      </c>
      <c r="E999" s="44" t="str">
        <f>VLOOKUP(Estimate!$C999,Resources!$B$3:$G$336,3,FALSE)</f>
        <v>M</v>
      </c>
      <c r="F999" s="52">
        <f>H998</f>
        <v>1</v>
      </c>
      <c r="G999" s="12">
        <v>1</v>
      </c>
      <c r="H999" s="12">
        <v>1</v>
      </c>
      <c r="I999" s="12">
        <f>VLOOKUP(C999,Resources!$B$3:$G$336,6,FALSE)</f>
        <v>1484</v>
      </c>
      <c r="J999" s="12">
        <f>(H999/(G999/F999))*I999</f>
        <v>1484</v>
      </c>
      <c r="K999" s="90"/>
      <c r="L999" s="90" t="str">
        <f>IF(E999="M"," ",H999/G999)</f>
        <v xml:space="preserve"> </v>
      </c>
      <c r="M999" s="16">
        <f>IF($E999="L",$J999,0)</f>
        <v>0</v>
      </c>
      <c r="N999" s="16">
        <f>IF($E999="M",$J999,0)</f>
        <v>1484</v>
      </c>
      <c r="O999" s="16">
        <f>IF($E999="P",$J999,0)</f>
        <v>0</v>
      </c>
      <c r="P999" s="16">
        <f>IF($E999="S",$J999,0)</f>
        <v>0</v>
      </c>
      <c r="Q999" s="16">
        <f>SUM(M999:P999)</f>
        <v>1484</v>
      </c>
      <c r="R999" s="118" t="s">
        <v>961</v>
      </c>
    </row>
    <row r="1000" spans="1:18" outlineLevel="1" x14ac:dyDescent="0.5">
      <c r="A1000" s="131" t="s">
        <v>448</v>
      </c>
      <c r="B1000" s="14">
        <v>2</v>
      </c>
      <c r="C1000" s="15" t="s">
        <v>148</v>
      </c>
      <c r="D1000" s="44" t="str">
        <f>VLOOKUP(Estimate!$C1000,Resources!$B$3:$G$336,4,FALSE)</f>
        <v xml:space="preserve">m³   </v>
      </c>
      <c r="E1000" s="44" t="str">
        <f>VLOOKUP(Estimate!$C1000,Resources!$B$3:$G$336,3,FALSE)</f>
        <v>M</v>
      </c>
      <c r="F1000" s="52">
        <f>F999</f>
        <v>1</v>
      </c>
      <c r="G1000" s="12">
        <v>1</v>
      </c>
      <c r="H1000" s="12">
        <v>1</v>
      </c>
      <c r="I1000" s="12">
        <f>VLOOKUP(C1000,Resources!$B$3:$G$336,6,FALSE)</f>
        <v>167.2</v>
      </c>
      <c r="J1000" s="12">
        <f>(H1000/(G1000/F1000))*I1000</f>
        <v>167.2</v>
      </c>
      <c r="K1000" s="90"/>
      <c r="L1000" s="90" t="str">
        <f>IF(E1000="M"," ",H1000/G1000)</f>
        <v xml:space="preserve"> </v>
      </c>
      <c r="M1000" s="16">
        <f>IF($E1000="L",$J1000,0)</f>
        <v>0</v>
      </c>
      <c r="N1000" s="16">
        <f>IF($E1000="M",$J1000,0)</f>
        <v>167.2</v>
      </c>
      <c r="O1000" s="16">
        <f>IF($E1000="P",$J1000,0)</f>
        <v>0</v>
      </c>
      <c r="P1000" s="16">
        <f>IF($E1000="S",$J1000,0)</f>
        <v>0</v>
      </c>
      <c r="Q1000" s="16">
        <f>SUM(M1000:P1000)</f>
        <v>167.2</v>
      </c>
      <c r="R1000" s="118" t="s">
        <v>957</v>
      </c>
    </row>
    <row r="1001" spans="1:18" outlineLevel="1" x14ac:dyDescent="0.5">
      <c r="A1001" s="131" t="s">
        <v>448</v>
      </c>
      <c r="B1001" s="14">
        <v>3</v>
      </c>
      <c r="C1001" s="15" t="s">
        <v>7</v>
      </c>
      <c r="D1001" s="44" t="str">
        <f>VLOOKUP(Estimate!$C1001,Resources!$B$3:$G$336,4,FALSE)</f>
        <v xml:space="preserve">hr   </v>
      </c>
      <c r="E1001" s="44" t="str">
        <f>VLOOKUP(Estimate!$C1001,Resources!$B$3:$G$336,3,FALSE)</f>
        <v>L</v>
      </c>
      <c r="F1001" s="52">
        <f>F1000</f>
        <v>1</v>
      </c>
      <c r="G1001" s="12">
        <v>1</v>
      </c>
      <c r="H1001" s="12">
        <v>12</v>
      </c>
      <c r="I1001" s="12">
        <f>VLOOKUP(C1001,Resources!$B$3:$G$336,6,FALSE)</f>
        <v>38</v>
      </c>
      <c r="J1001" s="12">
        <f>(H1001/(G1001/F1001))*I1001</f>
        <v>456</v>
      </c>
      <c r="K1001" s="90">
        <f>L1001*F1001</f>
        <v>12</v>
      </c>
      <c r="L1001" s="90">
        <f>IF(E1001="M"," ",H1001/G1001)</f>
        <v>12</v>
      </c>
      <c r="M1001" s="16">
        <f>IF($E1001="L",$J1001,0)</f>
        <v>456</v>
      </c>
      <c r="N1001" s="16">
        <f>IF($E1001="M",$J1001,0)</f>
        <v>0</v>
      </c>
      <c r="O1001" s="16">
        <f>IF($E1001="P",$J1001,0)</f>
        <v>0</v>
      </c>
      <c r="P1001" s="16">
        <f>IF($E1001="S",$J1001,0)</f>
        <v>0</v>
      </c>
      <c r="Q1001" s="16">
        <f>SUM(M1001:P1001)</f>
        <v>456</v>
      </c>
      <c r="R1001" s="118">
        <v>85</v>
      </c>
    </row>
    <row r="1002" spans="1:18" outlineLevel="1" x14ac:dyDescent="0.5">
      <c r="A1002" s="132" t="s">
        <v>448</v>
      </c>
      <c r="B1002" s="1"/>
      <c r="C1002" s="2"/>
      <c r="D1002" s="1"/>
      <c r="E1002" s="45"/>
      <c r="F1002" s="53"/>
      <c r="G1002" s="11"/>
      <c r="H1002" s="11"/>
      <c r="I1002" s="11"/>
      <c r="J1002" s="11"/>
      <c r="K1002" s="91"/>
      <c r="L1002" s="91"/>
      <c r="M1002" s="13"/>
      <c r="N1002" s="13"/>
      <c r="O1002" s="13"/>
      <c r="P1002" s="13"/>
      <c r="Q1002" s="13"/>
      <c r="R1002" s="119"/>
    </row>
    <row r="1003" spans="1:18" x14ac:dyDescent="0.5">
      <c r="A1003" s="130">
        <v>203</v>
      </c>
      <c r="B1003" s="7" t="s">
        <v>529</v>
      </c>
      <c r="C1003" s="7" t="s">
        <v>968</v>
      </c>
      <c r="D1003" s="8" t="s">
        <v>79</v>
      </c>
      <c r="E1003" s="43"/>
      <c r="F1003" s="51"/>
      <c r="G1003" s="9"/>
      <c r="H1003" s="129">
        <f>VLOOKUP($A1003,'Model Inputs'!$A:$D,4)</f>
        <v>0.21739130434782611</v>
      </c>
      <c r="I1003" s="9"/>
      <c r="J1003" s="9">
        <f>SUBTOTAL(9,J1004)</f>
        <v>1665.217391304348</v>
      </c>
      <c r="K1003" s="89"/>
      <c r="L1003" s="89">
        <f>3/workhrs</f>
        <v>0.33333333333333331</v>
      </c>
      <c r="M1003" s="9">
        <f>SUBTOTAL(9,M1004)</f>
        <v>0</v>
      </c>
      <c r="N1003" s="9">
        <f t="shared" ref="N1003:Q1003" si="112">SUBTOTAL(9,N1004)</f>
        <v>0</v>
      </c>
      <c r="O1003" s="9">
        <f t="shared" si="112"/>
        <v>0</v>
      </c>
      <c r="P1003" s="9">
        <f t="shared" si="112"/>
        <v>1665.217391304348</v>
      </c>
      <c r="Q1003" s="9">
        <f t="shared" si="112"/>
        <v>1665.217391304348</v>
      </c>
      <c r="R1003" s="43"/>
    </row>
    <row r="1004" spans="1:18" outlineLevel="1" x14ac:dyDescent="0.5">
      <c r="A1004" s="131" t="s">
        <v>448</v>
      </c>
      <c r="B1004" s="14">
        <v>1</v>
      </c>
      <c r="C1004" s="15" t="s">
        <v>172</v>
      </c>
      <c r="D1004" s="44" t="str">
        <f>VLOOKUP(Estimate!$C1004,Resources!$B$3:$G$336,4,FALSE)</f>
        <v xml:space="preserve">m²   </v>
      </c>
      <c r="E1004" s="44" t="str">
        <f>VLOOKUP(Estimate!$C1004,Resources!$B$3:$G$336,3,FALSE)</f>
        <v>S</v>
      </c>
      <c r="F1004" s="52">
        <v>1</v>
      </c>
      <c r="G1004" s="12">
        <v>1</v>
      </c>
      <c r="H1004" s="12">
        <f>H1003</f>
        <v>0.21739130434782611</v>
      </c>
      <c r="I1004" s="12">
        <f>VLOOKUP(C1004,Resources!$B$3:$G$336,6,FALSE)</f>
        <v>7660</v>
      </c>
      <c r="J1004" s="12">
        <f>(H1004/(G1004/F1004))*I1004</f>
        <v>1665.217391304348</v>
      </c>
      <c r="K1004" s="90"/>
      <c r="L1004" s="90">
        <f>IF(E1004="M"," ",H1004/G1004)</f>
        <v>0.21739130434782611</v>
      </c>
      <c r="M1004" s="16">
        <f>IF($E1004="L",$J1004,0)</f>
        <v>0</v>
      </c>
      <c r="N1004" s="16">
        <f>IF($E1004="M",$J1004,0)</f>
        <v>0</v>
      </c>
      <c r="O1004" s="16">
        <f>IF($E1004="P",$J1004,0)</f>
        <v>0</v>
      </c>
      <c r="P1004" s="16">
        <f>IF($E1004="S",$J1004,0)</f>
        <v>1665.217391304348</v>
      </c>
      <c r="Q1004" s="16">
        <f>SUM(M1004:P1004)</f>
        <v>1665.217391304348</v>
      </c>
      <c r="R1004" s="118">
        <v>66</v>
      </c>
    </row>
    <row r="1005" spans="1:18" outlineLevel="1" x14ac:dyDescent="0.5">
      <c r="A1005" s="132" t="s">
        <v>448</v>
      </c>
      <c r="B1005" s="1"/>
      <c r="C1005" s="2"/>
      <c r="D1005" s="1"/>
      <c r="E1005" s="45"/>
      <c r="F1005" s="53"/>
      <c r="G1005" s="11"/>
      <c r="H1005" s="11"/>
      <c r="I1005" s="11"/>
      <c r="J1005" s="11"/>
      <c r="K1005" s="91"/>
      <c r="L1005" s="91"/>
      <c r="M1005" s="13"/>
      <c r="N1005" s="13"/>
      <c r="O1005" s="13"/>
      <c r="P1005" s="13"/>
      <c r="Q1005" s="13"/>
      <c r="R1005" s="119"/>
    </row>
    <row r="1006" spans="1:18" x14ac:dyDescent="0.5">
      <c r="A1006" s="130">
        <v>204</v>
      </c>
      <c r="B1006" s="7" t="s">
        <v>536</v>
      </c>
      <c r="C1006" s="7" t="s">
        <v>537</v>
      </c>
      <c r="D1006" s="8" t="s">
        <v>451</v>
      </c>
      <c r="E1006" s="43"/>
      <c r="F1006" s="51"/>
      <c r="G1006" s="9"/>
      <c r="H1006" s="129">
        <f>VLOOKUP($A1006,'Model Inputs'!$A:$D,4)</f>
        <v>1</v>
      </c>
      <c r="I1006" s="9"/>
      <c r="J1006" s="9">
        <f>SUBTOTAL(9,J1008:J1024)</f>
        <v>41486.613091766711</v>
      </c>
      <c r="K1006" s="89"/>
      <c r="L1006" s="89">
        <f>MAX(L1007,L1013)</f>
        <v>4.9666666666666668</v>
      </c>
      <c r="M1006" s="9">
        <f>SUBTOTAL(9,M1008:M1024)</f>
        <v>3418.4303502120629</v>
      </c>
      <c r="N1006" s="9">
        <f t="shared" ref="N1006:Q1006" si="113">SUBTOTAL(9,N1008:N1024)</f>
        <v>0</v>
      </c>
      <c r="O1006" s="9">
        <f t="shared" si="113"/>
        <v>38068.18274155465</v>
      </c>
      <c r="P1006" s="9">
        <f t="shared" si="113"/>
        <v>0</v>
      </c>
      <c r="Q1006" s="9">
        <f t="shared" si="113"/>
        <v>41486.613091766711</v>
      </c>
      <c r="R1006" s="117"/>
    </row>
    <row r="1007" spans="1:18" x14ac:dyDescent="0.5">
      <c r="A1007" s="130">
        <v>205</v>
      </c>
      <c r="B1007" s="7" t="s">
        <v>539</v>
      </c>
      <c r="C1007" s="7" t="s">
        <v>540</v>
      </c>
      <c r="D1007" s="8" t="s">
        <v>72</v>
      </c>
      <c r="E1007" s="43"/>
      <c r="F1007" s="51"/>
      <c r="G1007" s="9"/>
      <c r="H1007" s="129">
        <f>VLOOKUP($A1007,'Model Inputs'!$A:$D,4)</f>
        <v>1341</v>
      </c>
      <c r="I1007" s="9"/>
      <c r="J1007" s="9">
        <f>SUBTOTAL(9,J1008:J1011)</f>
        <v>23378.1</v>
      </c>
      <c r="K1007" s="89"/>
      <c r="L1007" s="89">
        <f>MAX(L1008:L1011)/workhrs</f>
        <v>4.9666666666666668</v>
      </c>
      <c r="M1007" s="9">
        <f>SUBTOTAL(9,M1008:M1011)</f>
        <v>1698.6000000000001</v>
      </c>
      <c r="N1007" s="9">
        <f t="shared" ref="N1007:Q1007" si="114">SUBTOTAL(9,N1008:N1011)</f>
        <v>0</v>
      </c>
      <c r="O1007" s="9">
        <f t="shared" si="114"/>
        <v>21679.5</v>
      </c>
      <c r="P1007" s="9">
        <f t="shared" si="114"/>
        <v>0</v>
      </c>
      <c r="Q1007" s="9">
        <f t="shared" si="114"/>
        <v>23378.1</v>
      </c>
      <c r="R1007" s="43"/>
    </row>
    <row r="1008" spans="1:18" outlineLevel="1" x14ac:dyDescent="0.5">
      <c r="A1008" s="131">
        <v>205.1</v>
      </c>
      <c r="B1008" s="14">
        <v>1</v>
      </c>
      <c r="C1008" s="15" t="s">
        <v>55</v>
      </c>
      <c r="D1008" s="44" t="str">
        <f>VLOOKUP(Estimate!$C1008,Resources!$B$3:$G$336,4,FALSE)</f>
        <v xml:space="preserve">hr   </v>
      </c>
      <c r="E1008" s="44" t="str">
        <f>VLOOKUP(Estimate!$C1008,Resources!$B$3:$G$336,3,FALSE)</f>
        <v>P</v>
      </c>
      <c r="F1008" s="52">
        <v>1</v>
      </c>
      <c r="G1008" s="129">
        <f>VLOOKUP($A1008,'Model Inputs'!$A:$D,4)</f>
        <v>30</v>
      </c>
      <c r="H1008" s="12">
        <f>H1007</f>
        <v>1341</v>
      </c>
      <c r="I1008" s="12">
        <f>VLOOKUP(C1008,Resources!$B$3:$G$336,6,FALSE)</f>
        <v>135</v>
      </c>
      <c r="J1008" s="12">
        <f>(H1008/(G1008/F1008))*I1008</f>
        <v>6034.5</v>
      </c>
      <c r="K1008" s="90">
        <f>L1008*F1008</f>
        <v>44.7</v>
      </c>
      <c r="L1008" s="90">
        <f>IF(E1008="M"," ",H1008/G1008)</f>
        <v>44.7</v>
      </c>
      <c r="M1008" s="16">
        <f>IF($E1008="L",$J1008,0)</f>
        <v>0</v>
      </c>
      <c r="N1008" s="16">
        <f>IF($E1008="M",$J1008,0)</f>
        <v>0</v>
      </c>
      <c r="O1008" s="16">
        <f>IF($E1008="P",$J1008,0)</f>
        <v>6034.5</v>
      </c>
      <c r="P1008" s="16">
        <f>IF($E1008="S",$J1008,0)</f>
        <v>0</v>
      </c>
      <c r="Q1008" s="16">
        <f>SUM(M1008:P1008)</f>
        <v>6034.5</v>
      </c>
      <c r="R1008" s="118">
        <v>53</v>
      </c>
    </row>
    <row r="1009" spans="1:18" outlineLevel="1" x14ac:dyDescent="0.5">
      <c r="A1009" s="131" t="s">
        <v>448</v>
      </c>
      <c r="B1009" s="14">
        <v>2</v>
      </c>
      <c r="C1009" s="15" t="s">
        <v>66</v>
      </c>
      <c r="D1009" s="44" t="str">
        <f>VLOOKUP(Estimate!$C1009,Resources!$B$3:$G$336,4,FALSE)</f>
        <v xml:space="preserve">hr   </v>
      </c>
      <c r="E1009" s="44" t="str">
        <f>VLOOKUP(Estimate!$C1009,Resources!$B$3:$G$336,3,FALSE)</f>
        <v>P</v>
      </c>
      <c r="F1009" s="52">
        <v>3</v>
      </c>
      <c r="G1009" s="12">
        <f>G1008</f>
        <v>30</v>
      </c>
      <c r="H1009" s="12">
        <f>H1007</f>
        <v>1341</v>
      </c>
      <c r="I1009" s="12">
        <f>VLOOKUP(C1009,Resources!$B$3:$G$336,6,FALSE)</f>
        <v>85</v>
      </c>
      <c r="J1009" s="12">
        <f>(H1009/(G1009/F1009))*I1009</f>
        <v>11398.5</v>
      </c>
      <c r="K1009" s="90">
        <f>L1009*F1009</f>
        <v>134.10000000000002</v>
      </c>
      <c r="L1009" s="90">
        <f>IF(E1009="M"," ",H1009/G1009)</f>
        <v>44.7</v>
      </c>
      <c r="M1009" s="16">
        <f>IF($E1009="L",$J1009,0)</f>
        <v>0</v>
      </c>
      <c r="N1009" s="16">
        <f>IF($E1009="M",$J1009,0)</f>
        <v>0</v>
      </c>
      <c r="O1009" s="16">
        <f>IF($E1009="P",$J1009,0)</f>
        <v>11398.5</v>
      </c>
      <c r="P1009" s="16">
        <f>IF($E1009="S",$J1009,0)</f>
        <v>0</v>
      </c>
      <c r="Q1009" s="16">
        <f>SUM(M1009:P1009)</f>
        <v>11398.5</v>
      </c>
      <c r="R1009" s="118">
        <v>53</v>
      </c>
    </row>
    <row r="1010" spans="1:18" outlineLevel="1" x14ac:dyDescent="0.5">
      <c r="A1010" s="131" t="s">
        <v>448</v>
      </c>
      <c r="B1010" s="14">
        <v>3</v>
      </c>
      <c r="C1010" s="15" t="s">
        <v>60</v>
      </c>
      <c r="D1010" s="44" t="str">
        <f>VLOOKUP(Estimate!$C1010,Resources!$B$3:$G$336,4,FALSE)</f>
        <v xml:space="preserve">hr   </v>
      </c>
      <c r="E1010" s="44" t="str">
        <f>VLOOKUP(Estimate!$C1010,Resources!$B$3:$G$336,3,FALSE)</f>
        <v>P</v>
      </c>
      <c r="F1010" s="52">
        <v>1</v>
      </c>
      <c r="G1010" s="12">
        <f>G1008</f>
        <v>30</v>
      </c>
      <c r="H1010" s="12">
        <f>H1007</f>
        <v>1341</v>
      </c>
      <c r="I1010" s="12">
        <f>VLOOKUP(C1010,Resources!$B$3:$G$336,6,FALSE)</f>
        <v>95</v>
      </c>
      <c r="J1010" s="12">
        <f>(H1010/(G1010/F1010))*I1010</f>
        <v>4246.5</v>
      </c>
      <c r="K1010" s="90">
        <f>L1010*F1010</f>
        <v>44.7</v>
      </c>
      <c r="L1010" s="90">
        <f>IF(E1010="M"," ",H1010/G1010)</f>
        <v>44.7</v>
      </c>
      <c r="M1010" s="16">
        <f>IF($E1010="L",$J1010,0)</f>
        <v>0</v>
      </c>
      <c r="N1010" s="16">
        <f>IF($E1010="M",$J1010,0)</f>
        <v>0</v>
      </c>
      <c r="O1010" s="16">
        <f>IF($E1010="P",$J1010,0)</f>
        <v>4246.5</v>
      </c>
      <c r="P1010" s="16">
        <f>IF($E1010="S",$J1010,0)</f>
        <v>0</v>
      </c>
      <c r="Q1010" s="16">
        <f>SUM(M1010:P1010)</f>
        <v>4246.5</v>
      </c>
      <c r="R1010" s="118">
        <v>53</v>
      </c>
    </row>
    <row r="1011" spans="1:18" outlineLevel="1" x14ac:dyDescent="0.5">
      <c r="A1011" s="131" t="s">
        <v>448</v>
      </c>
      <c r="B1011" s="14">
        <v>4</v>
      </c>
      <c r="C1011" s="15" t="s">
        <v>7</v>
      </c>
      <c r="D1011" s="44" t="str">
        <f>VLOOKUP(Estimate!$C1011,Resources!$B$3:$G$336,4,FALSE)</f>
        <v xml:space="preserve">hr   </v>
      </c>
      <c r="E1011" s="44" t="str">
        <f>VLOOKUP(Estimate!$C1011,Resources!$B$3:$G$336,3,FALSE)</f>
        <v>L</v>
      </c>
      <c r="F1011" s="52">
        <v>1</v>
      </c>
      <c r="G1011" s="12">
        <f>G1008</f>
        <v>30</v>
      </c>
      <c r="H1011" s="12">
        <f>H1007</f>
        <v>1341</v>
      </c>
      <c r="I1011" s="12">
        <f>VLOOKUP(C1011,Resources!$B$3:$G$336,6,FALSE)</f>
        <v>38</v>
      </c>
      <c r="J1011" s="12">
        <f>(H1011/(G1011/F1011))*I1011</f>
        <v>1698.6000000000001</v>
      </c>
      <c r="K1011" s="90">
        <f>L1011*F1011</f>
        <v>44.7</v>
      </c>
      <c r="L1011" s="90">
        <f>IF(E1011="M"," ",H1011/G1011)</f>
        <v>44.7</v>
      </c>
      <c r="M1011" s="16">
        <f>IF($E1011="L",$J1011,0)</f>
        <v>1698.6000000000001</v>
      </c>
      <c r="N1011" s="16">
        <f>IF($E1011="M",$J1011,0)</f>
        <v>0</v>
      </c>
      <c r="O1011" s="16">
        <f>IF($E1011="P",$J1011,0)</f>
        <v>0</v>
      </c>
      <c r="P1011" s="16">
        <f>IF($E1011="S",$J1011,0)</f>
        <v>0</v>
      </c>
      <c r="Q1011" s="16">
        <f>SUM(M1011:P1011)</f>
        <v>1698.6000000000001</v>
      </c>
      <c r="R1011" s="118">
        <v>53</v>
      </c>
    </row>
    <row r="1012" spans="1:18" outlineLevel="1" x14ac:dyDescent="0.5">
      <c r="A1012" s="132" t="s">
        <v>448</v>
      </c>
      <c r="B1012" s="1"/>
      <c r="C1012" s="2"/>
      <c r="D1012" s="1"/>
      <c r="E1012" s="45"/>
      <c r="F1012" s="53"/>
      <c r="G1012" s="11"/>
      <c r="H1012" s="11"/>
      <c r="I1012" s="11"/>
      <c r="J1012" s="11"/>
      <c r="K1012" s="91"/>
      <c r="L1012" s="91"/>
      <c r="M1012" s="13"/>
      <c r="N1012" s="13"/>
      <c r="O1012" s="13"/>
      <c r="P1012" s="13"/>
      <c r="Q1012" s="13"/>
      <c r="R1012" s="119"/>
    </row>
    <row r="1013" spans="1:18" x14ac:dyDescent="0.5">
      <c r="A1013" s="130">
        <v>206</v>
      </c>
      <c r="B1013" s="7" t="s">
        <v>538</v>
      </c>
      <c r="C1013" s="7" t="s">
        <v>511</v>
      </c>
      <c r="D1013" s="8" t="s">
        <v>72</v>
      </c>
      <c r="E1013" s="43"/>
      <c r="F1013" s="51"/>
      <c r="G1013" s="9"/>
      <c r="H1013" s="129">
        <f>VLOOKUP($A1013,'Model Inputs'!$A:$D,4)</f>
        <v>1341</v>
      </c>
      <c r="I1013" s="9"/>
      <c r="J1013" s="9">
        <f>SUBTOTAL(9,J1015:J1024)</f>
        <v>18108.513091766705</v>
      </c>
      <c r="K1013" s="89"/>
      <c r="L1013" s="89">
        <f>MAX(L1015:L1024)/workhrs</f>
        <v>1.6762479046901193</v>
      </c>
      <c r="M1013" s="9">
        <f>SUBTOTAL(9,M1015:M1024)</f>
        <v>1719.8303502120625</v>
      </c>
      <c r="N1013" s="9">
        <f t="shared" ref="N1013:Q1013" si="115">SUBTOTAL(9,N1015:N1024)</f>
        <v>0</v>
      </c>
      <c r="O1013" s="9">
        <f t="shared" si="115"/>
        <v>16388.682741554643</v>
      </c>
      <c r="P1013" s="9">
        <f t="shared" si="115"/>
        <v>0</v>
      </c>
      <c r="Q1013" s="9">
        <f t="shared" si="115"/>
        <v>18108.513091766705</v>
      </c>
      <c r="R1013" s="43"/>
    </row>
    <row r="1014" spans="1:18" outlineLevel="1" x14ac:dyDescent="0.5">
      <c r="A1014" s="132" t="s">
        <v>448</v>
      </c>
      <c r="B1014" s="1">
        <v>1</v>
      </c>
      <c r="C1014" s="2" t="s">
        <v>911</v>
      </c>
      <c r="D1014" s="1"/>
      <c r="E1014" s="45"/>
      <c r="F1014" s="53"/>
      <c r="G1014" s="11"/>
      <c r="H1014" s="11"/>
      <c r="I1014" s="11"/>
      <c r="J1014" s="11"/>
      <c r="K1014" s="91"/>
      <c r="L1014" s="91"/>
      <c r="M1014" s="13"/>
      <c r="N1014" s="13"/>
      <c r="O1014" s="13"/>
      <c r="P1014" s="13"/>
      <c r="Q1014" s="13"/>
      <c r="R1014" s="119"/>
    </row>
    <row r="1015" spans="1:18" outlineLevel="1" x14ac:dyDescent="0.5">
      <c r="A1015" s="131">
        <v>206.1</v>
      </c>
      <c r="B1015" s="14">
        <v>2</v>
      </c>
      <c r="C1015" s="15" t="s">
        <v>101</v>
      </c>
      <c r="D1015" s="44" t="str">
        <f>VLOOKUP(Estimate!$C1015,Resources!$B$3:$G$336,4,FALSE)</f>
        <v xml:space="preserve">hr   </v>
      </c>
      <c r="E1015" s="44" t="str">
        <f>VLOOKUP(Estimate!$C1015,Resources!$B$3:$G$336,3,FALSE)</f>
        <v>P</v>
      </c>
      <c r="F1015" s="52">
        <v>1</v>
      </c>
      <c r="G1015" s="129">
        <f>VLOOKUP($A1015,'Model Inputs'!$A:$D,4)</f>
        <v>133.333</v>
      </c>
      <c r="H1015" s="12">
        <f>H1013</f>
        <v>1341</v>
      </c>
      <c r="I1015" s="12">
        <f>VLOOKUP(C1015,Resources!$B$3:$G$336,6,FALSE)</f>
        <v>185</v>
      </c>
      <c r="J1015" s="12">
        <f>(H1015/(G1015/F1015))*I1015</f>
        <v>1860.6421516053792</v>
      </c>
      <c r="K1015" s="90">
        <f>L1015*F1015</f>
        <v>10.05752514381286</v>
      </c>
      <c r="L1015" s="90">
        <f>IF(E1015="M"," ",H1015/G1015)</f>
        <v>10.05752514381286</v>
      </c>
      <c r="M1015" s="16">
        <f>IF($E1015="L",$J1015,0)</f>
        <v>0</v>
      </c>
      <c r="N1015" s="16">
        <f>IF($E1015="M",$J1015,0)</f>
        <v>0</v>
      </c>
      <c r="O1015" s="16">
        <f>IF($E1015="P",$J1015,0)</f>
        <v>1860.6421516053792</v>
      </c>
      <c r="P1015" s="16">
        <f>IF($E1015="S",$J1015,0)</f>
        <v>0</v>
      </c>
      <c r="Q1015" s="16">
        <f>SUM(M1015:P1015)</f>
        <v>1860.6421516053792</v>
      </c>
      <c r="R1015" s="118">
        <v>52</v>
      </c>
    </row>
    <row r="1016" spans="1:18" outlineLevel="1" x14ac:dyDescent="0.5">
      <c r="A1016" s="132" t="s">
        <v>448</v>
      </c>
      <c r="B1016" s="1">
        <v>3</v>
      </c>
      <c r="C1016" s="2" t="s">
        <v>655</v>
      </c>
      <c r="D1016" s="1"/>
      <c r="E1016" s="45"/>
      <c r="F1016" s="53"/>
      <c r="G1016" s="11"/>
      <c r="H1016" s="11"/>
      <c r="I1016" s="11"/>
      <c r="J1016" s="11"/>
      <c r="K1016" s="91"/>
      <c r="L1016" s="91"/>
      <c r="M1016" s="13"/>
      <c r="N1016" s="13"/>
      <c r="O1016" s="13"/>
      <c r="P1016" s="13"/>
      <c r="Q1016" s="13"/>
      <c r="R1016" s="119"/>
    </row>
    <row r="1017" spans="1:18" outlineLevel="1" x14ac:dyDescent="0.5">
      <c r="A1017" s="131">
        <v>206.2</v>
      </c>
      <c r="B1017" s="14">
        <v>4</v>
      </c>
      <c r="C1017" s="15" t="s">
        <v>55</v>
      </c>
      <c r="D1017" s="44" t="str">
        <f>VLOOKUP(Estimate!$C1017,Resources!$B$3:$G$336,4,FALSE)</f>
        <v xml:space="preserve">hr   </v>
      </c>
      <c r="E1017" s="44" t="str">
        <f>VLOOKUP(Estimate!$C1017,Resources!$B$3:$G$336,3,FALSE)</f>
        <v>P</v>
      </c>
      <c r="F1017" s="52">
        <v>1</v>
      </c>
      <c r="G1017" s="129">
        <f>VLOOKUP($A1017,'Model Inputs'!$A:$D,4)</f>
        <v>88.888999999999996</v>
      </c>
      <c r="H1017" s="12">
        <f>H1013</f>
        <v>1341</v>
      </c>
      <c r="I1017" s="12">
        <f>VLOOKUP(C1017,Resources!$B$3:$G$336,6,FALSE)</f>
        <v>135</v>
      </c>
      <c r="J1017" s="12">
        <f>(H1017/(G1017/F1017))*I1017</f>
        <v>2036.6412041984947</v>
      </c>
      <c r="K1017" s="90">
        <f>L1017*F1017</f>
        <v>15.086231142211073</v>
      </c>
      <c r="L1017" s="90">
        <f>IF(E1017="M"," ",H1017/G1017)</f>
        <v>15.086231142211073</v>
      </c>
      <c r="M1017" s="16">
        <f>IF($E1017="L",$J1017,0)</f>
        <v>0</v>
      </c>
      <c r="N1017" s="16">
        <f>IF($E1017="M",$J1017,0)</f>
        <v>0</v>
      </c>
      <c r="O1017" s="16">
        <f>IF($E1017="P",$J1017,0)</f>
        <v>2036.6412041984947</v>
      </c>
      <c r="P1017" s="16">
        <f>IF($E1017="S",$J1017,0)</f>
        <v>0</v>
      </c>
      <c r="Q1017" s="16">
        <f>SUM(M1017:P1017)</f>
        <v>2036.6412041984947</v>
      </c>
      <c r="R1017" s="118">
        <v>52</v>
      </c>
    </row>
    <row r="1018" spans="1:18" outlineLevel="1" x14ac:dyDescent="0.5">
      <c r="A1018" s="131" t="s">
        <v>448</v>
      </c>
      <c r="B1018" s="14">
        <v>5</v>
      </c>
      <c r="C1018" s="15" t="s">
        <v>102</v>
      </c>
      <c r="D1018" s="44" t="str">
        <f>VLOOKUP(Estimate!$C1018,Resources!$B$3:$G$336,4,FALSE)</f>
        <v xml:space="preserve">hr   </v>
      </c>
      <c r="E1018" s="44" t="str">
        <f>VLOOKUP(Estimate!$C1018,Resources!$B$3:$G$336,3,FALSE)</f>
        <v>P</v>
      </c>
      <c r="F1018" s="52">
        <v>3</v>
      </c>
      <c r="G1018" s="12">
        <f>G1017</f>
        <v>88.888999999999996</v>
      </c>
      <c r="H1018" s="12">
        <f>H1013</f>
        <v>1341</v>
      </c>
      <c r="I1018" s="12">
        <f>VLOOKUP(C1018,Resources!$B$3:$G$336,6,FALSE)</f>
        <v>145</v>
      </c>
      <c r="J1018" s="12">
        <f>(H1018/(G1018/F1018))*I1018</f>
        <v>6562.5105468618176</v>
      </c>
      <c r="K1018" s="90">
        <f>L1018*F1018</f>
        <v>45.258693426633215</v>
      </c>
      <c r="L1018" s="90">
        <f>IF(E1018="M"," ",H1018/G1018)</f>
        <v>15.086231142211073</v>
      </c>
      <c r="M1018" s="16">
        <f>IF($E1018="L",$J1018,0)</f>
        <v>0</v>
      </c>
      <c r="N1018" s="16">
        <f>IF($E1018="M",$J1018,0)</f>
        <v>0</v>
      </c>
      <c r="O1018" s="16">
        <f>IF($E1018="P",$J1018,0)</f>
        <v>6562.5105468618176</v>
      </c>
      <c r="P1018" s="16">
        <f>IF($E1018="S",$J1018,0)</f>
        <v>0</v>
      </c>
      <c r="Q1018" s="16">
        <f>SUM(M1018:P1018)</f>
        <v>6562.5105468618176</v>
      </c>
      <c r="R1018" s="118">
        <v>52</v>
      </c>
    </row>
    <row r="1019" spans="1:18" outlineLevel="1" x14ac:dyDescent="0.5">
      <c r="A1019" s="132" t="s">
        <v>448</v>
      </c>
      <c r="B1019" s="1">
        <v>6</v>
      </c>
      <c r="C1019" s="2" t="s">
        <v>656</v>
      </c>
      <c r="D1019" s="1"/>
      <c r="E1019" s="45"/>
      <c r="F1019" s="53"/>
      <c r="G1019" s="11"/>
      <c r="H1019" s="11"/>
      <c r="I1019" s="11"/>
      <c r="J1019" s="11"/>
      <c r="K1019" s="91"/>
      <c r="L1019" s="91"/>
      <c r="M1019" s="13"/>
      <c r="N1019" s="13"/>
      <c r="O1019" s="13"/>
      <c r="P1019" s="13"/>
      <c r="Q1019" s="13"/>
      <c r="R1019" s="119"/>
    </row>
    <row r="1020" spans="1:18" outlineLevel="1" x14ac:dyDescent="0.5">
      <c r="A1020" s="131" t="s">
        <v>448</v>
      </c>
      <c r="B1020" s="14">
        <v>7</v>
      </c>
      <c r="C1020" s="15" t="s">
        <v>96</v>
      </c>
      <c r="D1020" s="44" t="str">
        <f>VLOOKUP(Estimate!$C1020,Resources!$B$3:$G$336,4,FALSE)</f>
        <v xml:space="preserve">hr   </v>
      </c>
      <c r="E1020" s="44" t="str">
        <f>VLOOKUP(Estimate!$C1020,Resources!$B$3:$G$336,3,FALSE)</f>
        <v>P</v>
      </c>
      <c r="F1020" s="52">
        <v>1</v>
      </c>
      <c r="G1020" s="12">
        <f>G1017</f>
        <v>88.888999999999996</v>
      </c>
      <c r="H1020" s="12">
        <f>H1013</f>
        <v>1341</v>
      </c>
      <c r="I1020" s="12">
        <f>VLOOKUP(C1020,Resources!$B$3:$G$336,6,FALSE)</f>
        <v>145</v>
      </c>
      <c r="J1020" s="12">
        <f>(H1020/(G1020/F1020))*I1020</f>
        <v>2187.5035156206054</v>
      </c>
      <c r="K1020" s="90">
        <f>L1020*F1020</f>
        <v>15.086231142211073</v>
      </c>
      <c r="L1020" s="90">
        <f>IF(E1020="M"," ",H1020/G1020)</f>
        <v>15.086231142211073</v>
      </c>
      <c r="M1020" s="16">
        <f>IF($E1020="L",$J1020,0)</f>
        <v>0</v>
      </c>
      <c r="N1020" s="16">
        <f>IF($E1020="M",$J1020,0)</f>
        <v>0</v>
      </c>
      <c r="O1020" s="16">
        <f>IF($E1020="P",$J1020,0)</f>
        <v>2187.5035156206054</v>
      </c>
      <c r="P1020" s="16">
        <f>IF($E1020="S",$J1020,0)</f>
        <v>0</v>
      </c>
      <c r="Q1020" s="16">
        <f>SUM(M1020:P1020)</f>
        <v>2187.5035156206054</v>
      </c>
      <c r="R1020" s="118">
        <v>52</v>
      </c>
    </row>
    <row r="1021" spans="1:18" outlineLevel="1" x14ac:dyDescent="0.5">
      <c r="A1021" s="131" t="s">
        <v>448</v>
      </c>
      <c r="B1021" s="14">
        <v>8</v>
      </c>
      <c r="C1021" s="15" t="s">
        <v>60</v>
      </c>
      <c r="D1021" s="44" t="str">
        <f>VLOOKUP(Estimate!$C1021,Resources!$B$3:$G$336,4,FALSE)</f>
        <v xml:space="preserve">hr   </v>
      </c>
      <c r="E1021" s="44" t="str">
        <f>VLOOKUP(Estimate!$C1021,Resources!$B$3:$G$336,3,FALSE)</f>
        <v>P</v>
      </c>
      <c r="F1021" s="52">
        <v>1</v>
      </c>
      <c r="G1021" s="12">
        <f>G1017</f>
        <v>88.888999999999996</v>
      </c>
      <c r="H1021" s="12">
        <f>H1013</f>
        <v>1341</v>
      </c>
      <c r="I1021" s="12">
        <f>VLOOKUP(C1021,Resources!$B$3:$G$336,6,FALSE)</f>
        <v>95</v>
      </c>
      <c r="J1021" s="12">
        <f>(H1021/(G1021/F1021))*I1021</f>
        <v>1433.191958510052</v>
      </c>
      <c r="K1021" s="90">
        <f>L1021*F1021</f>
        <v>15.086231142211073</v>
      </c>
      <c r="L1021" s="90">
        <f>IF(E1021="M"," ",H1021/G1021)</f>
        <v>15.086231142211073</v>
      </c>
      <c r="M1021" s="16">
        <f>IF($E1021="L",$J1021,0)</f>
        <v>0</v>
      </c>
      <c r="N1021" s="16">
        <f>IF($E1021="M",$J1021,0)</f>
        <v>0</v>
      </c>
      <c r="O1021" s="16">
        <f>IF($E1021="P",$J1021,0)</f>
        <v>1433.191958510052</v>
      </c>
      <c r="P1021" s="16">
        <f>IF($E1021="S",$J1021,0)</f>
        <v>0</v>
      </c>
      <c r="Q1021" s="16">
        <f>SUM(M1021:P1021)</f>
        <v>1433.191958510052</v>
      </c>
      <c r="R1021" s="118">
        <v>52</v>
      </c>
    </row>
    <row r="1022" spans="1:18" outlineLevel="1" x14ac:dyDescent="0.5">
      <c r="A1022" s="131" t="s">
        <v>448</v>
      </c>
      <c r="B1022" s="14">
        <v>9</v>
      </c>
      <c r="C1022" s="15" t="s">
        <v>830</v>
      </c>
      <c r="D1022" s="44" t="str">
        <f>VLOOKUP(Estimate!$C1022,Resources!$B$3:$G$336,4,FALSE)</f>
        <v xml:space="preserve">hr   </v>
      </c>
      <c r="E1022" s="44" t="str">
        <f>VLOOKUP(Estimate!$C1022,Resources!$B$3:$G$336,3,FALSE)</f>
        <v>P</v>
      </c>
      <c r="F1022" s="52">
        <v>1</v>
      </c>
      <c r="G1022" s="12">
        <f>G1017</f>
        <v>88.888999999999996</v>
      </c>
      <c r="H1022" s="12">
        <f>H1013</f>
        <v>1341</v>
      </c>
      <c r="I1022" s="12">
        <f>VLOOKUP(C1022,Resources!$B$3:$G$336,6,FALSE)</f>
        <v>58</v>
      </c>
      <c r="J1022" s="12">
        <f>(H1022/(G1022/F1022))*I1022</f>
        <v>875.00140624824223</v>
      </c>
      <c r="K1022" s="90">
        <f>L1022*F1022</f>
        <v>15.086231142211073</v>
      </c>
      <c r="L1022" s="90">
        <f>IF(E1022="M"," ",H1022/G1022)</f>
        <v>15.086231142211073</v>
      </c>
      <c r="M1022" s="16">
        <f>IF($E1022="L",$J1022,0)</f>
        <v>0</v>
      </c>
      <c r="N1022" s="16">
        <f>IF($E1022="M",$J1022,0)</f>
        <v>0</v>
      </c>
      <c r="O1022" s="16">
        <f>IF($E1022="P",$J1022,0)</f>
        <v>875.00140624824223</v>
      </c>
      <c r="P1022" s="16">
        <f>IF($E1022="S",$J1022,0)</f>
        <v>0</v>
      </c>
      <c r="Q1022" s="16">
        <f>SUM(M1022:P1022)</f>
        <v>875.00140624824223</v>
      </c>
      <c r="R1022" s="118">
        <v>52</v>
      </c>
    </row>
    <row r="1023" spans="1:18" outlineLevel="1" x14ac:dyDescent="0.5">
      <c r="A1023" s="131" t="s">
        <v>448</v>
      </c>
      <c r="B1023" s="14">
        <v>10</v>
      </c>
      <c r="C1023" s="15" t="s">
        <v>7</v>
      </c>
      <c r="D1023" s="44" t="str">
        <f>VLOOKUP(Estimate!$C1023,Resources!$B$3:$G$336,4,FALSE)</f>
        <v xml:space="preserve">hr   </v>
      </c>
      <c r="E1023" s="44" t="str">
        <f>VLOOKUP(Estimate!$C1023,Resources!$B$3:$G$336,3,FALSE)</f>
        <v>L</v>
      </c>
      <c r="F1023" s="52">
        <v>3</v>
      </c>
      <c r="G1023" s="12">
        <f>G1017</f>
        <v>88.888999999999996</v>
      </c>
      <c r="H1023" s="12">
        <f>H1013</f>
        <v>1341</v>
      </c>
      <c r="I1023" s="12">
        <f>VLOOKUP(C1023,Resources!$B$3:$G$336,6,FALSE)</f>
        <v>38</v>
      </c>
      <c r="J1023" s="12">
        <f>(H1023/(G1023/F1023))*I1023</f>
        <v>1719.8303502120625</v>
      </c>
      <c r="K1023" s="90">
        <f>L1023*F1023</f>
        <v>45.258693426633215</v>
      </c>
      <c r="L1023" s="90">
        <f>IF(E1023="M"," ",H1023/G1023)</f>
        <v>15.086231142211073</v>
      </c>
      <c r="M1023" s="16">
        <f>IF($E1023="L",$J1023,0)</f>
        <v>1719.8303502120625</v>
      </c>
      <c r="N1023" s="16">
        <f>IF($E1023="M",$J1023,0)</f>
        <v>0</v>
      </c>
      <c r="O1023" s="16">
        <f>IF($E1023="P",$J1023,0)</f>
        <v>0</v>
      </c>
      <c r="P1023" s="16">
        <f>IF($E1023="S",$J1023,0)</f>
        <v>0</v>
      </c>
      <c r="Q1023" s="16">
        <f>SUM(M1023:P1023)</f>
        <v>1719.8303502120625</v>
      </c>
      <c r="R1023" s="118">
        <v>52</v>
      </c>
    </row>
    <row r="1024" spans="1:18" outlineLevel="1" x14ac:dyDescent="0.5">
      <c r="A1024" s="131" t="s">
        <v>448</v>
      </c>
      <c r="B1024" s="14">
        <v>11</v>
      </c>
      <c r="C1024" s="15" t="s">
        <v>49</v>
      </c>
      <c r="D1024" s="44" t="str">
        <f>VLOOKUP(Estimate!$C1024,Resources!$B$3:$G$336,4,FALSE)</f>
        <v xml:space="preserve">hr   </v>
      </c>
      <c r="E1024" s="44" t="str">
        <f>VLOOKUP(Estimate!$C1024,Resources!$B$3:$G$336,3,FALSE)</f>
        <v>P</v>
      </c>
      <c r="F1024" s="52">
        <v>1</v>
      </c>
      <c r="G1024" s="12">
        <f>G1017</f>
        <v>88.888999999999996</v>
      </c>
      <c r="H1024" s="12">
        <f>H1013</f>
        <v>1341</v>
      </c>
      <c r="I1024" s="12">
        <f>VLOOKUP(C1024,Resources!$B$3:$G$336,6,FALSE)</f>
        <v>95</v>
      </c>
      <c r="J1024" s="12">
        <f>(H1024/(G1024/F1024))*I1024</f>
        <v>1433.191958510052</v>
      </c>
      <c r="K1024" s="90">
        <f>L1024*F1024</f>
        <v>15.086231142211073</v>
      </c>
      <c r="L1024" s="90">
        <f>IF(E1024="M"," ",H1024/G1024)</f>
        <v>15.086231142211073</v>
      </c>
      <c r="M1024" s="16">
        <f>IF($E1024="L",$J1024,0)</f>
        <v>0</v>
      </c>
      <c r="N1024" s="16">
        <f>IF($E1024="M",$J1024,0)</f>
        <v>0</v>
      </c>
      <c r="O1024" s="16">
        <f>IF($E1024="P",$J1024,0)</f>
        <v>1433.191958510052</v>
      </c>
      <c r="P1024" s="16">
        <f>IF($E1024="S",$J1024,0)</f>
        <v>0</v>
      </c>
      <c r="Q1024" s="16">
        <f>SUM(M1024:P1024)</f>
        <v>1433.191958510052</v>
      </c>
      <c r="R1024" s="118">
        <v>52</v>
      </c>
    </row>
    <row r="1025" spans="1:18" outlineLevel="1" x14ac:dyDescent="0.5">
      <c r="A1025" s="132" t="s">
        <v>448</v>
      </c>
      <c r="B1025" s="1"/>
      <c r="C1025" s="2"/>
      <c r="D1025" s="1"/>
      <c r="E1025" s="45"/>
      <c r="F1025" s="53"/>
      <c r="G1025" s="11"/>
      <c r="H1025" s="11"/>
      <c r="I1025" s="11"/>
      <c r="J1025" s="11"/>
      <c r="K1025" s="91"/>
      <c r="L1025" s="91"/>
      <c r="M1025" s="13"/>
      <c r="N1025" s="13"/>
      <c r="O1025" s="13"/>
      <c r="P1025" s="13"/>
      <c r="Q1025" s="13"/>
      <c r="R1025" s="119"/>
    </row>
    <row r="1026" spans="1:18" x14ac:dyDescent="0.5">
      <c r="A1026" s="130">
        <v>207</v>
      </c>
      <c r="B1026" s="7" t="s">
        <v>541</v>
      </c>
      <c r="C1026" s="7" t="s">
        <v>542</v>
      </c>
      <c r="D1026" s="8" t="s">
        <v>79</v>
      </c>
      <c r="E1026" s="43"/>
      <c r="F1026" s="51"/>
      <c r="G1026" s="9"/>
      <c r="H1026" s="129">
        <f>VLOOKUP($A1026,'Model Inputs'!$A:$D,4)</f>
        <v>1</v>
      </c>
      <c r="I1026" s="9"/>
      <c r="J1026" s="9">
        <f>SUBTOTAL(9,J1029:J1057)</f>
        <v>14387.728345728239</v>
      </c>
      <c r="K1026" s="89"/>
      <c r="L1026" s="89">
        <f>SUM(L1027,L1046)</f>
        <v>1.1026940966323791</v>
      </c>
      <c r="M1026" s="9">
        <f>SUBTOTAL(9,M1029:M1057)</f>
        <v>1328.7437561409511</v>
      </c>
      <c r="N1026" s="9">
        <f t="shared" ref="N1026:Q1026" si="116">SUBTOTAL(9,N1029:N1057)</f>
        <v>0</v>
      </c>
      <c r="O1026" s="9">
        <f t="shared" si="116"/>
        <v>13058.984589587286</v>
      </c>
      <c r="P1026" s="9">
        <f t="shared" si="116"/>
        <v>0</v>
      </c>
      <c r="Q1026" s="9">
        <f t="shared" si="116"/>
        <v>14387.728345728239</v>
      </c>
      <c r="R1026" s="117"/>
    </row>
    <row r="1027" spans="1:18" x14ac:dyDescent="0.5">
      <c r="A1027" s="130">
        <v>208</v>
      </c>
      <c r="B1027" s="7" t="s">
        <v>543</v>
      </c>
      <c r="C1027" s="7" t="s">
        <v>544</v>
      </c>
      <c r="D1027" s="8" t="s">
        <v>72</v>
      </c>
      <c r="E1027" s="43"/>
      <c r="F1027" s="51"/>
      <c r="G1027" s="9"/>
      <c r="H1027" s="129">
        <f>VLOOKUP($A1027,'Model Inputs'!$A:$D,4)</f>
        <v>222.6</v>
      </c>
      <c r="I1027" s="9"/>
      <c r="J1027" s="9">
        <f>SUBTOTAL(9,J1029:J1044)</f>
        <v>11381.796194924907</v>
      </c>
      <c r="K1027" s="89"/>
      <c r="L1027" s="89">
        <f>MAX(L1029:L1044)/workhrs</f>
        <v>0.82444444444444442</v>
      </c>
      <c r="M1027" s="9">
        <f>SUBTOTAL(9,M1029:M1044)</f>
        <v>1043.25961299613</v>
      </c>
      <c r="N1027" s="9">
        <f t="shared" ref="N1027:Q1027" si="117">SUBTOTAL(9,N1029:N1044)</f>
        <v>0</v>
      </c>
      <c r="O1027" s="9">
        <f t="shared" si="117"/>
        <v>10338.536581928778</v>
      </c>
      <c r="P1027" s="9">
        <f t="shared" si="117"/>
        <v>0</v>
      </c>
      <c r="Q1027" s="9">
        <f t="shared" si="117"/>
        <v>11381.796194924907</v>
      </c>
      <c r="R1027" s="43"/>
    </row>
    <row r="1028" spans="1:18" outlineLevel="1" x14ac:dyDescent="0.5">
      <c r="A1028" s="132" t="s">
        <v>448</v>
      </c>
      <c r="B1028" s="1">
        <v>1</v>
      </c>
      <c r="C1028" s="2" t="s">
        <v>913</v>
      </c>
      <c r="D1028" s="1"/>
      <c r="E1028" s="45"/>
      <c r="F1028" s="53"/>
      <c r="G1028" s="11"/>
      <c r="H1028" s="11"/>
      <c r="I1028" s="11"/>
      <c r="J1028" s="11"/>
      <c r="K1028" s="91"/>
      <c r="L1028" s="91"/>
      <c r="M1028" s="13"/>
      <c r="N1028" s="13"/>
      <c r="O1028" s="13"/>
      <c r="P1028" s="13"/>
      <c r="Q1028" s="13"/>
      <c r="R1028" s="119"/>
    </row>
    <row r="1029" spans="1:18" outlineLevel="1" x14ac:dyDescent="0.5">
      <c r="A1029" s="131">
        <v>208.1</v>
      </c>
      <c r="B1029" s="14">
        <v>2</v>
      </c>
      <c r="C1029" s="15" t="s">
        <v>55</v>
      </c>
      <c r="D1029" s="44" t="str">
        <f>VLOOKUP(Estimate!$C1029,Resources!$B$3:$G$336,4,FALSE)</f>
        <v xml:space="preserve">hr   </v>
      </c>
      <c r="E1029" s="44" t="str">
        <f>VLOOKUP(Estimate!$C1029,Resources!$B$3:$G$336,3,FALSE)</f>
        <v>P</v>
      </c>
      <c r="F1029" s="52">
        <v>1</v>
      </c>
      <c r="G1029" s="129">
        <f>VLOOKUP($A1029,'Model Inputs'!$A:$D,4)</f>
        <v>30</v>
      </c>
      <c r="H1029" s="12">
        <f>H1027</f>
        <v>222.6</v>
      </c>
      <c r="I1029" s="12">
        <f>VLOOKUP(C1029,Resources!$B$3:$G$336,6,FALSE)</f>
        <v>135</v>
      </c>
      <c r="J1029" s="12">
        <f>(H1029/(G1029/F1029))*I1029</f>
        <v>1001.7</v>
      </c>
      <c r="K1029" s="90">
        <f>L1029*F1029</f>
        <v>7.42</v>
      </c>
      <c r="L1029" s="90">
        <f>IF(E1029="M"," ",H1029/G1029)</f>
        <v>7.42</v>
      </c>
      <c r="M1029" s="16">
        <f>IF($E1029="L",$J1029,0)</f>
        <v>0</v>
      </c>
      <c r="N1029" s="16">
        <f>IF($E1029="M",$J1029,0)</f>
        <v>0</v>
      </c>
      <c r="O1029" s="16">
        <f>IF($E1029="P",$J1029,0)</f>
        <v>1001.7</v>
      </c>
      <c r="P1029" s="16">
        <f>IF($E1029="S",$J1029,0)</f>
        <v>0</v>
      </c>
      <c r="Q1029" s="16">
        <f>SUM(M1029:P1029)</f>
        <v>1001.7</v>
      </c>
      <c r="R1029" s="118">
        <v>57</v>
      </c>
    </row>
    <row r="1030" spans="1:18" outlineLevel="1" x14ac:dyDescent="0.5">
      <c r="A1030" s="131" t="s">
        <v>448</v>
      </c>
      <c r="B1030" s="14">
        <v>3</v>
      </c>
      <c r="C1030" s="15" t="s">
        <v>66</v>
      </c>
      <c r="D1030" s="44" t="str">
        <f>VLOOKUP(Estimate!$C1030,Resources!$B$3:$G$336,4,FALSE)</f>
        <v xml:space="preserve">hr   </v>
      </c>
      <c r="E1030" s="44" t="str">
        <f>VLOOKUP(Estimate!$C1030,Resources!$B$3:$G$336,3,FALSE)</f>
        <v>P</v>
      </c>
      <c r="F1030" s="52">
        <v>3</v>
      </c>
      <c r="G1030" s="12">
        <f>G1029</f>
        <v>30</v>
      </c>
      <c r="H1030" s="12">
        <f>H1027</f>
        <v>222.6</v>
      </c>
      <c r="I1030" s="12">
        <f>VLOOKUP(C1030,Resources!$B$3:$G$336,6,FALSE)</f>
        <v>85</v>
      </c>
      <c r="J1030" s="12">
        <f>(H1030/(G1030/F1030))*I1030</f>
        <v>1892.1</v>
      </c>
      <c r="K1030" s="90">
        <f>L1030*F1030</f>
        <v>22.259999999999998</v>
      </c>
      <c r="L1030" s="90">
        <f>IF(E1030="M"," ",H1030/G1030)</f>
        <v>7.42</v>
      </c>
      <c r="M1030" s="16">
        <f>IF($E1030="L",$J1030,0)</f>
        <v>0</v>
      </c>
      <c r="N1030" s="16">
        <f>IF($E1030="M",$J1030,0)</f>
        <v>0</v>
      </c>
      <c r="O1030" s="16">
        <f>IF($E1030="P",$J1030,0)</f>
        <v>1892.1</v>
      </c>
      <c r="P1030" s="16">
        <f>IF($E1030="S",$J1030,0)</f>
        <v>0</v>
      </c>
      <c r="Q1030" s="16">
        <f>SUM(M1030:P1030)</f>
        <v>1892.1</v>
      </c>
      <c r="R1030" s="118">
        <v>57</v>
      </c>
    </row>
    <row r="1031" spans="1:18" outlineLevel="1" x14ac:dyDescent="0.5">
      <c r="A1031" s="131" t="s">
        <v>448</v>
      </c>
      <c r="B1031" s="14">
        <v>4</v>
      </c>
      <c r="C1031" s="15" t="s">
        <v>60</v>
      </c>
      <c r="D1031" s="44" t="str">
        <f>VLOOKUP(Estimate!$C1031,Resources!$B$3:$G$336,4,FALSE)</f>
        <v xml:space="preserve">hr   </v>
      </c>
      <c r="E1031" s="44" t="str">
        <f>VLOOKUP(Estimate!$C1031,Resources!$B$3:$G$336,3,FALSE)</f>
        <v>P</v>
      </c>
      <c r="F1031" s="52">
        <v>1</v>
      </c>
      <c r="G1031" s="12">
        <f>G1029</f>
        <v>30</v>
      </c>
      <c r="H1031" s="12">
        <f>H1027</f>
        <v>222.6</v>
      </c>
      <c r="I1031" s="12">
        <f>VLOOKUP(C1031,Resources!$B$3:$G$336,6,FALSE)</f>
        <v>95</v>
      </c>
      <c r="J1031" s="12">
        <f>(H1031/(G1031/F1031))*I1031</f>
        <v>704.9</v>
      </c>
      <c r="K1031" s="90">
        <f>L1031*F1031</f>
        <v>7.42</v>
      </c>
      <c r="L1031" s="90">
        <f>IF(E1031="M"," ",H1031/G1031)</f>
        <v>7.42</v>
      </c>
      <c r="M1031" s="16">
        <f>IF($E1031="L",$J1031,0)</f>
        <v>0</v>
      </c>
      <c r="N1031" s="16">
        <f>IF($E1031="M",$J1031,0)</f>
        <v>0</v>
      </c>
      <c r="O1031" s="16">
        <f>IF($E1031="P",$J1031,0)</f>
        <v>704.9</v>
      </c>
      <c r="P1031" s="16">
        <f>IF($E1031="S",$J1031,0)</f>
        <v>0</v>
      </c>
      <c r="Q1031" s="16">
        <f>SUM(M1031:P1031)</f>
        <v>704.9</v>
      </c>
      <c r="R1031" s="118">
        <v>57</v>
      </c>
    </row>
    <row r="1032" spans="1:18" outlineLevel="1" x14ac:dyDescent="0.5">
      <c r="A1032" s="131" t="s">
        <v>448</v>
      </c>
      <c r="B1032" s="14">
        <v>5</v>
      </c>
      <c r="C1032" s="15" t="s">
        <v>7</v>
      </c>
      <c r="D1032" s="44" t="str">
        <f>VLOOKUP(Estimate!$C1032,Resources!$B$3:$G$336,4,FALSE)</f>
        <v xml:space="preserve">hr   </v>
      </c>
      <c r="E1032" s="44" t="str">
        <f>VLOOKUP(Estimate!$C1032,Resources!$B$3:$G$336,3,FALSE)</f>
        <v>L</v>
      </c>
      <c r="F1032" s="52">
        <v>1</v>
      </c>
      <c r="G1032" s="12">
        <f>G1029</f>
        <v>30</v>
      </c>
      <c r="H1032" s="12">
        <f>H1027</f>
        <v>222.6</v>
      </c>
      <c r="I1032" s="12">
        <f>VLOOKUP(C1032,Resources!$B$3:$G$336,6,FALSE)</f>
        <v>38</v>
      </c>
      <c r="J1032" s="12">
        <f>(H1032/(G1032/F1032))*I1032</f>
        <v>281.95999999999998</v>
      </c>
      <c r="K1032" s="90">
        <f>L1032*F1032</f>
        <v>7.42</v>
      </c>
      <c r="L1032" s="90">
        <f>IF(E1032="M"," ",H1032/G1032)</f>
        <v>7.42</v>
      </c>
      <c r="M1032" s="16">
        <f>IF($E1032="L",$J1032,0)</f>
        <v>281.95999999999998</v>
      </c>
      <c r="N1032" s="16">
        <f>IF($E1032="M",$J1032,0)</f>
        <v>0</v>
      </c>
      <c r="O1032" s="16">
        <f>IF($E1032="P",$J1032,0)</f>
        <v>0</v>
      </c>
      <c r="P1032" s="16">
        <f>IF($E1032="S",$J1032,0)</f>
        <v>0</v>
      </c>
      <c r="Q1032" s="16">
        <f>SUM(M1032:P1032)</f>
        <v>281.95999999999998</v>
      </c>
      <c r="R1032" s="118">
        <v>57</v>
      </c>
    </row>
    <row r="1033" spans="1:18" outlineLevel="1" x14ac:dyDescent="0.5">
      <c r="A1033" s="132" t="s">
        <v>448</v>
      </c>
      <c r="B1033" s="1">
        <v>6</v>
      </c>
      <c r="C1033" s="2" t="s">
        <v>914</v>
      </c>
      <c r="D1033" s="1"/>
      <c r="E1033" s="45"/>
      <c r="F1033" s="53"/>
      <c r="G1033" s="11"/>
      <c r="H1033" s="11"/>
      <c r="I1033" s="11"/>
      <c r="J1033" s="11"/>
      <c r="K1033" s="91"/>
      <c r="L1033" s="91"/>
      <c r="M1033" s="13"/>
      <c r="N1033" s="13"/>
      <c r="O1033" s="13"/>
      <c r="P1033" s="13"/>
      <c r="Q1033" s="13"/>
      <c r="R1033" s="119"/>
    </row>
    <row r="1034" spans="1:18" outlineLevel="1" x14ac:dyDescent="0.5">
      <c r="A1034" s="132" t="s">
        <v>448</v>
      </c>
      <c r="B1034" s="1">
        <v>7</v>
      </c>
      <c r="C1034" s="2" t="s">
        <v>915</v>
      </c>
      <c r="D1034" s="1"/>
      <c r="E1034" s="45"/>
      <c r="F1034" s="53"/>
      <c r="G1034" s="11"/>
      <c r="H1034" s="11"/>
      <c r="I1034" s="11"/>
      <c r="J1034" s="11"/>
      <c r="K1034" s="91"/>
      <c r="L1034" s="91"/>
      <c r="M1034" s="13"/>
      <c r="N1034" s="13"/>
      <c r="O1034" s="13"/>
      <c r="P1034" s="13"/>
      <c r="Q1034" s="13"/>
      <c r="R1034" s="119"/>
    </row>
    <row r="1035" spans="1:18" outlineLevel="1" x14ac:dyDescent="0.5">
      <c r="A1035" s="131" t="s">
        <v>448</v>
      </c>
      <c r="B1035" s="14">
        <v>8</v>
      </c>
      <c r="C1035" s="15" t="s">
        <v>101</v>
      </c>
      <c r="D1035" s="44" t="str">
        <f>VLOOKUP(Estimate!$C1035,Resources!$B$3:$G$336,4,FALSE)</f>
        <v xml:space="preserve">hr   </v>
      </c>
      <c r="E1035" s="44" t="str">
        <f>VLOOKUP(Estimate!$C1035,Resources!$B$3:$G$336,3,FALSE)</f>
        <v>P</v>
      </c>
      <c r="F1035" s="52">
        <v>1</v>
      </c>
      <c r="G1035" s="12">
        <v>133.333</v>
      </c>
      <c r="H1035" s="12">
        <f>H1027</f>
        <v>222.6</v>
      </c>
      <c r="I1035" s="12">
        <f>VLOOKUP(C1035,Resources!$B$3:$G$336,6,FALSE)</f>
        <v>185</v>
      </c>
      <c r="J1035" s="12">
        <f>(H1035/(G1035/F1035))*I1035</f>
        <v>308.85827214568036</v>
      </c>
      <c r="K1035" s="90">
        <f>L1035*F1035</f>
        <v>1.6695041737604344</v>
      </c>
      <c r="L1035" s="90">
        <f>IF(E1035="M"," ",H1035/G1035)</f>
        <v>1.6695041737604344</v>
      </c>
      <c r="M1035" s="16">
        <f>IF($E1035="L",$J1035,0)</f>
        <v>0</v>
      </c>
      <c r="N1035" s="16">
        <f>IF($E1035="M",$J1035,0)</f>
        <v>0</v>
      </c>
      <c r="O1035" s="16">
        <f>IF($E1035="P",$J1035,0)</f>
        <v>308.85827214568036</v>
      </c>
      <c r="P1035" s="16">
        <f>IF($E1035="S",$J1035,0)</f>
        <v>0</v>
      </c>
      <c r="Q1035" s="16">
        <f>SUM(M1035:P1035)</f>
        <v>308.85827214568036</v>
      </c>
      <c r="R1035" s="118">
        <v>57</v>
      </c>
    </row>
    <row r="1036" spans="1:18" outlineLevel="1" x14ac:dyDescent="0.5">
      <c r="A1036" s="132" t="s">
        <v>448</v>
      </c>
      <c r="B1036" s="1">
        <v>9</v>
      </c>
      <c r="C1036" s="2" t="s">
        <v>655</v>
      </c>
      <c r="D1036" s="1"/>
      <c r="E1036" s="45"/>
      <c r="F1036" s="53"/>
      <c r="G1036" s="11"/>
      <c r="H1036" s="11"/>
      <c r="I1036" s="11"/>
      <c r="J1036" s="11"/>
      <c r="K1036" s="91"/>
      <c r="L1036" s="91"/>
      <c r="M1036" s="13"/>
      <c r="N1036" s="13"/>
      <c r="O1036" s="13"/>
      <c r="P1036" s="13"/>
      <c r="Q1036" s="13"/>
      <c r="R1036" s="119"/>
    </row>
    <row r="1037" spans="1:18" outlineLevel="1" x14ac:dyDescent="0.5">
      <c r="A1037" s="131">
        <v>208.2</v>
      </c>
      <c r="B1037" s="14">
        <v>10</v>
      </c>
      <c r="C1037" s="15" t="s">
        <v>55</v>
      </c>
      <c r="D1037" s="44" t="str">
        <f>VLOOKUP(Estimate!$C1037,Resources!$B$3:$G$336,4,FALSE)</f>
        <v xml:space="preserve">hr   </v>
      </c>
      <c r="E1037" s="44" t="str">
        <f>VLOOKUP(Estimate!$C1037,Resources!$B$3:$G$336,3,FALSE)</f>
        <v>P</v>
      </c>
      <c r="F1037" s="52">
        <v>1</v>
      </c>
      <c r="G1037" s="129">
        <f>VLOOKUP($A1037,'Model Inputs'!$A:$D,4)</f>
        <v>33.332999999999998</v>
      </c>
      <c r="H1037" s="12">
        <f>H1027</f>
        <v>222.6</v>
      </c>
      <c r="I1037" s="12">
        <f>VLOOKUP(C1037,Resources!$B$3:$G$336,6,FALSE)</f>
        <v>135</v>
      </c>
      <c r="J1037" s="12">
        <f>(H1037/(G1037/F1037))*I1037</f>
        <v>901.53901539015396</v>
      </c>
      <c r="K1037" s="90">
        <f>L1037*F1037</f>
        <v>6.6780667806678071</v>
      </c>
      <c r="L1037" s="90">
        <f>IF(E1037="M"," ",H1037/G1037)</f>
        <v>6.6780667806678071</v>
      </c>
      <c r="M1037" s="16">
        <f>IF($E1037="L",$J1037,0)</f>
        <v>0</v>
      </c>
      <c r="N1037" s="16">
        <f>IF($E1037="M",$J1037,0)</f>
        <v>0</v>
      </c>
      <c r="O1037" s="16">
        <f>IF($E1037="P",$J1037,0)</f>
        <v>901.53901539015396</v>
      </c>
      <c r="P1037" s="16">
        <f>IF($E1037="S",$J1037,0)</f>
        <v>0</v>
      </c>
      <c r="Q1037" s="16">
        <f>SUM(M1037:P1037)</f>
        <v>901.53901539015396</v>
      </c>
      <c r="R1037" s="118">
        <v>57</v>
      </c>
    </row>
    <row r="1038" spans="1:18" outlineLevel="1" x14ac:dyDescent="0.5">
      <c r="A1038" s="131" t="s">
        <v>448</v>
      </c>
      <c r="B1038" s="14">
        <v>11</v>
      </c>
      <c r="C1038" s="15" t="s">
        <v>102</v>
      </c>
      <c r="D1038" s="44" t="str">
        <f>VLOOKUP(Estimate!$C1038,Resources!$B$3:$G$336,4,FALSE)</f>
        <v xml:space="preserve">hr   </v>
      </c>
      <c r="E1038" s="44" t="str">
        <f>VLOOKUP(Estimate!$C1038,Resources!$B$3:$G$336,3,FALSE)</f>
        <v>P</v>
      </c>
      <c r="F1038" s="52">
        <v>3</v>
      </c>
      <c r="G1038" s="12">
        <f>G1037</f>
        <v>33.332999999999998</v>
      </c>
      <c r="H1038" s="12">
        <f>H1027</f>
        <v>222.6</v>
      </c>
      <c r="I1038" s="12">
        <f>VLOOKUP(C1038,Resources!$B$3:$G$336,6,FALSE)</f>
        <v>145</v>
      </c>
      <c r="J1038" s="12">
        <f>(H1038/(G1038/F1038))*I1038</f>
        <v>2904.9590495904963</v>
      </c>
      <c r="K1038" s="90">
        <f>L1038*F1038</f>
        <v>20.034200342003423</v>
      </c>
      <c r="L1038" s="90">
        <f>IF(E1038="M"," ",H1038/G1038)</f>
        <v>6.6780667806678071</v>
      </c>
      <c r="M1038" s="16">
        <f>IF($E1038="L",$J1038,0)</f>
        <v>0</v>
      </c>
      <c r="N1038" s="16">
        <f>IF($E1038="M",$J1038,0)</f>
        <v>0</v>
      </c>
      <c r="O1038" s="16">
        <f>IF($E1038="P",$J1038,0)</f>
        <v>2904.9590495904963</v>
      </c>
      <c r="P1038" s="16">
        <f>IF($E1038="S",$J1038,0)</f>
        <v>0</v>
      </c>
      <c r="Q1038" s="16">
        <f>SUM(M1038:P1038)</f>
        <v>2904.9590495904963</v>
      </c>
      <c r="R1038" s="118">
        <v>57</v>
      </c>
    </row>
    <row r="1039" spans="1:18" outlineLevel="1" x14ac:dyDescent="0.5">
      <c r="A1039" s="132" t="s">
        <v>448</v>
      </c>
      <c r="B1039" s="1">
        <v>12</v>
      </c>
      <c r="C1039" s="2" t="s">
        <v>656</v>
      </c>
      <c r="D1039" s="1"/>
      <c r="E1039" s="45"/>
      <c r="F1039" s="53"/>
      <c r="G1039" s="11"/>
      <c r="H1039" s="11"/>
      <c r="I1039" s="11"/>
      <c r="J1039" s="11"/>
      <c r="K1039" s="91"/>
      <c r="L1039" s="91"/>
      <c r="M1039" s="13"/>
      <c r="N1039" s="13"/>
      <c r="O1039" s="13"/>
      <c r="P1039" s="13"/>
      <c r="Q1039" s="13"/>
      <c r="R1039" s="119"/>
    </row>
    <row r="1040" spans="1:18" outlineLevel="1" x14ac:dyDescent="0.5">
      <c r="A1040" s="131" t="s">
        <v>448</v>
      </c>
      <c r="B1040" s="14">
        <v>13</v>
      </c>
      <c r="C1040" s="15" t="s">
        <v>96</v>
      </c>
      <c r="D1040" s="44" t="str">
        <f>VLOOKUP(Estimate!$C1040,Resources!$B$3:$G$336,4,FALSE)</f>
        <v xml:space="preserve">hr   </v>
      </c>
      <c r="E1040" s="44" t="str">
        <f>VLOOKUP(Estimate!$C1040,Resources!$B$3:$G$336,3,FALSE)</f>
        <v>P</v>
      </c>
      <c r="F1040" s="52">
        <v>1</v>
      </c>
      <c r="G1040" s="12">
        <f>G1037</f>
        <v>33.332999999999998</v>
      </c>
      <c r="H1040" s="12">
        <f>H1027</f>
        <v>222.6</v>
      </c>
      <c r="I1040" s="12">
        <f>VLOOKUP(C1040,Resources!$B$3:$G$336,6,FALSE)</f>
        <v>145</v>
      </c>
      <c r="J1040" s="12">
        <f>(H1040/(G1040/F1040))*I1040</f>
        <v>968.31968319683199</v>
      </c>
      <c r="K1040" s="90">
        <f>L1040*F1040</f>
        <v>6.6780667806678071</v>
      </c>
      <c r="L1040" s="90">
        <f>IF(E1040="M"," ",H1040/G1040)</f>
        <v>6.6780667806678071</v>
      </c>
      <c r="M1040" s="16">
        <f>IF($E1040="L",$J1040,0)</f>
        <v>0</v>
      </c>
      <c r="N1040" s="16">
        <f>IF($E1040="M",$J1040,0)</f>
        <v>0</v>
      </c>
      <c r="O1040" s="16">
        <f>IF($E1040="P",$J1040,0)</f>
        <v>968.31968319683199</v>
      </c>
      <c r="P1040" s="16">
        <f>IF($E1040="S",$J1040,0)</f>
        <v>0</v>
      </c>
      <c r="Q1040" s="16">
        <f>SUM(M1040:P1040)</f>
        <v>968.31968319683199</v>
      </c>
      <c r="R1040" s="118">
        <v>57</v>
      </c>
    </row>
    <row r="1041" spans="1:18" outlineLevel="1" x14ac:dyDescent="0.5">
      <c r="A1041" s="131" t="s">
        <v>448</v>
      </c>
      <c r="B1041" s="14">
        <v>14</v>
      </c>
      <c r="C1041" s="15" t="s">
        <v>60</v>
      </c>
      <c r="D1041" s="44" t="str">
        <f>VLOOKUP(Estimate!$C1041,Resources!$B$3:$G$336,4,FALSE)</f>
        <v xml:space="preserve">hr   </v>
      </c>
      <c r="E1041" s="44" t="str">
        <f>VLOOKUP(Estimate!$C1041,Resources!$B$3:$G$336,3,FALSE)</f>
        <v>P</v>
      </c>
      <c r="F1041" s="52">
        <v>1</v>
      </c>
      <c r="G1041" s="12">
        <f>G1037</f>
        <v>33.332999999999998</v>
      </c>
      <c r="H1041" s="12">
        <f>H1027</f>
        <v>222.6</v>
      </c>
      <c r="I1041" s="12">
        <f>VLOOKUP(C1041,Resources!$B$3:$G$336,6,FALSE)</f>
        <v>95</v>
      </c>
      <c r="J1041" s="12">
        <f>(H1041/(G1041/F1041))*I1041</f>
        <v>634.41634416344164</v>
      </c>
      <c r="K1041" s="90">
        <f>L1041*F1041</f>
        <v>6.6780667806678071</v>
      </c>
      <c r="L1041" s="90">
        <f>IF(E1041="M"," ",H1041/G1041)</f>
        <v>6.6780667806678071</v>
      </c>
      <c r="M1041" s="16">
        <f>IF($E1041="L",$J1041,0)</f>
        <v>0</v>
      </c>
      <c r="N1041" s="16">
        <f>IF($E1041="M",$J1041,0)</f>
        <v>0</v>
      </c>
      <c r="O1041" s="16">
        <f>IF($E1041="P",$J1041,0)</f>
        <v>634.41634416344164</v>
      </c>
      <c r="P1041" s="16">
        <f>IF($E1041="S",$J1041,0)</f>
        <v>0</v>
      </c>
      <c r="Q1041" s="16">
        <f>SUM(M1041:P1041)</f>
        <v>634.41634416344164</v>
      </c>
      <c r="R1041" s="118">
        <v>57</v>
      </c>
    </row>
    <row r="1042" spans="1:18" outlineLevel="1" x14ac:dyDescent="0.5">
      <c r="A1042" s="131" t="s">
        <v>448</v>
      </c>
      <c r="B1042" s="14">
        <v>15</v>
      </c>
      <c r="C1042" s="15" t="s">
        <v>830</v>
      </c>
      <c r="D1042" s="44" t="str">
        <f>VLOOKUP(Estimate!$C1042,Resources!$B$3:$G$336,4,FALSE)</f>
        <v xml:space="preserve">hr   </v>
      </c>
      <c r="E1042" s="44" t="str">
        <f>VLOOKUP(Estimate!$C1042,Resources!$B$3:$G$336,3,FALSE)</f>
        <v>P</v>
      </c>
      <c r="F1042" s="52">
        <v>1</v>
      </c>
      <c r="G1042" s="12">
        <f>G1037</f>
        <v>33.332999999999998</v>
      </c>
      <c r="H1042" s="12">
        <f>H1027</f>
        <v>222.6</v>
      </c>
      <c r="I1042" s="12">
        <f>VLOOKUP(C1042,Resources!$B$3:$G$336,6,FALSE)</f>
        <v>58</v>
      </c>
      <c r="J1042" s="12">
        <f>(H1042/(G1042/F1042))*I1042</f>
        <v>387.3278732787328</v>
      </c>
      <c r="K1042" s="90">
        <f>L1042*F1042</f>
        <v>6.6780667806678071</v>
      </c>
      <c r="L1042" s="90">
        <f>IF(E1042="M"," ",H1042/G1042)</f>
        <v>6.6780667806678071</v>
      </c>
      <c r="M1042" s="16">
        <f>IF($E1042="L",$J1042,0)</f>
        <v>0</v>
      </c>
      <c r="N1042" s="16">
        <f>IF($E1042="M",$J1042,0)</f>
        <v>0</v>
      </c>
      <c r="O1042" s="16">
        <f>IF($E1042="P",$J1042,0)</f>
        <v>387.3278732787328</v>
      </c>
      <c r="P1042" s="16">
        <f>IF($E1042="S",$J1042,0)</f>
        <v>0</v>
      </c>
      <c r="Q1042" s="16">
        <f>SUM(M1042:P1042)</f>
        <v>387.3278732787328</v>
      </c>
      <c r="R1042" s="118">
        <v>57</v>
      </c>
    </row>
    <row r="1043" spans="1:18" outlineLevel="1" x14ac:dyDescent="0.5">
      <c r="A1043" s="131" t="s">
        <v>448</v>
      </c>
      <c r="B1043" s="14">
        <v>16</v>
      </c>
      <c r="C1043" s="15" t="s">
        <v>7</v>
      </c>
      <c r="D1043" s="44" t="str">
        <f>VLOOKUP(Estimate!$C1043,Resources!$B$3:$G$336,4,FALSE)</f>
        <v xml:space="preserve">hr   </v>
      </c>
      <c r="E1043" s="44" t="str">
        <f>VLOOKUP(Estimate!$C1043,Resources!$B$3:$G$336,3,FALSE)</f>
        <v>L</v>
      </c>
      <c r="F1043" s="52">
        <v>3</v>
      </c>
      <c r="G1043" s="12">
        <f>G1037</f>
        <v>33.332999999999998</v>
      </c>
      <c r="H1043" s="12">
        <f>H1027</f>
        <v>222.6</v>
      </c>
      <c r="I1043" s="12">
        <f>VLOOKUP(C1043,Resources!$B$3:$G$336,6,FALSE)</f>
        <v>38</v>
      </c>
      <c r="J1043" s="12">
        <f>(H1043/(G1043/F1043))*I1043</f>
        <v>761.29961299613012</v>
      </c>
      <c r="K1043" s="90">
        <f>L1043*F1043</f>
        <v>20.034200342003423</v>
      </c>
      <c r="L1043" s="90">
        <f>IF(E1043="M"," ",H1043/G1043)</f>
        <v>6.6780667806678071</v>
      </c>
      <c r="M1043" s="16">
        <f>IF($E1043="L",$J1043,0)</f>
        <v>761.29961299613012</v>
      </c>
      <c r="N1043" s="16">
        <f>IF($E1043="M",$J1043,0)</f>
        <v>0</v>
      </c>
      <c r="O1043" s="16">
        <f>IF($E1043="P",$J1043,0)</f>
        <v>0</v>
      </c>
      <c r="P1043" s="16">
        <f>IF($E1043="S",$J1043,0)</f>
        <v>0</v>
      </c>
      <c r="Q1043" s="16">
        <f>SUM(M1043:P1043)</f>
        <v>761.29961299613012</v>
      </c>
      <c r="R1043" s="118">
        <v>57</v>
      </c>
    </row>
    <row r="1044" spans="1:18" outlineLevel="1" x14ac:dyDescent="0.5">
      <c r="A1044" s="131" t="s">
        <v>448</v>
      </c>
      <c r="B1044" s="14">
        <v>17</v>
      </c>
      <c r="C1044" s="15" t="s">
        <v>49</v>
      </c>
      <c r="D1044" s="44" t="str">
        <f>VLOOKUP(Estimate!$C1044,Resources!$B$3:$G$336,4,FALSE)</f>
        <v xml:space="preserve">hr   </v>
      </c>
      <c r="E1044" s="44" t="str">
        <f>VLOOKUP(Estimate!$C1044,Resources!$B$3:$G$336,3,FALSE)</f>
        <v>P</v>
      </c>
      <c r="F1044" s="52">
        <v>1</v>
      </c>
      <c r="G1044" s="12">
        <f>G1037</f>
        <v>33.332999999999998</v>
      </c>
      <c r="H1044" s="12">
        <f>H1027</f>
        <v>222.6</v>
      </c>
      <c r="I1044" s="12">
        <f>VLOOKUP(C1044,Resources!$B$3:$G$336,6,FALSE)</f>
        <v>95</v>
      </c>
      <c r="J1044" s="12">
        <f>(H1044/(G1044/F1044))*I1044</f>
        <v>634.41634416344164</v>
      </c>
      <c r="K1044" s="90">
        <f>L1044*F1044</f>
        <v>6.6780667806678071</v>
      </c>
      <c r="L1044" s="90">
        <f>IF(E1044="M"," ",H1044/G1044)</f>
        <v>6.6780667806678071</v>
      </c>
      <c r="M1044" s="16">
        <f>IF($E1044="L",$J1044,0)</f>
        <v>0</v>
      </c>
      <c r="N1044" s="16">
        <f>IF($E1044="M",$J1044,0)</f>
        <v>0</v>
      </c>
      <c r="O1044" s="16">
        <f>IF($E1044="P",$J1044,0)</f>
        <v>634.41634416344164</v>
      </c>
      <c r="P1044" s="16">
        <f>IF($E1044="S",$J1044,0)</f>
        <v>0</v>
      </c>
      <c r="Q1044" s="16">
        <f>SUM(M1044:P1044)</f>
        <v>634.41634416344164</v>
      </c>
      <c r="R1044" s="118">
        <v>57</v>
      </c>
    </row>
    <row r="1045" spans="1:18" outlineLevel="1" x14ac:dyDescent="0.5">
      <c r="A1045" s="132" t="s">
        <v>448</v>
      </c>
      <c r="B1045" s="1"/>
      <c r="C1045" s="2"/>
      <c r="D1045" s="1"/>
      <c r="E1045" s="45"/>
      <c r="F1045" s="53"/>
      <c r="G1045" s="11"/>
      <c r="H1045" s="11"/>
      <c r="I1045" s="11"/>
      <c r="J1045" s="11"/>
      <c r="K1045" s="91"/>
      <c r="L1045" s="91"/>
      <c r="M1045" s="13"/>
      <c r="N1045" s="13"/>
      <c r="O1045" s="13"/>
      <c r="P1045" s="13"/>
      <c r="Q1045" s="13"/>
      <c r="R1045" s="119"/>
    </row>
    <row r="1046" spans="1:18" x14ac:dyDescent="0.5">
      <c r="A1046" s="130">
        <v>209</v>
      </c>
      <c r="B1046" s="7" t="s">
        <v>545</v>
      </c>
      <c r="C1046" s="7" t="s">
        <v>511</v>
      </c>
      <c r="D1046" s="8" t="s">
        <v>72</v>
      </c>
      <c r="E1046" s="43"/>
      <c r="F1046" s="51"/>
      <c r="G1046" s="9"/>
      <c r="H1046" s="129">
        <f>VLOOKUP($A1046,'Model Inputs'!$A:$D,4)</f>
        <v>222.6</v>
      </c>
      <c r="I1046" s="9"/>
      <c r="J1046" s="9">
        <f>SUBTOTAL(9,J1048:J1057)</f>
        <v>3005.9321508033327</v>
      </c>
      <c r="K1046" s="89"/>
      <c r="L1046" s="89">
        <f>MAX(L1048:L1057)/workhrs</f>
        <v>0.27824965218793474</v>
      </c>
      <c r="M1046" s="9">
        <f>SUBTOTAL(9,M1048:M1057)</f>
        <v>285.48414314482108</v>
      </c>
      <c r="N1046" s="9">
        <f t="shared" ref="N1046:Q1046" si="118">SUBTOTAL(9,N1048:N1057)</f>
        <v>0</v>
      </c>
      <c r="O1046" s="9">
        <f t="shared" si="118"/>
        <v>2720.4480076585114</v>
      </c>
      <c r="P1046" s="9">
        <f t="shared" si="118"/>
        <v>0</v>
      </c>
      <c r="Q1046" s="9">
        <f t="shared" si="118"/>
        <v>3005.9321508033327</v>
      </c>
      <c r="R1046" s="43"/>
    </row>
    <row r="1047" spans="1:18" outlineLevel="1" x14ac:dyDescent="0.5">
      <c r="A1047" s="132" t="s">
        <v>448</v>
      </c>
      <c r="B1047" s="1">
        <v>1</v>
      </c>
      <c r="C1047" s="2" t="s">
        <v>911</v>
      </c>
      <c r="D1047" s="1"/>
      <c r="E1047" s="45"/>
      <c r="F1047" s="53"/>
      <c r="G1047" s="11"/>
      <c r="H1047" s="11"/>
      <c r="I1047" s="11"/>
      <c r="J1047" s="11"/>
      <c r="K1047" s="91"/>
      <c r="L1047" s="91"/>
      <c r="M1047" s="13"/>
      <c r="N1047" s="13"/>
      <c r="O1047" s="13"/>
      <c r="P1047" s="13"/>
      <c r="Q1047" s="13"/>
      <c r="R1047" s="119"/>
    </row>
    <row r="1048" spans="1:18" outlineLevel="1" x14ac:dyDescent="0.5">
      <c r="A1048" s="131">
        <v>209.1</v>
      </c>
      <c r="B1048" s="14">
        <v>2</v>
      </c>
      <c r="C1048" s="15" t="s">
        <v>101</v>
      </c>
      <c r="D1048" s="44" t="str">
        <f>VLOOKUP(Estimate!$C1048,Resources!$B$3:$G$336,4,FALSE)</f>
        <v xml:space="preserve">hr   </v>
      </c>
      <c r="E1048" s="44" t="str">
        <f>VLOOKUP(Estimate!$C1048,Resources!$B$3:$G$336,3,FALSE)</f>
        <v>P</v>
      </c>
      <c r="F1048" s="52">
        <v>1</v>
      </c>
      <c r="G1048" s="129">
        <f>VLOOKUP($A1048,'Model Inputs'!$A:$D,4)</f>
        <v>133.333</v>
      </c>
      <c r="H1048" s="12">
        <f>H1046</f>
        <v>222.6</v>
      </c>
      <c r="I1048" s="12">
        <f>VLOOKUP(C1048,Resources!$B$3:$G$336,6,FALSE)</f>
        <v>185</v>
      </c>
      <c r="J1048" s="12">
        <f>(H1048/(G1048/F1048))*I1048</f>
        <v>308.85827214568036</v>
      </c>
      <c r="K1048" s="90">
        <f>L1048*F1048</f>
        <v>1.6695041737604344</v>
      </c>
      <c r="L1048" s="90">
        <f>IF(E1048="M"," ",H1048/G1048)</f>
        <v>1.6695041737604344</v>
      </c>
      <c r="M1048" s="16">
        <f>IF($E1048="L",$J1048,0)</f>
        <v>0</v>
      </c>
      <c r="N1048" s="16">
        <f>IF($E1048="M",$J1048,0)</f>
        <v>0</v>
      </c>
      <c r="O1048" s="16">
        <f>IF($E1048="P",$J1048,0)</f>
        <v>308.85827214568036</v>
      </c>
      <c r="P1048" s="16">
        <f>IF($E1048="S",$J1048,0)</f>
        <v>0</v>
      </c>
      <c r="Q1048" s="16">
        <f>SUM(M1048:P1048)</f>
        <v>308.85827214568036</v>
      </c>
      <c r="R1048" s="118">
        <v>52</v>
      </c>
    </row>
    <row r="1049" spans="1:18" outlineLevel="1" x14ac:dyDescent="0.5">
      <c r="A1049" s="132" t="s">
        <v>448</v>
      </c>
      <c r="B1049" s="1">
        <v>3</v>
      </c>
      <c r="C1049" s="2" t="s">
        <v>655</v>
      </c>
      <c r="D1049" s="1"/>
      <c r="E1049" s="45"/>
      <c r="F1049" s="53"/>
      <c r="G1049" s="11"/>
      <c r="H1049" s="11"/>
      <c r="I1049" s="11"/>
      <c r="J1049" s="11"/>
      <c r="K1049" s="91"/>
      <c r="L1049" s="91"/>
      <c r="M1049" s="13"/>
      <c r="N1049" s="13"/>
      <c r="O1049" s="13"/>
      <c r="P1049" s="13"/>
      <c r="Q1049" s="13"/>
      <c r="R1049" s="119"/>
    </row>
    <row r="1050" spans="1:18" outlineLevel="1" x14ac:dyDescent="0.5">
      <c r="A1050" s="131">
        <v>209.2</v>
      </c>
      <c r="B1050" s="14">
        <v>4</v>
      </c>
      <c r="C1050" s="15" t="s">
        <v>55</v>
      </c>
      <c r="D1050" s="44" t="str">
        <f>VLOOKUP(Estimate!$C1050,Resources!$B$3:$G$336,4,FALSE)</f>
        <v xml:space="preserve">hr   </v>
      </c>
      <c r="E1050" s="44" t="str">
        <f>VLOOKUP(Estimate!$C1050,Resources!$B$3:$G$336,3,FALSE)</f>
        <v>P</v>
      </c>
      <c r="F1050" s="52">
        <v>1</v>
      </c>
      <c r="G1050" s="129">
        <f>VLOOKUP($A1050,'Model Inputs'!$A:$D,4)</f>
        <v>88.888999999999996</v>
      </c>
      <c r="H1050" s="12">
        <f>H1046</f>
        <v>222.6</v>
      </c>
      <c r="I1050" s="12">
        <f>VLOOKUP(C1050,Resources!$B$3:$G$336,6,FALSE)</f>
        <v>135</v>
      </c>
      <c r="J1050" s="12">
        <f>(H1050/(G1050/F1050))*I1050</f>
        <v>338.07332740834073</v>
      </c>
      <c r="K1050" s="90">
        <f>L1050*F1050</f>
        <v>2.5042468696914129</v>
      </c>
      <c r="L1050" s="90">
        <f>IF(E1050="M"," ",H1050/G1050)</f>
        <v>2.5042468696914129</v>
      </c>
      <c r="M1050" s="16">
        <f>IF($E1050="L",$J1050,0)</f>
        <v>0</v>
      </c>
      <c r="N1050" s="16">
        <f>IF($E1050="M",$J1050,0)</f>
        <v>0</v>
      </c>
      <c r="O1050" s="16">
        <f>IF($E1050="P",$J1050,0)</f>
        <v>338.07332740834073</v>
      </c>
      <c r="P1050" s="16">
        <f>IF($E1050="S",$J1050,0)</f>
        <v>0</v>
      </c>
      <c r="Q1050" s="16">
        <f>SUM(M1050:P1050)</f>
        <v>338.07332740834073</v>
      </c>
      <c r="R1050" s="118">
        <v>52</v>
      </c>
    </row>
    <row r="1051" spans="1:18" outlineLevel="1" x14ac:dyDescent="0.5">
      <c r="A1051" s="131" t="s">
        <v>448</v>
      </c>
      <c r="B1051" s="14">
        <v>5</v>
      </c>
      <c r="C1051" s="15" t="s">
        <v>102</v>
      </c>
      <c r="D1051" s="44" t="str">
        <f>VLOOKUP(Estimate!$C1051,Resources!$B$3:$G$336,4,FALSE)</f>
        <v xml:space="preserve">hr   </v>
      </c>
      <c r="E1051" s="44" t="str">
        <f>VLOOKUP(Estimate!$C1051,Resources!$B$3:$G$336,3,FALSE)</f>
        <v>P</v>
      </c>
      <c r="F1051" s="52">
        <v>3</v>
      </c>
      <c r="G1051" s="12">
        <f>G1050</f>
        <v>88.888999999999996</v>
      </c>
      <c r="H1051" s="12">
        <f>H1046</f>
        <v>222.6</v>
      </c>
      <c r="I1051" s="12">
        <f>VLOOKUP(C1051,Resources!$B$3:$G$336,6,FALSE)</f>
        <v>145</v>
      </c>
      <c r="J1051" s="12">
        <f>(H1051/(G1051/F1051))*I1051</f>
        <v>1089.3473883157646</v>
      </c>
      <c r="K1051" s="90">
        <f>L1051*F1051</f>
        <v>7.512740609074239</v>
      </c>
      <c r="L1051" s="90">
        <f>IF(E1051="M"," ",H1051/G1051)</f>
        <v>2.5042468696914129</v>
      </c>
      <c r="M1051" s="16">
        <f>IF($E1051="L",$J1051,0)</f>
        <v>0</v>
      </c>
      <c r="N1051" s="16">
        <f>IF($E1051="M",$J1051,0)</f>
        <v>0</v>
      </c>
      <c r="O1051" s="16">
        <f>IF($E1051="P",$J1051,0)</f>
        <v>1089.3473883157646</v>
      </c>
      <c r="P1051" s="16">
        <f>IF($E1051="S",$J1051,0)</f>
        <v>0</v>
      </c>
      <c r="Q1051" s="16">
        <f>SUM(M1051:P1051)</f>
        <v>1089.3473883157646</v>
      </c>
      <c r="R1051" s="118">
        <v>52</v>
      </c>
    </row>
    <row r="1052" spans="1:18" outlineLevel="1" x14ac:dyDescent="0.5">
      <c r="A1052" s="132" t="s">
        <v>448</v>
      </c>
      <c r="B1052" s="1">
        <v>6</v>
      </c>
      <c r="C1052" s="2" t="s">
        <v>656</v>
      </c>
      <c r="D1052" s="1"/>
      <c r="E1052" s="45"/>
      <c r="F1052" s="53"/>
      <c r="G1052" s="11"/>
      <c r="H1052" s="11"/>
      <c r="I1052" s="11"/>
      <c r="J1052" s="11"/>
      <c r="K1052" s="91"/>
      <c r="L1052" s="91"/>
      <c r="M1052" s="13"/>
      <c r="N1052" s="13"/>
      <c r="O1052" s="13"/>
      <c r="P1052" s="13"/>
      <c r="Q1052" s="13"/>
      <c r="R1052" s="119"/>
    </row>
    <row r="1053" spans="1:18" outlineLevel="1" x14ac:dyDescent="0.5">
      <c r="A1053" s="131" t="s">
        <v>448</v>
      </c>
      <c r="B1053" s="14">
        <v>7</v>
      </c>
      <c r="C1053" s="15" t="s">
        <v>96</v>
      </c>
      <c r="D1053" s="44" t="str">
        <f>VLOOKUP(Estimate!$C1053,Resources!$B$3:$G$336,4,FALSE)</f>
        <v xml:space="preserve">hr   </v>
      </c>
      <c r="E1053" s="44" t="str">
        <f>VLOOKUP(Estimate!$C1053,Resources!$B$3:$G$336,3,FALSE)</f>
        <v>P</v>
      </c>
      <c r="F1053" s="52">
        <v>1</v>
      </c>
      <c r="G1053" s="12">
        <f>G1050</f>
        <v>88.888999999999996</v>
      </c>
      <c r="H1053" s="12">
        <f>H1046</f>
        <v>222.6</v>
      </c>
      <c r="I1053" s="12">
        <f>VLOOKUP(C1053,Resources!$B$3:$G$336,6,FALSE)</f>
        <v>145</v>
      </c>
      <c r="J1053" s="12">
        <f>(H1053/(G1053/F1053))*I1053</f>
        <v>363.11579610525484</v>
      </c>
      <c r="K1053" s="90">
        <f>L1053*F1053</f>
        <v>2.5042468696914129</v>
      </c>
      <c r="L1053" s="90">
        <f>IF(E1053="M"," ",H1053/G1053)</f>
        <v>2.5042468696914129</v>
      </c>
      <c r="M1053" s="16">
        <f>IF($E1053="L",$J1053,0)</f>
        <v>0</v>
      </c>
      <c r="N1053" s="16">
        <f>IF($E1053="M",$J1053,0)</f>
        <v>0</v>
      </c>
      <c r="O1053" s="16">
        <f>IF($E1053="P",$J1053,0)</f>
        <v>363.11579610525484</v>
      </c>
      <c r="P1053" s="16">
        <f>IF($E1053="S",$J1053,0)</f>
        <v>0</v>
      </c>
      <c r="Q1053" s="16">
        <f>SUM(M1053:P1053)</f>
        <v>363.11579610525484</v>
      </c>
      <c r="R1053" s="118">
        <v>52</v>
      </c>
    </row>
    <row r="1054" spans="1:18" outlineLevel="1" x14ac:dyDescent="0.5">
      <c r="A1054" s="131" t="s">
        <v>448</v>
      </c>
      <c r="B1054" s="14">
        <v>8</v>
      </c>
      <c r="C1054" s="15" t="s">
        <v>60</v>
      </c>
      <c r="D1054" s="44" t="str">
        <f>VLOOKUP(Estimate!$C1054,Resources!$B$3:$G$336,4,FALSE)</f>
        <v xml:space="preserve">hr   </v>
      </c>
      <c r="E1054" s="44" t="str">
        <f>VLOOKUP(Estimate!$C1054,Resources!$B$3:$G$336,3,FALSE)</f>
        <v>P</v>
      </c>
      <c r="F1054" s="52">
        <v>1</v>
      </c>
      <c r="G1054" s="12">
        <f>G1050</f>
        <v>88.888999999999996</v>
      </c>
      <c r="H1054" s="12">
        <f>H1046</f>
        <v>222.6</v>
      </c>
      <c r="I1054" s="12">
        <f>VLOOKUP(C1054,Resources!$B$3:$G$336,6,FALSE)</f>
        <v>95</v>
      </c>
      <c r="J1054" s="12">
        <f>(H1054/(G1054/F1054))*I1054</f>
        <v>237.90345262068422</v>
      </c>
      <c r="K1054" s="90">
        <f>L1054*F1054</f>
        <v>2.5042468696914129</v>
      </c>
      <c r="L1054" s="90">
        <f>IF(E1054="M"," ",H1054/G1054)</f>
        <v>2.5042468696914129</v>
      </c>
      <c r="M1054" s="16">
        <f>IF($E1054="L",$J1054,0)</f>
        <v>0</v>
      </c>
      <c r="N1054" s="16">
        <f>IF($E1054="M",$J1054,0)</f>
        <v>0</v>
      </c>
      <c r="O1054" s="16">
        <f>IF($E1054="P",$J1054,0)</f>
        <v>237.90345262068422</v>
      </c>
      <c r="P1054" s="16">
        <f>IF($E1054="S",$J1054,0)</f>
        <v>0</v>
      </c>
      <c r="Q1054" s="16">
        <f>SUM(M1054:P1054)</f>
        <v>237.90345262068422</v>
      </c>
      <c r="R1054" s="118">
        <v>52</v>
      </c>
    </row>
    <row r="1055" spans="1:18" outlineLevel="1" x14ac:dyDescent="0.5">
      <c r="A1055" s="131" t="s">
        <v>448</v>
      </c>
      <c r="B1055" s="14">
        <v>9</v>
      </c>
      <c r="C1055" s="15" t="s">
        <v>830</v>
      </c>
      <c r="D1055" s="44" t="str">
        <f>VLOOKUP(Estimate!$C1055,Resources!$B$3:$G$336,4,FALSE)</f>
        <v xml:space="preserve">hr   </v>
      </c>
      <c r="E1055" s="44" t="str">
        <f>VLOOKUP(Estimate!$C1055,Resources!$B$3:$G$336,3,FALSE)</f>
        <v>P</v>
      </c>
      <c r="F1055" s="52">
        <v>1</v>
      </c>
      <c r="G1055" s="12">
        <f>G1050</f>
        <v>88.888999999999996</v>
      </c>
      <c r="H1055" s="12">
        <f>H1046</f>
        <v>222.6</v>
      </c>
      <c r="I1055" s="12">
        <f>VLOOKUP(C1055,Resources!$B$3:$G$336,6,FALSE)</f>
        <v>58</v>
      </c>
      <c r="J1055" s="12">
        <f>(H1055/(G1055/F1055))*I1055</f>
        <v>145.24631844210194</v>
      </c>
      <c r="K1055" s="90">
        <f>L1055*F1055</f>
        <v>2.5042468696914129</v>
      </c>
      <c r="L1055" s="90">
        <f>IF(E1055="M"," ",H1055/G1055)</f>
        <v>2.5042468696914129</v>
      </c>
      <c r="M1055" s="16">
        <f>IF($E1055="L",$J1055,0)</f>
        <v>0</v>
      </c>
      <c r="N1055" s="16">
        <f>IF($E1055="M",$J1055,0)</f>
        <v>0</v>
      </c>
      <c r="O1055" s="16">
        <f>IF($E1055="P",$J1055,0)</f>
        <v>145.24631844210194</v>
      </c>
      <c r="P1055" s="16">
        <f>IF($E1055="S",$J1055,0)</f>
        <v>0</v>
      </c>
      <c r="Q1055" s="16">
        <f>SUM(M1055:P1055)</f>
        <v>145.24631844210194</v>
      </c>
      <c r="R1055" s="118">
        <v>52</v>
      </c>
    </row>
    <row r="1056" spans="1:18" outlineLevel="1" x14ac:dyDescent="0.5">
      <c r="A1056" s="131" t="s">
        <v>448</v>
      </c>
      <c r="B1056" s="14">
        <v>10</v>
      </c>
      <c r="C1056" s="15" t="s">
        <v>7</v>
      </c>
      <c r="D1056" s="44" t="str">
        <f>VLOOKUP(Estimate!$C1056,Resources!$B$3:$G$336,4,FALSE)</f>
        <v xml:space="preserve">hr   </v>
      </c>
      <c r="E1056" s="44" t="str">
        <f>VLOOKUP(Estimate!$C1056,Resources!$B$3:$G$336,3,FALSE)</f>
        <v>L</v>
      </c>
      <c r="F1056" s="52">
        <v>3</v>
      </c>
      <c r="G1056" s="12">
        <f>G1050</f>
        <v>88.888999999999996</v>
      </c>
      <c r="H1056" s="12">
        <f>H1046</f>
        <v>222.6</v>
      </c>
      <c r="I1056" s="12">
        <f>VLOOKUP(C1056,Resources!$B$3:$G$336,6,FALSE)</f>
        <v>38</v>
      </c>
      <c r="J1056" s="12">
        <f>(H1056/(G1056/F1056))*I1056</f>
        <v>285.48414314482108</v>
      </c>
      <c r="K1056" s="90">
        <f>L1056*F1056</f>
        <v>7.512740609074239</v>
      </c>
      <c r="L1056" s="90">
        <f>IF(E1056="M"," ",H1056/G1056)</f>
        <v>2.5042468696914129</v>
      </c>
      <c r="M1056" s="16">
        <f>IF($E1056="L",$J1056,0)</f>
        <v>285.48414314482108</v>
      </c>
      <c r="N1056" s="16">
        <f>IF($E1056="M",$J1056,0)</f>
        <v>0</v>
      </c>
      <c r="O1056" s="16">
        <f>IF($E1056="P",$J1056,0)</f>
        <v>0</v>
      </c>
      <c r="P1056" s="16">
        <f>IF($E1056="S",$J1056,0)</f>
        <v>0</v>
      </c>
      <c r="Q1056" s="16">
        <f>SUM(M1056:P1056)</f>
        <v>285.48414314482108</v>
      </c>
      <c r="R1056" s="118">
        <v>52</v>
      </c>
    </row>
    <row r="1057" spans="1:75" outlineLevel="1" x14ac:dyDescent="0.5">
      <c r="A1057" s="131" t="s">
        <v>448</v>
      </c>
      <c r="B1057" s="14">
        <v>11</v>
      </c>
      <c r="C1057" s="15" t="s">
        <v>49</v>
      </c>
      <c r="D1057" s="44" t="str">
        <f>VLOOKUP(Estimate!$C1057,Resources!$B$3:$G$336,4,FALSE)</f>
        <v xml:space="preserve">hr   </v>
      </c>
      <c r="E1057" s="44" t="str">
        <f>VLOOKUP(Estimate!$C1057,Resources!$B$3:$G$336,3,FALSE)</f>
        <v>P</v>
      </c>
      <c r="F1057" s="52">
        <v>1</v>
      </c>
      <c r="G1057" s="12">
        <f>G1050</f>
        <v>88.888999999999996</v>
      </c>
      <c r="H1057" s="12">
        <f>H1046</f>
        <v>222.6</v>
      </c>
      <c r="I1057" s="12">
        <f>VLOOKUP(C1057,Resources!$B$3:$G$336,6,FALSE)</f>
        <v>95</v>
      </c>
      <c r="J1057" s="12">
        <f>(H1057/(G1057/F1057))*I1057</f>
        <v>237.90345262068422</v>
      </c>
      <c r="K1057" s="90">
        <f>L1057*F1057</f>
        <v>2.5042468696914129</v>
      </c>
      <c r="L1057" s="90">
        <f>IF(E1057="M"," ",H1057/G1057)</f>
        <v>2.5042468696914129</v>
      </c>
      <c r="M1057" s="16">
        <f>IF($E1057="L",$J1057,0)</f>
        <v>0</v>
      </c>
      <c r="N1057" s="16">
        <f>IF($E1057="M",$J1057,0)</f>
        <v>0</v>
      </c>
      <c r="O1057" s="16">
        <f>IF($E1057="P",$J1057,0)</f>
        <v>237.90345262068422</v>
      </c>
      <c r="P1057" s="16">
        <f>IF($E1057="S",$J1057,0)</f>
        <v>0</v>
      </c>
      <c r="Q1057" s="16">
        <f>SUM(M1057:P1057)</f>
        <v>237.90345262068422</v>
      </c>
      <c r="R1057" s="118">
        <v>52</v>
      </c>
    </row>
    <row r="1058" spans="1:75" outlineLevel="1" x14ac:dyDescent="0.5">
      <c r="A1058" s="132" t="s">
        <v>448</v>
      </c>
      <c r="B1058" s="1"/>
      <c r="C1058" s="2"/>
      <c r="D1058" s="1"/>
      <c r="E1058" s="45"/>
      <c r="F1058" s="53"/>
      <c r="G1058" s="11"/>
      <c r="H1058" s="11"/>
      <c r="I1058" s="11"/>
      <c r="J1058" s="11"/>
      <c r="K1058" s="91"/>
      <c r="L1058" s="91"/>
      <c r="M1058" s="13"/>
      <c r="N1058" s="13"/>
      <c r="O1058" s="13"/>
      <c r="P1058" s="13"/>
      <c r="Q1058" s="13"/>
      <c r="R1058" s="119"/>
    </row>
    <row r="1059" spans="1:75" x14ac:dyDescent="0.5">
      <c r="A1059" s="130">
        <v>210</v>
      </c>
      <c r="B1059" s="7" t="s">
        <v>546</v>
      </c>
      <c r="C1059" s="7" t="s">
        <v>547</v>
      </c>
      <c r="D1059" s="8" t="s">
        <v>83</v>
      </c>
      <c r="E1059" s="43"/>
      <c r="F1059" s="51"/>
      <c r="G1059" s="9"/>
      <c r="H1059" s="129">
        <f>VLOOKUP($A1059,'Model Inputs'!$A:$D,4)</f>
        <v>1</v>
      </c>
      <c r="I1059" s="9"/>
      <c r="J1059" s="9">
        <f>SUBTOTAL(9,J1062:J1071)</f>
        <v>43119.121399999996</v>
      </c>
      <c r="K1059" s="89"/>
      <c r="L1059" s="89">
        <f>MAX(L1060,L1064)</f>
        <v>7.7799999999999994</v>
      </c>
      <c r="M1059" s="9">
        <f>SUBTOTAL(9,M1062:M1071)</f>
        <v>10643.039999999999</v>
      </c>
      <c r="N1059" s="9">
        <f t="shared" ref="N1059:Q1059" si="119">SUBTOTAL(9,N1062:N1071)</f>
        <v>332</v>
      </c>
      <c r="O1059" s="9">
        <f t="shared" si="119"/>
        <v>32144.081399999995</v>
      </c>
      <c r="P1059" s="9">
        <f t="shared" si="119"/>
        <v>0</v>
      </c>
      <c r="Q1059" s="9">
        <f t="shared" si="119"/>
        <v>43119.121399999996</v>
      </c>
      <c r="R1059" s="117"/>
    </row>
    <row r="1060" spans="1:75" x14ac:dyDescent="0.5">
      <c r="A1060" s="130">
        <v>211</v>
      </c>
      <c r="B1060" s="7" t="s">
        <v>548</v>
      </c>
      <c r="C1060" s="7" t="s">
        <v>549</v>
      </c>
      <c r="D1060" s="8" t="s">
        <v>64</v>
      </c>
      <c r="E1060" s="43"/>
      <c r="F1060" s="51"/>
      <c r="G1060" s="9"/>
      <c r="H1060" s="129">
        <f>VLOOKUP($A1060,'Model Inputs'!$A:$D,4)</f>
        <v>36</v>
      </c>
      <c r="I1060" s="9"/>
      <c r="J1060" s="9">
        <f>SUBTOTAL(9,J1062)</f>
        <v>332</v>
      </c>
      <c r="K1060" s="89"/>
      <c r="L1060" s="89"/>
      <c r="M1060" s="9">
        <f>SUBTOTAL(9,M1062)</f>
        <v>0</v>
      </c>
      <c r="N1060" s="9">
        <f>SUBTOTAL(9,N1062)</f>
        <v>332</v>
      </c>
      <c r="O1060" s="9">
        <f t="shared" ref="O1060:Q1060" si="120">SUBTOTAL(9,O1062)</f>
        <v>0</v>
      </c>
      <c r="P1060" s="9">
        <f t="shared" si="120"/>
        <v>0</v>
      </c>
      <c r="Q1060" s="9">
        <f t="shared" si="120"/>
        <v>332</v>
      </c>
      <c r="R1060" s="43"/>
    </row>
    <row r="1061" spans="1:75" outlineLevel="1" x14ac:dyDescent="0.5">
      <c r="A1061" s="132" t="s">
        <v>448</v>
      </c>
      <c r="B1061" s="1">
        <v>1</v>
      </c>
      <c r="C1061" s="2" t="s">
        <v>549</v>
      </c>
      <c r="D1061" s="1"/>
      <c r="E1061" s="45"/>
      <c r="F1061" s="53"/>
      <c r="G1061" s="11"/>
      <c r="H1061" s="11"/>
      <c r="I1061" s="11"/>
      <c r="J1061" s="11"/>
      <c r="K1061" s="91"/>
      <c r="L1061" s="91"/>
      <c r="M1061" s="13"/>
      <c r="N1061" s="13"/>
      <c r="O1061" s="13"/>
      <c r="P1061" s="13"/>
      <c r="Q1061" s="13"/>
      <c r="R1061" s="119"/>
    </row>
    <row r="1062" spans="1:75" outlineLevel="1" x14ac:dyDescent="0.5">
      <c r="A1062" s="131">
        <v>211.1</v>
      </c>
      <c r="B1062" s="14">
        <v>2</v>
      </c>
      <c r="C1062" s="15" t="s">
        <v>723</v>
      </c>
      <c r="D1062" s="44" t="str">
        <f>VLOOKUP(Estimate!$C1062,Resources!$B$3:$G$336,4,FALSE)</f>
        <v>tonne</v>
      </c>
      <c r="E1062" s="44" t="str">
        <f>VLOOKUP(Estimate!$C1062,Resources!$B$3:$G$336,3,FALSE)</f>
        <v>M</v>
      </c>
      <c r="F1062" s="52">
        <v>1</v>
      </c>
      <c r="G1062" s="12">
        <v>1</v>
      </c>
      <c r="H1062" s="129">
        <f>VLOOKUP($A1062,'Model Inputs'!$A:$D,4)</f>
        <v>1</v>
      </c>
      <c r="I1062" s="12">
        <f>VLOOKUP(C1062,Resources!$B$3:$G$336,6,FALSE)</f>
        <v>332</v>
      </c>
      <c r="J1062" s="12">
        <f>(H1062/(G1062/F1062))*I1062</f>
        <v>332</v>
      </c>
      <c r="K1062" s="90"/>
      <c r="L1062" s="90" t="str">
        <f>IF(E1062="M"," ",H1062/G1062)</f>
        <v xml:space="preserve"> </v>
      </c>
      <c r="M1062" s="16">
        <f>IF($E1062="L",$J1062,0)</f>
        <v>0</v>
      </c>
      <c r="N1062" s="16">
        <f>IF($E1062="M",$J1062,0)</f>
        <v>332</v>
      </c>
      <c r="O1062" s="16">
        <f>IF($E1062="P",$J1062,0)</f>
        <v>0</v>
      </c>
      <c r="P1062" s="16">
        <f>IF($E1062="S",$J1062,0)</f>
        <v>0</v>
      </c>
      <c r="Q1062" s="16">
        <f>SUM(M1062:P1062)</f>
        <v>332</v>
      </c>
      <c r="R1062" s="118" t="s">
        <v>942</v>
      </c>
    </row>
    <row r="1063" spans="1:75" customFormat="1" ht="14.25" customHeight="1" x14ac:dyDescent="0.65">
      <c r="A1063" s="47" t="s">
        <v>448</v>
      </c>
      <c r="B1063" s="30"/>
      <c r="C1063" s="31"/>
      <c r="D1063" s="55"/>
      <c r="E1063" s="47"/>
      <c r="F1063" s="56"/>
      <c r="G1063" s="56"/>
      <c r="H1063" s="32"/>
      <c r="I1063" s="32"/>
      <c r="J1063" s="32"/>
      <c r="K1063" s="32"/>
      <c r="L1063" s="32"/>
      <c r="M1063" s="33"/>
      <c r="N1063" s="33"/>
      <c r="O1063" s="33"/>
      <c r="P1063" s="93"/>
      <c r="Q1063" s="93"/>
      <c r="R1063" s="122"/>
      <c r="S1063" s="33"/>
      <c r="T1063" s="34"/>
      <c r="BW1063" s="28"/>
    </row>
    <row r="1064" spans="1:75" x14ac:dyDescent="0.5">
      <c r="A1064" s="130">
        <v>212</v>
      </c>
      <c r="B1064" s="7" t="s">
        <v>550</v>
      </c>
      <c r="C1064" s="7" t="s">
        <v>551</v>
      </c>
      <c r="D1064" s="8" t="s">
        <v>83</v>
      </c>
      <c r="E1064" s="43"/>
      <c r="F1064" s="51"/>
      <c r="G1064" s="9"/>
      <c r="H1064" s="129">
        <f>VLOOKUP($A1064,'Model Inputs'!$A:$D,4)</f>
        <v>3890</v>
      </c>
      <c r="I1064" s="9"/>
      <c r="J1064" s="9">
        <f>SUBTOTAL(9,J1066:J1071)</f>
        <v>42787.121399999996</v>
      </c>
      <c r="K1064" s="89"/>
      <c r="L1064" s="89">
        <f>MAX(L1066:L1071)/workhrs</f>
        <v>7.7799999999999994</v>
      </c>
      <c r="M1064" s="9">
        <f t="shared" ref="M1064:Q1064" si="121">SUBTOTAL(9,M1066:M1071)</f>
        <v>10643.039999999999</v>
      </c>
      <c r="N1064" s="9">
        <f t="shared" si="121"/>
        <v>0</v>
      </c>
      <c r="O1064" s="9">
        <f t="shared" si="121"/>
        <v>32144.081399999995</v>
      </c>
      <c r="P1064" s="9">
        <f t="shared" si="121"/>
        <v>0</v>
      </c>
      <c r="Q1064" s="9">
        <f t="shared" si="121"/>
        <v>42787.121399999996</v>
      </c>
      <c r="R1064" s="117"/>
    </row>
    <row r="1065" spans="1:75" outlineLevel="1" x14ac:dyDescent="0.5">
      <c r="A1065" s="132" t="s">
        <v>448</v>
      </c>
      <c r="B1065" s="1">
        <v>6</v>
      </c>
      <c r="C1065" s="2" t="s">
        <v>943</v>
      </c>
      <c r="D1065" s="1"/>
      <c r="E1065" s="45"/>
      <c r="F1065" s="53"/>
      <c r="G1065" s="11"/>
      <c r="H1065" s="11"/>
      <c r="I1065" s="11"/>
      <c r="J1065" s="11"/>
      <c r="K1065" s="91"/>
      <c r="L1065" s="91"/>
      <c r="M1065" s="13"/>
      <c r="N1065" s="13"/>
      <c r="O1065" s="13"/>
      <c r="P1065" s="13"/>
      <c r="Q1065" s="13"/>
      <c r="R1065" s="119"/>
    </row>
    <row r="1066" spans="1:75" outlineLevel="1" x14ac:dyDescent="0.5">
      <c r="A1066" s="131">
        <v>212.1</v>
      </c>
      <c r="B1066" s="14">
        <v>7</v>
      </c>
      <c r="C1066" s="15" t="s">
        <v>813</v>
      </c>
      <c r="D1066" s="44" t="str">
        <f>VLOOKUP(Estimate!$C1066,Resources!$B$3:$G$336,4,FALSE)</f>
        <v xml:space="preserve">hr   </v>
      </c>
      <c r="E1066" s="44" t="str">
        <f>VLOOKUP(Estimate!$C1066,Resources!$B$3:$G$336,3,FALSE)</f>
        <v>P</v>
      </c>
      <c r="F1066" s="52">
        <v>1</v>
      </c>
      <c r="G1066" s="129">
        <f>VLOOKUP($A1066,'Model Inputs'!$A:$D,4)</f>
        <v>55.555555555555557</v>
      </c>
      <c r="H1066" s="12">
        <f>H1064</f>
        <v>3890</v>
      </c>
      <c r="I1066" s="12">
        <f>VLOOKUP(C1066,Resources!$B$3:$G$336,6,FALSE)</f>
        <v>66.069999999999993</v>
      </c>
      <c r="J1066" s="12">
        <f t="shared" ref="J1066:J1071" si="122">(H1066/(G1066/F1066))*I1066</f>
        <v>4626.2213999999994</v>
      </c>
      <c r="K1066" s="90">
        <f t="shared" ref="K1066:K1071" si="123">L1066*F1066</f>
        <v>70.02</v>
      </c>
      <c r="L1066" s="90">
        <f t="shared" ref="L1066:L1071" si="124">IF(E1066="M"," ",H1066/G1066)</f>
        <v>70.02</v>
      </c>
      <c r="M1066" s="16">
        <f t="shared" ref="M1066:M1071" si="125">IF($E1066="L",$J1066,0)</f>
        <v>0</v>
      </c>
      <c r="N1066" s="16">
        <f t="shared" ref="N1066:N1071" si="126">IF($E1066="M",$J1066,0)</f>
        <v>0</v>
      </c>
      <c r="O1066" s="16">
        <f t="shared" ref="O1066:O1071" si="127">IF($E1066="P",$J1066,0)</f>
        <v>4626.2213999999994</v>
      </c>
      <c r="P1066" s="16">
        <f t="shared" ref="P1066:P1071" si="128">IF($E1066="S",$J1066,0)</f>
        <v>0</v>
      </c>
      <c r="Q1066" s="16">
        <f t="shared" ref="Q1066:Q1071" si="129">SUM(M1066:P1066)</f>
        <v>4626.2213999999994</v>
      </c>
      <c r="R1066" s="118">
        <v>68</v>
      </c>
    </row>
    <row r="1067" spans="1:75" outlineLevel="1" x14ac:dyDescent="0.5">
      <c r="A1067" s="131" t="s">
        <v>448</v>
      </c>
      <c r="B1067" s="14">
        <v>7</v>
      </c>
      <c r="C1067" s="15" t="s">
        <v>96</v>
      </c>
      <c r="D1067" s="44" t="str">
        <f>VLOOKUP(Estimate!$C1067,Resources!$B$3:$G$336,4,FALSE)</f>
        <v xml:space="preserve">hr   </v>
      </c>
      <c r="E1067" s="44" t="str">
        <f>VLOOKUP(Estimate!$C1067,Resources!$B$3:$G$336,3,FALSE)</f>
        <v>P</v>
      </c>
      <c r="F1067" s="52">
        <v>1</v>
      </c>
      <c r="G1067" s="12">
        <f>G1066</f>
        <v>55.555555555555557</v>
      </c>
      <c r="H1067" s="12">
        <f>H1064</f>
        <v>3890</v>
      </c>
      <c r="I1067" s="12">
        <f>VLOOKUP(C1067,Resources!$B$3:$G$336,6,FALSE)</f>
        <v>145</v>
      </c>
      <c r="J1067" s="12">
        <f t="shared" si="122"/>
        <v>10152.9</v>
      </c>
      <c r="K1067" s="90">
        <f t="shared" si="123"/>
        <v>70.02</v>
      </c>
      <c r="L1067" s="90">
        <f t="shared" si="124"/>
        <v>70.02</v>
      </c>
      <c r="M1067" s="16">
        <f t="shared" si="125"/>
        <v>0</v>
      </c>
      <c r="N1067" s="16">
        <f t="shared" si="126"/>
        <v>0</v>
      </c>
      <c r="O1067" s="16">
        <f t="shared" si="127"/>
        <v>10152.9</v>
      </c>
      <c r="P1067" s="16">
        <f t="shared" si="128"/>
        <v>0</v>
      </c>
      <c r="Q1067" s="16">
        <f t="shared" si="129"/>
        <v>10152.9</v>
      </c>
      <c r="R1067" s="118">
        <v>68</v>
      </c>
    </row>
    <row r="1068" spans="1:75" outlineLevel="1" x14ac:dyDescent="0.5">
      <c r="A1068" s="131" t="s">
        <v>448</v>
      </c>
      <c r="B1068" s="14">
        <v>8</v>
      </c>
      <c r="C1068" s="15" t="s">
        <v>60</v>
      </c>
      <c r="D1068" s="44" t="str">
        <f>VLOOKUP(Estimate!$C1068,Resources!$B$3:$G$336,4,FALSE)</f>
        <v xml:space="preserve">hr   </v>
      </c>
      <c r="E1068" s="44" t="str">
        <f>VLOOKUP(Estimate!$C1068,Resources!$B$3:$G$336,3,FALSE)</f>
        <v>P</v>
      </c>
      <c r="F1068" s="52">
        <v>1</v>
      </c>
      <c r="G1068" s="12">
        <f>G1066</f>
        <v>55.555555555555557</v>
      </c>
      <c r="H1068" s="12">
        <f>H1064</f>
        <v>3890</v>
      </c>
      <c r="I1068" s="12">
        <f>VLOOKUP(C1068,Resources!$B$3:$G$336,6,FALSE)</f>
        <v>95</v>
      </c>
      <c r="J1068" s="12">
        <f t="shared" si="122"/>
        <v>6651.9</v>
      </c>
      <c r="K1068" s="90">
        <f t="shared" si="123"/>
        <v>70.02</v>
      </c>
      <c r="L1068" s="90">
        <f t="shared" si="124"/>
        <v>70.02</v>
      </c>
      <c r="M1068" s="16">
        <f t="shared" si="125"/>
        <v>0</v>
      </c>
      <c r="N1068" s="16">
        <f t="shared" si="126"/>
        <v>0</v>
      </c>
      <c r="O1068" s="16">
        <f t="shared" si="127"/>
        <v>6651.9</v>
      </c>
      <c r="P1068" s="16">
        <f t="shared" si="128"/>
        <v>0</v>
      </c>
      <c r="Q1068" s="16">
        <f t="shared" si="129"/>
        <v>6651.9</v>
      </c>
      <c r="R1068" s="118">
        <v>68</v>
      </c>
    </row>
    <row r="1069" spans="1:75" outlineLevel="1" x14ac:dyDescent="0.5">
      <c r="A1069" s="131" t="s">
        <v>448</v>
      </c>
      <c r="B1069" s="14">
        <v>9</v>
      </c>
      <c r="C1069" s="15" t="s">
        <v>830</v>
      </c>
      <c r="D1069" s="44" t="str">
        <f>VLOOKUP(Estimate!$C1069,Resources!$B$3:$G$336,4,FALSE)</f>
        <v xml:space="preserve">hr   </v>
      </c>
      <c r="E1069" s="44" t="str">
        <f>VLOOKUP(Estimate!$C1069,Resources!$B$3:$G$336,3,FALSE)</f>
        <v>P</v>
      </c>
      <c r="F1069" s="52">
        <v>1</v>
      </c>
      <c r="G1069" s="12">
        <f>G1066</f>
        <v>55.555555555555557</v>
      </c>
      <c r="H1069" s="12">
        <f>H1064</f>
        <v>3890</v>
      </c>
      <c r="I1069" s="12">
        <f>VLOOKUP(C1069,Resources!$B$3:$G$336,6,FALSE)</f>
        <v>58</v>
      </c>
      <c r="J1069" s="12">
        <f t="shared" si="122"/>
        <v>4061.16</v>
      </c>
      <c r="K1069" s="90">
        <f t="shared" si="123"/>
        <v>70.02</v>
      </c>
      <c r="L1069" s="90">
        <f t="shared" si="124"/>
        <v>70.02</v>
      </c>
      <c r="M1069" s="16">
        <f t="shared" si="125"/>
        <v>0</v>
      </c>
      <c r="N1069" s="16">
        <f t="shared" si="126"/>
        <v>0</v>
      </c>
      <c r="O1069" s="16">
        <f t="shared" si="127"/>
        <v>4061.16</v>
      </c>
      <c r="P1069" s="16">
        <f t="shared" si="128"/>
        <v>0</v>
      </c>
      <c r="Q1069" s="16">
        <f t="shared" si="129"/>
        <v>4061.16</v>
      </c>
      <c r="R1069" s="118">
        <v>68</v>
      </c>
    </row>
    <row r="1070" spans="1:75" outlineLevel="1" x14ac:dyDescent="0.5">
      <c r="A1070" s="131" t="s">
        <v>448</v>
      </c>
      <c r="B1070" s="14">
        <v>10</v>
      </c>
      <c r="C1070" s="15" t="s">
        <v>7</v>
      </c>
      <c r="D1070" s="44" t="str">
        <f>VLOOKUP(Estimate!$C1070,Resources!$B$3:$G$336,4,FALSE)</f>
        <v xml:space="preserve">hr   </v>
      </c>
      <c r="E1070" s="44" t="str">
        <f>VLOOKUP(Estimate!$C1070,Resources!$B$3:$G$336,3,FALSE)</f>
        <v>L</v>
      </c>
      <c r="F1070" s="52">
        <v>4</v>
      </c>
      <c r="G1070" s="12">
        <f>G1066</f>
        <v>55.555555555555557</v>
      </c>
      <c r="H1070" s="12">
        <f>H1064</f>
        <v>3890</v>
      </c>
      <c r="I1070" s="12">
        <f>VLOOKUP(C1070,Resources!$B$3:$G$336,6,FALSE)</f>
        <v>38</v>
      </c>
      <c r="J1070" s="12">
        <f t="shared" si="122"/>
        <v>10643.039999999999</v>
      </c>
      <c r="K1070" s="90">
        <f t="shared" si="123"/>
        <v>280.08</v>
      </c>
      <c r="L1070" s="90">
        <f t="shared" si="124"/>
        <v>70.02</v>
      </c>
      <c r="M1070" s="16">
        <f t="shared" si="125"/>
        <v>10643.039999999999</v>
      </c>
      <c r="N1070" s="16">
        <f t="shared" si="126"/>
        <v>0</v>
      </c>
      <c r="O1070" s="16">
        <f t="shared" si="127"/>
        <v>0</v>
      </c>
      <c r="P1070" s="16">
        <f t="shared" si="128"/>
        <v>0</v>
      </c>
      <c r="Q1070" s="16">
        <f t="shared" si="129"/>
        <v>10643.039999999999</v>
      </c>
      <c r="R1070" s="118">
        <v>68</v>
      </c>
    </row>
    <row r="1071" spans="1:75" outlineLevel="1" x14ac:dyDescent="0.5">
      <c r="A1071" s="131" t="s">
        <v>448</v>
      </c>
      <c r="B1071" s="14">
        <v>11</v>
      </c>
      <c r="C1071" s="15" t="s">
        <v>49</v>
      </c>
      <c r="D1071" s="44" t="str">
        <f>VLOOKUP(Estimate!$C1071,Resources!$B$3:$G$336,4,FALSE)</f>
        <v xml:space="preserve">hr   </v>
      </c>
      <c r="E1071" s="44" t="str">
        <f>VLOOKUP(Estimate!$C1071,Resources!$B$3:$G$336,3,FALSE)</f>
        <v>P</v>
      </c>
      <c r="F1071" s="52">
        <v>1</v>
      </c>
      <c r="G1071" s="12">
        <f>G1066</f>
        <v>55.555555555555557</v>
      </c>
      <c r="H1071" s="12">
        <f>H1064</f>
        <v>3890</v>
      </c>
      <c r="I1071" s="12">
        <f>VLOOKUP(C1071,Resources!$B$3:$G$336,6,FALSE)</f>
        <v>95</v>
      </c>
      <c r="J1071" s="12">
        <f t="shared" si="122"/>
        <v>6651.9</v>
      </c>
      <c r="K1071" s="90">
        <f t="shared" si="123"/>
        <v>70.02</v>
      </c>
      <c r="L1071" s="90">
        <f t="shared" si="124"/>
        <v>70.02</v>
      </c>
      <c r="M1071" s="16">
        <f t="shared" si="125"/>
        <v>0</v>
      </c>
      <c r="N1071" s="16">
        <f t="shared" si="126"/>
        <v>0</v>
      </c>
      <c r="O1071" s="16">
        <f t="shared" si="127"/>
        <v>6651.9</v>
      </c>
      <c r="P1071" s="16">
        <f t="shared" si="128"/>
        <v>0</v>
      </c>
      <c r="Q1071" s="16">
        <f t="shared" si="129"/>
        <v>6651.9</v>
      </c>
      <c r="R1071" s="118">
        <v>68</v>
      </c>
    </row>
    <row r="1072" spans="1:75" outlineLevel="1" x14ac:dyDescent="0.5">
      <c r="A1072" s="132" t="s">
        <v>448</v>
      </c>
      <c r="B1072" s="1"/>
      <c r="C1072" s="2"/>
      <c r="D1072" s="1"/>
      <c r="E1072" s="45"/>
      <c r="F1072" s="53"/>
      <c r="G1072" s="11"/>
      <c r="H1072" s="11"/>
      <c r="I1072" s="11"/>
      <c r="J1072" s="11"/>
      <c r="K1072" s="91"/>
      <c r="L1072" s="91"/>
      <c r="M1072" s="13"/>
      <c r="N1072" s="13"/>
      <c r="O1072" s="13"/>
      <c r="P1072" s="13"/>
      <c r="Q1072" s="13"/>
      <c r="R1072" s="119"/>
    </row>
    <row r="1073" spans="1:75" x14ac:dyDescent="0.5">
      <c r="A1073" s="130">
        <v>213</v>
      </c>
      <c r="B1073" s="7" t="s">
        <v>552</v>
      </c>
      <c r="C1073" s="7" t="s">
        <v>553</v>
      </c>
      <c r="D1073" s="8" t="s">
        <v>79</v>
      </c>
      <c r="E1073" s="43"/>
      <c r="F1073" s="51"/>
      <c r="G1073" s="9"/>
      <c r="H1073" s="129">
        <f>VLOOKUP($A1073,'Model Inputs'!$A:$D,4)</f>
        <v>1</v>
      </c>
      <c r="I1073" s="9"/>
      <c r="J1073" s="10">
        <f>SUBTOTAL(9,J1074)</f>
        <v>700</v>
      </c>
      <c r="K1073" s="89"/>
      <c r="L1073" s="89">
        <v>1</v>
      </c>
      <c r="M1073" s="10">
        <f>SUBTOTAL(9,M1074)</f>
        <v>0</v>
      </c>
      <c r="N1073" s="10">
        <f t="shared" ref="N1073:Q1073" si="130">SUBTOTAL(9,N1074)</f>
        <v>0</v>
      </c>
      <c r="O1073" s="10">
        <f t="shared" si="130"/>
        <v>0</v>
      </c>
      <c r="P1073" s="10">
        <f t="shared" si="130"/>
        <v>700</v>
      </c>
      <c r="Q1073" s="10">
        <f t="shared" si="130"/>
        <v>700</v>
      </c>
      <c r="R1073" s="117"/>
    </row>
    <row r="1074" spans="1:75" outlineLevel="1" x14ac:dyDescent="0.5">
      <c r="A1074" s="131" t="s">
        <v>448</v>
      </c>
      <c r="B1074" s="14">
        <v>1</v>
      </c>
      <c r="C1074" s="15" t="s">
        <v>268</v>
      </c>
      <c r="D1074" s="44" t="str">
        <f>VLOOKUP(Estimate!$C1074,Resources!$B$3:$G$336,4,FALSE)</f>
        <v xml:space="preserve">LS   </v>
      </c>
      <c r="E1074" s="44" t="str">
        <f>VLOOKUP(Estimate!$C1074,Resources!$B$3:$G$336,3,FALSE)</f>
        <v>S</v>
      </c>
      <c r="F1074" s="52">
        <v>700</v>
      </c>
      <c r="G1074" s="12">
        <v>1</v>
      </c>
      <c r="H1074" s="12">
        <v>1</v>
      </c>
      <c r="I1074" s="12">
        <f>VLOOKUP(C1074,Resources!$B$3:$G$336,6,FALSE)</f>
        <v>1</v>
      </c>
      <c r="J1074" s="12">
        <f>F1074*H1074*I1074</f>
        <v>700</v>
      </c>
      <c r="K1074" s="90"/>
      <c r="L1074" s="90">
        <f>IF(E1074="M"," ",H1074/G1074)</f>
        <v>1</v>
      </c>
      <c r="M1074" s="16">
        <f>IF($E1074="L",$J1074,0)</f>
        <v>0</v>
      </c>
      <c r="N1074" s="16">
        <f>IF($E1074="M",$J1074,0)</f>
        <v>0</v>
      </c>
      <c r="O1074" s="16">
        <f>IF($E1074="P",$J1074,0)</f>
        <v>0</v>
      </c>
      <c r="P1074" s="16">
        <f>IF($E1074="S",$J1074,0)</f>
        <v>700</v>
      </c>
      <c r="Q1074" s="16">
        <f>SUM(M1074:P1074)</f>
        <v>700</v>
      </c>
      <c r="R1074" s="118">
        <v>95</v>
      </c>
    </row>
    <row r="1075" spans="1:75" outlineLevel="1" x14ac:dyDescent="0.5">
      <c r="A1075" s="132" t="s">
        <v>448</v>
      </c>
      <c r="B1075" s="1"/>
      <c r="C1075" s="2"/>
      <c r="D1075" s="1"/>
      <c r="E1075" s="45"/>
      <c r="F1075" s="53"/>
      <c r="G1075" s="11"/>
      <c r="H1075" s="11"/>
      <c r="I1075" s="11"/>
      <c r="J1075" s="11"/>
      <c r="K1075" s="91"/>
      <c r="L1075" s="91"/>
      <c r="M1075" s="13"/>
      <c r="N1075" s="13"/>
      <c r="O1075" s="13"/>
      <c r="P1075" s="13"/>
      <c r="Q1075" s="13"/>
      <c r="R1075" s="119"/>
    </row>
    <row r="1076" spans="1:75" x14ac:dyDescent="0.5">
      <c r="A1076" s="130">
        <v>214</v>
      </c>
      <c r="B1076" s="7" t="s">
        <v>554</v>
      </c>
      <c r="C1076" s="7" t="s">
        <v>555</v>
      </c>
      <c r="D1076" s="8" t="s">
        <v>72</v>
      </c>
      <c r="E1076" s="43"/>
      <c r="F1076" s="51"/>
      <c r="G1076" s="9"/>
      <c r="H1076" s="129">
        <f>VLOOKUP($A1076,'Model Inputs'!$A:$D,4)</f>
        <v>1</v>
      </c>
      <c r="I1076" s="9"/>
      <c r="J1076" s="9">
        <f>SUBTOTAL(9,J1079:J1090)</f>
        <v>2275.2127774722253</v>
      </c>
      <c r="K1076" s="89"/>
      <c r="L1076" s="89">
        <f>L1077+L1086</f>
        <v>1.5466666666666669</v>
      </c>
      <c r="M1076" s="9">
        <f>SUBTOTAL(9,M1079:M1090)</f>
        <v>11.146555201114655</v>
      </c>
      <c r="N1076" s="9">
        <f t="shared" ref="N1076:Q1076" si="131">SUBTOTAL(9,N1079:N1090)</f>
        <v>916.79969493638407</v>
      </c>
      <c r="O1076" s="9">
        <f t="shared" si="131"/>
        <v>13.93319400139332</v>
      </c>
      <c r="P1076" s="9">
        <f t="shared" si="131"/>
        <v>1333.3333333333335</v>
      </c>
      <c r="Q1076" s="9">
        <f t="shared" si="131"/>
        <v>2275.2127774722253</v>
      </c>
      <c r="R1076" s="117"/>
    </row>
    <row r="1077" spans="1:75" x14ac:dyDescent="0.5">
      <c r="A1077" s="130">
        <v>215</v>
      </c>
      <c r="B1077" s="7" t="s">
        <v>558</v>
      </c>
      <c r="C1077" s="7" t="s">
        <v>559</v>
      </c>
      <c r="D1077" s="8" t="s">
        <v>72</v>
      </c>
      <c r="E1077" s="43"/>
      <c r="F1077" s="51"/>
      <c r="G1077" s="9"/>
      <c r="H1077" s="129">
        <f>VLOOKUP($A1077,'Model Inputs'!$A:$D,4)</f>
        <v>8</v>
      </c>
      <c r="I1077" s="9"/>
      <c r="J1077" s="9">
        <f>SUBTOTAL(9,J1079:J1084)</f>
        <v>1497.6276903897628</v>
      </c>
      <c r="K1077" s="89"/>
      <c r="L1077" s="89">
        <f>L1084/(50/9)/workhrs</f>
        <v>1.0666666666666669</v>
      </c>
      <c r="M1077" s="9">
        <f>SUBTOTAL(9,M1079:M1084)</f>
        <v>11.146555201114655</v>
      </c>
      <c r="N1077" s="9">
        <f>SUBTOTAL(9,N1079:N1084)</f>
        <v>139.21460785392145</v>
      </c>
      <c r="O1077" s="9">
        <f>SUBTOTAL(9,O1079:O1084)</f>
        <v>13.93319400139332</v>
      </c>
      <c r="P1077" s="9">
        <f>SUBTOTAL(9,P1079:P1084)</f>
        <v>1333.3333333333335</v>
      </c>
      <c r="Q1077" s="9">
        <f>SUBTOTAL(9,Q1079:Q1084)</f>
        <v>1497.6276903897628</v>
      </c>
      <c r="R1077" s="117"/>
    </row>
    <row r="1078" spans="1:75" outlineLevel="1" x14ac:dyDescent="0.5">
      <c r="A1078" s="132" t="s">
        <v>448</v>
      </c>
      <c r="B1078" s="1">
        <v>1</v>
      </c>
      <c r="C1078" s="2" t="s">
        <v>635</v>
      </c>
      <c r="D1078" s="1"/>
      <c r="E1078" s="45"/>
      <c r="F1078" s="53"/>
      <c r="G1078" s="11"/>
      <c r="H1078" s="11"/>
      <c r="I1078" s="11"/>
      <c r="J1078" s="11"/>
      <c r="K1078" s="91"/>
      <c r="L1078" s="91"/>
      <c r="M1078" s="13"/>
      <c r="N1078" s="13"/>
      <c r="O1078" s="13"/>
      <c r="P1078" s="13"/>
      <c r="Q1078" s="13"/>
      <c r="R1078" s="119"/>
    </row>
    <row r="1079" spans="1:75" outlineLevel="1" x14ac:dyDescent="0.5">
      <c r="A1079" s="131" t="s">
        <v>448</v>
      </c>
      <c r="B1079" s="14">
        <v>2</v>
      </c>
      <c r="C1079" s="15" t="s">
        <v>145</v>
      </c>
      <c r="D1079" s="44" t="str">
        <f>VLOOKUP(Estimate!$C1079,Resources!$B$3:$G$336,4,FALSE)</f>
        <v xml:space="preserve">m³   </v>
      </c>
      <c r="E1079" s="44" t="str">
        <f>VLOOKUP(Estimate!$C1079,Resources!$B$3:$G$336,3,FALSE)</f>
        <v>M</v>
      </c>
      <c r="F1079" s="52">
        <v>1</v>
      </c>
      <c r="G1079" s="12">
        <v>1</v>
      </c>
      <c r="H1079" s="12">
        <f>H1077/9.091</f>
        <v>0.87999120008799914</v>
      </c>
      <c r="I1079" s="12">
        <f>VLOOKUP(C1079,Resources!$B$3:$G$336,6,FALSE)</f>
        <v>158.19999999999999</v>
      </c>
      <c r="J1079" s="12">
        <f>(H1079/(G1079/F1079))*I1079</f>
        <v>139.21460785392145</v>
      </c>
      <c r="K1079" s="90"/>
      <c r="L1079" s="90" t="str">
        <f>IF(E1079="M"," ",H1079/G1079)</f>
        <v xml:space="preserve"> </v>
      </c>
      <c r="M1079" s="16">
        <f>IF($E1079="L",$J1079,0)</f>
        <v>0</v>
      </c>
      <c r="N1079" s="16">
        <f>IF($E1079="M",$J1079,0)</f>
        <v>139.21460785392145</v>
      </c>
      <c r="O1079" s="16">
        <f>IF($E1079="P",$J1079,0)</f>
        <v>0</v>
      </c>
      <c r="P1079" s="16">
        <f>IF($E1079="S",$J1079,0)</f>
        <v>0</v>
      </c>
      <c r="Q1079" s="16">
        <f>SUM(M1079:P1079)</f>
        <v>139.21460785392145</v>
      </c>
      <c r="R1079" s="118" t="s">
        <v>946</v>
      </c>
    </row>
    <row r="1080" spans="1:75" s="22" customFormat="1" outlineLevel="1" x14ac:dyDescent="0.5">
      <c r="A1080" s="133" t="s">
        <v>448</v>
      </c>
      <c r="B1080" s="18">
        <v>6</v>
      </c>
      <c r="C1080" s="19" t="s">
        <v>636</v>
      </c>
      <c r="D1080" s="18"/>
      <c r="E1080" s="46"/>
      <c r="F1080" s="54"/>
      <c r="G1080" s="20"/>
      <c r="H1080" s="20"/>
      <c r="I1080" s="20"/>
      <c r="J1080" s="20"/>
      <c r="K1080" s="92"/>
      <c r="L1080" s="92"/>
      <c r="M1080" s="21"/>
      <c r="N1080" s="21"/>
      <c r="O1080" s="21"/>
      <c r="P1080" s="21"/>
      <c r="Q1080" s="21"/>
      <c r="R1080" s="120"/>
      <c r="BR1080" s="83"/>
    </row>
    <row r="1081" spans="1:75" outlineLevel="1" x14ac:dyDescent="0.5">
      <c r="A1081" s="131">
        <v>215.1</v>
      </c>
      <c r="B1081" s="14">
        <v>7</v>
      </c>
      <c r="C1081" s="15" t="s">
        <v>49</v>
      </c>
      <c r="D1081" s="44" t="str">
        <f>VLOOKUP(Estimate!$C1081,Resources!$B$3:$G$336,4,FALSE)</f>
        <v xml:space="preserve">hr   </v>
      </c>
      <c r="E1081" s="44" t="str">
        <f>VLOOKUP(Estimate!$C1081,Resources!$B$3:$G$336,3,FALSE)</f>
        <v>P</v>
      </c>
      <c r="F1081" s="52">
        <v>1</v>
      </c>
      <c r="G1081" s="129">
        <f>VLOOKUP($A1081,'Model Inputs'!$A:$D,4)</f>
        <v>6</v>
      </c>
      <c r="H1081" s="12">
        <f>H1077/9.091</f>
        <v>0.87999120008799914</v>
      </c>
      <c r="I1081" s="12">
        <f>VLOOKUP(C1081,Resources!$B$3:$G$336,6,FALSE)</f>
        <v>95</v>
      </c>
      <c r="J1081" s="12">
        <f>(H1081/(G1081/F1081))*I1081</f>
        <v>13.93319400139332</v>
      </c>
      <c r="K1081" s="90">
        <f>L1081*F1081</f>
        <v>0.14666520001466651</v>
      </c>
      <c r="L1081" s="90">
        <f>IF(E1081="M"," ",H1081/G1081)</f>
        <v>0.14666520001466651</v>
      </c>
      <c r="M1081" s="16">
        <f>IF($E1081="L",$J1081,0)</f>
        <v>0</v>
      </c>
      <c r="N1081" s="16">
        <f>IF($E1081="M",$J1081,0)</f>
        <v>0</v>
      </c>
      <c r="O1081" s="16">
        <f>IF($E1081="P",$J1081,0)</f>
        <v>13.93319400139332</v>
      </c>
      <c r="P1081" s="16">
        <f>IF($E1081="S",$J1081,0)</f>
        <v>0</v>
      </c>
      <c r="Q1081" s="16">
        <f>SUM(M1081:P1081)</f>
        <v>13.93319400139332</v>
      </c>
      <c r="R1081" s="118">
        <v>73</v>
      </c>
    </row>
    <row r="1082" spans="1:75" outlineLevel="1" x14ac:dyDescent="0.5">
      <c r="A1082" s="131" t="s">
        <v>448</v>
      </c>
      <c r="B1082" s="14">
        <v>8</v>
      </c>
      <c r="C1082" s="15" t="s">
        <v>7</v>
      </c>
      <c r="D1082" s="44" t="str">
        <f>VLOOKUP(Estimate!$C1082,Resources!$B$3:$G$336,4,FALSE)</f>
        <v xml:space="preserve">hr   </v>
      </c>
      <c r="E1082" s="44" t="str">
        <f>VLOOKUP(Estimate!$C1082,Resources!$B$3:$G$336,3,FALSE)</f>
        <v>L</v>
      </c>
      <c r="F1082" s="52">
        <v>2</v>
      </c>
      <c r="G1082" s="12">
        <f>G1081</f>
        <v>6</v>
      </c>
      <c r="H1082" s="12">
        <f>H1081</f>
        <v>0.87999120008799914</v>
      </c>
      <c r="I1082" s="12">
        <f>VLOOKUP(C1082,Resources!$B$3:$G$336,6,FALSE)</f>
        <v>38</v>
      </c>
      <c r="J1082" s="12">
        <f>(H1082/(G1082/F1082))*I1082</f>
        <v>11.146555201114655</v>
      </c>
      <c r="K1082" s="90">
        <f>L1082*F1082</f>
        <v>0.29333040002933303</v>
      </c>
      <c r="L1082" s="90">
        <f>IF(E1082="M"," ",H1082/G1082)</f>
        <v>0.14666520001466651</v>
      </c>
      <c r="M1082" s="16">
        <f>IF($E1082="L",$J1082,0)</f>
        <v>11.146555201114655</v>
      </c>
      <c r="N1082" s="16">
        <f>IF($E1082="M",$J1082,0)</f>
        <v>0</v>
      </c>
      <c r="O1082" s="16">
        <f>IF($E1082="P",$J1082,0)</f>
        <v>0</v>
      </c>
      <c r="P1082" s="16">
        <f>IF($E1082="S",$J1082,0)</f>
        <v>0</v>
      </c>
      <c r="Q1082" s="16">
        <f>SUM(M1082:P1082)</f>
        <v>11.146555201114655</v>
      </c>
      <c r="R1082" s="118">
        <v>73</v>
      </c>
    </row>
    <row r="1083" spans="1:75" s="22" customFormat="1" outlineLevel="1" x14ac:dyDescent="0.5">
      <c r="A1083" s="133" t="s">
        <v>448</v>
      </c>
      <c r="B1083" s="18"/>
      <c r="C1083" s="19" t="s">
        <v>638</v>
      </c>
      <c r="D1083" s="18"/>
      <c r="E1083" s="46"/>
      <c r="F1083" s="54"/>
      <c r="G1083" s="20"/>
      <c r="H1083" s="20"/>
      <c r="I1083" s="20"/>
      <c r="J1083" s="20"/>
      <c r="K1083" s="92"/>
      <c r="L1083" s="92"/>
      <c r="M1083" s="21"/>
      <c r="N1083" s="21"/>
      <c r="O1083" s="21"/>
      <c r="P1083" s="21"/>
      <c r="Q1083" s="21"/>
      <c r="R1083" s="120"/>
      <c r="BR1083" s="83"/>
    </row>
    <row r="1084" spans="1:75" outlineLevel="1" x14ac:dyDescent="0.5">
      <c r="A1084" s="131" t="s">
        <v>448</v>
      </c>
      <c r="B1084" s="14">
        <v>10</v>
      </c>
      <c r="C1084" s="15" t="s">
        <v>151</v>
      </c>
      <c r="D1084" s="44" t="str">
        <f>VLOOKUP(Estimate!$C1084,Resources!$B$3:$G$336,4,FALSE)</f>
        <v xml:space="preserve">m²   </v>
      </c>
      <c r="E1084" s="44" t="str">
        <f>VLOOKUP(Estimate!$C1084,Resources!$B$3:$G$336,3,FALSE)</f>
        <v>S</v>
      </c>
      <c r="F1084" s="52">
        <v>1</v>
      </c>
      <c r="G1084" s="12">
        <v>1</v>
      </c>
      <c r="H1084" s="12">
        <f>H1077/0.15</f>
        <v>53.333333333333336</v>
      </c>
      <c r="I1084" s="12">
        <f>VLOOKUP(C1084,Resources!$B$3:$G$336,6,FALSE)</f>
        <v>25</v>
      </c>
      <c r="J1084" s="12">
        <f>(H1084/(G1084/F1084))*I1084</f>
        <v>1333.3333333333335</v>
      </c>
      <c r="K1084" s="90"/>
      <c r="L1084" s="90">
        <f>IF(E1084="M"," ",H1084/G1084)</f>
        <v>53.333333333333336</v>
      </c>
      <c r="M1084" s="16">
        <f>IF($E1084="L",$J1084,0)</f>
        <v>0</v>
      </c>
      <c r="N1084" s="16">
        <f>IF($E1084="M",$J1084,0)</f>
        <v>0</v>
      </c>
      <c r="O1084" s="16">
        <f>IF($E1084="P",$J1084,0)</f>
        <v>0</v>
      </c>
      <c r="P1084" s="16">
        <f>IF($E1084="S",$J1084,0)</f>
        <v>1333.3333333333335</v>
      </c>
      <c r="Q1084" s="16">
        <f>SUM(M1084:P1084)</f>
        <v>1333.3333333333335</v>
      </c>
      <c r="R1084" s="118">
        <v>73</v>
      </c>
    </row>
    <row r="1085" spans="1:75" customFormat="1" ht="14.25" customHeight="1" x14ac:dyDescent="0.65">
      <c r="A1085" s="47" t="s">
        <v>448</v>
      </c>
      <c r="B1085" s="30"/>
      <c r="C1085" s="31"/>
      <c r="D1085" s="55"/>
      <c r="E1085" s="47"/>
      <c r="F1085" s="56"/>
      <c r="G1085" s="56"/>
      <c r="H1085" s="32"/>
      <c r="I1085" s="32"/>
      <c r="J1085" s="32"/>
      <c r="K1085" s="32"/>
      <c r="L1085" s="32"/>
      <c r="M1085" s="33"/>
      <c r="N1085" s="33"/>
      <c r="O1085" s="33"/>
      <c r="P1085" s="93"/>
      <c r="Q1085" s="93"/>
      <c r="R1085" s="122"/>
      <c r="S1085" s="33"/>
      <c r="T1085" s="34"/>
      <c r="BW1085" s="28"/>
    </row>
    <row r="1086" spans="1:75" x14ac:dyDescent="0.5">
      <c r="A1086" s="130">
        <v>216</v>
      </c>
      <c r="B1086" s="7" t="s">
        <v>556</v>
      </c>
      <c r="C1086" s="7" t="s">
        <v>557</v>
      </c>
      <c r="D1086" s="8" t="s">
        <v>83</v>
      </c>
      <c r="E1086" s="43"/>
      <c r="F1086" s="51"/>
      <c r="G1086" s="9"/>
      <c r="H1086" s="129">
        <f>VLOOKUP($A1086,'Model Inputs'!$A:$D,4)</f>
        <v>80</v>
      </c>
      <c r="I1086" s="9"/>
      <c r="J1086" s="9">
        <f>SUBTOTAL(9,J1088:J1090)</f>
        <v>777.58508708246256</v>
      </c>
      <c r="K1086" s="89"/>
      <c r="L1086" s="89">
        <f>H1088/(200/9)/workhrs</f>
        <v>0.48000000000000004</v>
      </c>
      <c r="M1086" s="9">
        <f>SUBTOTAL(9,M1088:M1090)</f>
        <v>0</v>
      </c>
      <c r="N1086" s="9">
        <f>SUBTOTAL(9,N1088:N1090)</f>
        <v>777.58508708246256</v>
      </c>
      <c r="O1086" s="9">
        <f>SUBTOTAL(9,O1088:O1090)</f>
        <v>0</v>
      </c>
      <c r="P1086" s="9">
        <f>SUBTOTAL(9,P1088:P1090)</f>
        <v>0</v>
      </c>
      <c r="Q1086" s="9">
        <f>SUBTOTAL(9,Q1088:Q1090)</f>
        <v>777.58508708246256</v>
      </c>
      <c r="R1086" s="117"/>
    </row>
    <row r="1087" spans="1:75" outlineLevel="1" x14ac:dyDescent="0.5">
      <c r="A1087" s="132" t="s">
        <v>448</v>
      </c>
      <c r="B1087" s="1">
        <v>1</v>
      </c>
      <c r="C1087" s="2" t="s">
        <v>635</v>
      </c>
      <c r="D1087" s="1"/>
      <c r="E1087" s="45"/>
      <c r="F1087" s="53"/>
      <c r="G1087" s="11"/>
      <c r="H1087" s="11"/>
      <c r="I1087" s="11"/>
      <c r="J1087" s="11"/>
      <c r="K1087" s="91"/>
      <c r="L1087" s="91"/>
      <c r="M1087" s="13"/>
      <c r="N1087" s="13"/>
      <c r="O1087" s="13"/>
      <c r="P1087" s="13"/>
      <c r="Q1087" s="13"/>
      <c r="R1087" s="119"/>
    </row>
    <row r="1088" spans="1:75" outlineLevel="1" x14ac:dyDescent="0.5">
      <c r="A1088" s="131" t="s">
        <v>448</v>
      </c>
      <c r="B1088" s="14">
        <v>3</v>
      </c>
      <c r="C1088" s="15" t="s">
        <v>149</v>
      </c>
      <c r="D1088" s="44" t="str">
        <f>VLOOKUP(Estimate!$C1088,Resources!$B$3:$G$336,4,FALSE)</f>
        <v xml:space="preserve">m²   </v>
      </c>
      <c r="E1088" s="44" t="str">
        <f>VLOOKUP(Estimate!$C1088,Resources!$B$3:$G$336,3,FALSE)</f>
        <v>M</v>
      </c>
      <c r="F1088" s="52">
        <v>1</v>
      </c>
      <c r="G1088" s="12">
        <v>1</v>
      </c>
      <c r="H1088" s="12">
        <f>H1086*1.2</f>
        <v>96</v>
      </c>
      <c r="I1088" s="12">
        <f>VLOOKUP(C1088,Resources!$B$3:$G$336,6,FALSE)</f>
        <v>5.76</v>
      </c>
      <c r="J1088" s="12">
        <f>(H1088/(G1088/F1088))*I1088</f>
        <v>552.96</v>
      </c>
      <c r="K1088" s="90"/>
      <c r="L1088" s="90" t="str">
        <f>IF(E1088="M"," ",H1088/G1088)</f>
        <v xml:space="preserve"> </v>
      </c>
      <c r="M1088" s="16">
        <f>IF($E1088="L",$J1088,0)</f>
        <v>0</v>
      </c>
      <c r="N1088" s="16">
        <f>IF($E1088="M",$J1088,0)</f>
        <v>552.96</v>
      </c>
      <c r="O1088" s="16">
        <f>IF($E1088="P",$J1088,0)</f>
        <v>0</v>
      </c>
      <c r="P1088" s="16">
        <f>IF($E1088="S",$J1088,0)</f>
        <v>0</v>
      </c>
      <c r="Q1088" s="16">
        <f>SUM(M1088:P1088)</f>
        <v>552.96</v>
      </c>
      <c r="R1088" s="118" t="s">
        <v>944</v>
      </c>
    </row>
    <row r="1089" spans="1:75" outlineLevel="1" x14ac:dyDescent="0.5">
      <c r="A1089" s="131" t="s">
        <v>448</v>
      </c>
      <c r="B1089" s="14">
        <v>4</v>
      </c>
      <c r="C1089" s="15" t="s">
        <v>73</v>
      </c>
      <c r="D1089" s="44" t="str">
        <f>VLOOKUP(Estimate!$C1089,Resources!$B$3:$G$336,4,FALSE)</f>
        <v>tonne</v>
      </c>
      <c r="E1089" s="44" t="str">
        <f>VLOOKUP(Estimate!$C1089,Resources!$B$3:$G$336,3,FALSE)</f>
        <v>M</v>
      </c>
      <c r="F1089" s="52">
        <v>1</v>
      </c>
      <c r="G1089" s="12">
        <v>1</v>
      </c>
      <c r="H1089" s="12">
        <f>H1086/9.091</f>
        <v>8.799912000879992</v>
      </c>
      <c r="I1089" s="12">
        <f>VLOOKUP(C1089,Resources!$B$3:$G$336,6,FALSE)</f>
        <v>17.95</v>
      </c>
      <c r="J1089" s="12">
        <f>(H1089/(G1089/F1089))*I1089</f>
        <v>157.95842041579584</v>
      </c>
      <c r="K1089" s="90"/>
      <c r="L1089" s="90" t="str">
        <f>IF(E1089="M"," ",H1089/G1089)</f>
        <v xml:space="preserve"> </v>
      </c>
      <c r="M1089" s="16">
        <f>IF($E1089="L",$J1089,0)</f>
        <v>0</v>
      </c>
      <c r="N1089" s="16">
        <f>IF($E1089="M",$J1089,0)</f>
        <v>157.95842041579584</v>
      </c>
      <c r="O1089" s="16">
        <f>IF($E1089="P",$J1089,0)</f>
        <v>0</v>
      </c>
      <c r="P1089" s="16">
        <f>IF($E1089="S",$J1089,0)</f>
        <v>0</v>
      </c>
      <c r="Q1089" s="16">
        <f>SUM(M1089:P1089)</f>
        <v>157.95842041579584</v>
      </c>
      <c r="R1089" s="118" t="s">
        <v>945</v>
      </c>
    </row>
    <row r="1090" spans="1:75" outlineLevel="1" x14ac:dyDescent="0.5">
      <c r="A1090" s="131" t="s">
        <v>448</v>
      </c>
      <c r="B1090" s="14">
        <v>5</v>
      </c>
      <c r="C1090" s="15" t="s">
        <v>150</v>
      </c>
      <c r="D1090" s="44" t="str">
        <f>VLOOKUP(Estimate!$C1090,Resources!$B$3:$G$336,4,FALSE)</f>
        <v xml:space="preserve">each </v>
      </c>
      <c r="E1090" s="44" t="str">
        <f>VLOOKUP(Estimate!$C1090,Resources!$B$3:$G$336,3,FALSE)</f>
        <v>M</v>
      </c>
      <c r="F1090" s="52">
        <v>1</v>
      </c>
      <c r="G1090" s="12">
        <v>1</v>
      </c>
      <c r="H1090" s="12">
        <f>H1086/2.4</f>
        <v>33.333333333333336</v>
      </c>
      <c r="I1090" s="12">
        <f>VLOOKUP(C1090,Resources!$B$3:$G$336,6,FALSE)</f>
        <v>2</v>
      </c>
      <c r="J1090" s="12">
        <f>(H1090/(G1090/F1090))*I1090</f>
        <v>66.666666666666671</v>
      </c>
      <c r="K1090" s="90"/>
      <c r="L1090" s="90" t="str">
        <f>IF(E1090="M"," ",H1090/G1090)</f>
        <v xml:space="preserve"> </v>
      </c>
      <c r="M1090" s="16">
        <f>IF($E1090="L",$J1090,0)</f>
        <v>0</v>
      </c>
      <c r="N1090" s="16">
        <f>IF($E1090="M",$J1090,0)</f>
        <v>66.666666666666671</v>
      </c>
      <c r="O1090" s="16">
        <f>IF($E1090="P",$J1090,0)</f>
        <v>0</v>
      </c>
      <c r="P1090" s="16">
        <f>IF($E1090="S",$J1090,0)</f>
        <v>0</v>
      </c>
      <c r="Q1090" s="16">
        <f>SUM(M1090:P1090)</f>
        <v>66.666666666666671</v>
      </c>
      <c r="R1090" s="118" t="s">
        <v>944</v>
      </c>
    </row>
    <row r="1091" spans="1:75" customFormat="1" ht="14.25" customHeight="1" x14ac:dyDescent="0.65">
      <c r="A1091" s="47" t="s">
        <v>448</v>
      </c>
      <c r="B1091" s="30"/>
      <c r="C1091" s="31"/>
      <c r="D1091" s="55"/>
      <c r="E1091" s="47"/>
      <c r="F1091" s="56"/>
      <c r="G1091" s="56"/>
      <c r="H1091" s="32"/>
      <c r="I1091" s="32"/>
      <c r="J1091" s="32"/>
      <c r="K1091" s="32"/>
      <c r="L1091" s="32"/>
      <c r="M1091" s="33"/>
      <c r="N1091" s="33"/>
      <c r="O1091" s="33"/>
      <c r="P1091" s="93"/>
      <c r="Q1091" s="93"/>
      <c r="R1091" s="122"/>
      <c r="S1091" s="33"/>
      <c r="T1091" s="34"/>
      <c r="BW1091" s="28"/>
    </row>
    <row r="1092" spans="1:75" ht="31.5" x14ac:dyDescent="0.5">
      <c r="A1092" s="130">
        <v>217</v>
      </c>
      <c r="B1092" s="7" t="s">
        <v>560</v>
      </c>
      <c r="C1092" s="7" t="s">
        <v>561</v>
      </c>
      <c r="D1092" s="8" t="s">
        <v>79</v>
      </c>
      <c r="E1092" s="43"/>
      <c r="F1092" s="51"/>
      <c r="G1092" s="9"/>
      <c r="H1092" s="129">
        <f>VLOOKUP($A1092,'Model Inputs'!$A:$D,4)</f>
        <v>1</v>
      </c>
      <c r="I1092" s="9"/>
      <c r="J1092" s="10">
        <f>SUBTOTAL(9,J1093)</f>
        <v>6250</v>
      </c>
      <c r="K1092" s="89"/>
      <c r="L1092" s="89">
        <v>3</v>
      </c>
      <c r="M1092" s="10">
        <f>SUBTOTAL(9,M1093)</f>
        <v>0</v>
      </c>
      <c r="N1092" s="10">
        <f t="shared" ref="N1092" si="132">SUBTOTAL(9,N1093)</f>
        <v>0</v>
      </c>
      <c r="O1092" s="10">
        <f t="shared" ref="O1092" si="133">SUBTOTAL(9,O1093)</f>
        <v>0</v>
      </c>
      <c r="P1092" s="10">
        <f t="shared" ref="P1092" si="134">SUBTOTAL(9,P1093)</f>
        <v>6250</v>
      </c>
      <c r="Q1092" s="10">
        <f t="shared" ref="Q1092" si="135">SUBTOTAL(9,Q1093)</f>
        <v>6250</v>
      </c>
      <c r="R1092" s="43"/>
    </row>
    <row r="1093" spans="1:75" outlineLevel="1" x14ac:dyDescent="0.5">
      <c r="A1093" s="131" t="s">
        <v>448</v>
      </c>
      <c r="B1093" s="14">
        <v>1</v>
      </c>
      <c r="C1093" s="15" t="s">
        <v>268</v>
      </c>
      <c r="D1093" s="44" t="str">
        <f>VLOOKUP(Estimate!$C1093,Resources!$B$3:$G$336,4,FALSE)</f>
        <v xml:space="preserve">LS   </v>
      </c>
      <c r="E1093" s="44" t="str">
        <f>VLOOKUP(Estimate!$C1093,Resources!$B$3:$G$336,3,FALSE)</f>
        <v>S</v>
      </c>
      <c r="F1093" s="52">
        <v>6250</v>
      </c>
      <c r="G1093" s="12">
        <v>1</v>
      </c>
      <c r="H1093" s="12">
        <v>1</v>
      </c>
      <c r="I1093" s="12">
        <f>VLOOKUP(C1093,Resources!$B$3:$G$336,6,FALSE)</f>
        <v>1</v>
      </c>
      <c r="J1093" s="12">
        <f>F1093*H1093*I1093</f>
        <v>6250</v>
      </c>
      <c r="K1093" s="90"/>
      <c r="L1093" s="90">
        <f>IF(E1093="M"," ",H1093/G1093)</f>
        <v>1</v>
      </c>
      <c r="M1093" s="16">
        <f>IF($E1093="L",$J1093,0)</f>
        <v>0</v>
      </c>
      <c r="N1093" s="16">
        <f>IF($E1093="M",$J1093,0)</f>
        <v>0</v>
      </c>
      <c r="O1093" s="16">
        <f>IF($E1093="P",$J1093,0)</f>
        <v>0</v>
      </c>
      <c r="P1093" s="16">
        <f>IF($E1093="S",$J1093,0)</f>
        <v>6250</v>
      </c>
      <c r="Q1093" s="16">
        <f>SUM(M1093:P1093)</f>
        <v>6250</v>
      </c>
      <c r="R1093" s="118">
        <v>95</v>
      </c>
    </row>
    <row r="1094" spans="1:75" outlineLevel="1" x14ac:dyDescent="0.5">
      <c r="A1094" s="132" t="s">
        <v>448</v>
      </c>
      <c r="B1094" s="1"/>
      <c r="C1094" s="2"/>
      <c r="D1094" s="1"/>
      <c r="E1094" s="45"/>
      <c r="F1094" s="53"/>
      <c r="G1094" s="11"/>
      <c r="H1094" s="11"/>
      <c r="I1094" s="11"/>
      <c r="J1094" s="11"/>
      <c r="K1094" s="91"/>
      <c r="L1094" s="91"/>
      <c r="M1094" s="13"/>
      <c r="N1094" s="13"/>
      <c r="O1094" s="13"/>
      <c r="P1094" s="13"/>
      <c r="Q1094" s="13"/>
      <c r="R1094" s="119"/>
    </row>
    <row r="1095" spans="1:75" x14ac:dyDescent="0.5">
      <c r="A1095" s="130">
        <v>218</v>
      </c>
      <c r="B1095" s="7" t="s">
        <v>562</v>
      </c>
      <c r="C1095" s="7" t="s">
        <v>563</v>
      </c>
      <c r="D1095" s="8" t="s">
        <v>451</v>
      </c>
      <c r="E1095" s="43"/>
      <c r="F1095" s="51"/>
      <c r="G1095" s="9"/>
      <c r="H1095" s="129">
        <f>VLOOKUP($A1095,'Model Inputs'!$A:$D,4)</f>
        <v>1</v>
      </c>
      <c r="I1095" s="9"/>
      <c r="J1095" s="9"/>
      <c r="K1095" s="89"/>
      <c r="L1095" s="89"/>
      <c r="M1095" s="9"/>
      <c r="N1095" s="9"/>
      <c r="O1095" s="9"/>
      <c r="P1095" s="9"/>
      <c r="Q1095" s="10"/>
      <c r="R1095" s="117"/>
    </row>
    <row r="1096" spans="1:75" x14ac:dyDescent="0.5">
      <c r="A1096" s="130">
        <v>219</v>
      </c>
      <c r="B1096" s="7" t="s">
        <v>578</v>
      </c>
      <c r="C1096" s="7" t="s">
        <v>579</v>
      </c>
      <c r="D1096" s="8" t="s">
        <v>79</v>
      </c>
      <c r="E1096" s="43"/>
      <c r="F1096" s="51"/>
      <c r="G1096" s="9"/>
      <c r="H1096" s="129">
        <f>VLOOKUP($A1096,'Model Inputs'!$A:$D,4)</f>
        <v>1</v>
      </c>
      <c r="I1096" s="9"/>
      <c r="J1096" s="10">
        <f>SUBTOTAL(9,J1097)</f>
        <v>3850</v>
      </c>
      <c r="K1096" s="89"/>
      <c r="L1096" s="89">
        <v>25</v>
      </c>
      <c r="M1096" s="10">
        <f>SUBTOTAL(9,M1097)</f>
        <v>0</v>
      </c>
      <c r="N1096" s="10">
        <f t="shared" ref="N1096" si="136">SUBTOTAL(9,N1097)</f>
        <v>0</v>
      </c>
      <c r="O1096" s="10">
        <f t="shared" ref="O1096" si="137">SUBTOTAL(9,O1097)</f>
        <v>0</v>
      </c>
      <c r="P1096" s="10">
        <f t="shared" ref="P1096" si="138">SUBTOTAL(9,P1097)</f>
        <v>3850</v>
      </c>
      <c r="Q1096" s="10">
        <f t="shared" ref="Q1096" si="139">SUBTOTAL(9,Q1097)</f>
        <v>3850</v>
      </c>
      <c r="R1096" s="117"/>
    </row>
    <row r="1097" spans="1:75" outlineLevel="1" x14ac:dyDescent="0.5">
      <c r="A1097" s="131" t="s">
        <v>448</v>
      </c>
      <c r="B1097" s="14">
        <v>1</v>
      </c>
      <c r="C1097" s="15" t="s">
        <v>268</v>
      </c>
      <c r="D1097" s="44" t="str">
        <f>VLOOKUP(Estimate!$C1097,Resources!$B$3:$G$336,4,FALSE)</f>
        <v xml:space="preserve">LS   </v>
      </c>
      <c r="E1097" s="44" t="str">
        <f>VLOOKUP(Estimate!$C1097,Resources!$B$3:$G$336,3,FALSE)</f>
        <v>S</v>
      </c>
      <c r="F1097" s="52">
        <v>3850</v>
      </c>
      <c r="G1097" s="12">
        <v>1</v>
      </c>
      <c r="H1097" s="12">
        <v>1</v>
      </c>
      <c r="I1097" s="12">
        <f>VLOOKUP(C1097,Resources!$B$3:$G$336,6,FALSE)</f>
        <v>1</v>
      </c>
      <c r="J1097" s="12">
        <f>F1097*H1097*I1097</f>
        <v>3850</v>
      </c>
      <c r="K1097" s="90"/>
      <c r="L1097" s="90">
        <f>IF(E1097="M"," ",H1097/G1097)</f>
        <v>1</v>
      </c>
      <c r="M1097" s="16">
        <f>IF($E1097="L",$J1097,0)</f>
        <v>0</v>
      </c>
      <c r="N1097" s="16">
        <f>IF($E1097="M",$J1097,0)</f>
        <v>0</v>
      </c>
      <c r="O1097" s="16">
        <f>IF($E1097="P",$J1097,0)</f>
        <v>0</v>
      </c>
      <c r="P1097" s="16">
        <f>IF($E1097="S",$J1097,0)</f>
        <v>3850</v>
      </c>
      <c r="Q1097" s="16">
        <f>SUM(M1097:P1097)</f>
        <v>3850</v>
      </c>
      <c r="R1097" s="118">
        <v>95</v>
      </c>
    </row>
    <row r="1098" spans="1:75" outlineLevel="1" x14ac:dyDescent="0.5">
      <c r="A1098" s="132" t="s">
        <v>448</v>
      </c>
      <c r="B1098" s="1"/>
      <c r="C1098" s="2"/>
      <c r="D1098" s="1"/>
      <c r="E1098" s="45"/>
      <c r="F1098" s="53"/>
      <c r="G1098" s="11"/>
      <c r="H1098" s="11"/>
      <c r="I1098" s="11"/>
      <c r="J1098" s="11"/>
      <c r="K1098" s="91"/>
      <c r="L1098" s="91"/>
      <c r="M1098" s="13"/>
      <c r="N1098" s="13"/>
      <c r="O1098" s="13"/>
      <c r="P1098" s="13"/>
      <c r="Q1098" s="13"/>
      <c r="R1098" s="119"/>
    </row>
    <row r="1099" spans="1:75" x14ac:dyDescent="0.5">
      <c r="A1099" s="130">
        <v>220</v>
      </c>
      <c r="B1099" s="7" t="s">
        <v>574</v>
      </c>
      <c r="C1099" s="7" t="s">
        <v>575</v>
      </c>
      <c r="D1099" s="8" t="s">
        <v>79</v>
      </c>
      <c r="E1099" s="43"/>
      <c r="F1099" s="51"/>
      <c r="G1099" s="9"/>
      <c r="H1099" s="129">
        <f>VLOOKUP($A1099,'Model Inputs'!$A:$D,4)</f>
        <v>1</v>
      </c>
      <c r="I1099" s="9"/>
      <c r="J1099" s="10">
        <f>SUBTOTAL(9,J1100)</f>
        <v>17000</v>
      </c>
      <c r="K1099" s="89"/>
      <c r="L1099" s="89">
        <v>25</v>
      </c>
      <c r="M1099" s="10">
        <f>SUBTOTAL(9,M1100)</f>
        <v>0</v>
      </c>
      <c r="N1099" s="10">
        <f t="shared" ref="N1099" si="140">SUBTOTAL(9,N1100)</f>
        <v>0</v>
      </c>
      <c r="O1099" s="10">
        <f t="shared" ref="O1099" si="141">SUBTOTAL(9,O1100)</f>
        <v>0</v>
      </c>
      <c r="P1099" s="10">
        <f t="shared" ref="P1099" si="142">SUBTOTAL(9,P1100)</f>
        <v>17000</v>
      </c>
      <c r="Q1099" s="10">
        <f t="shared" ref="Q1099" si="143">SUBTOTAL(9,Q1100)</f>
        <v>17000</v>
      </c>
      <c r="R1099" s="117"/>
    </row>
    <row r="1100" spans="1:75" outlineLevel="1" x14ac:dyDescent="0.5">
      <c r="A1100" s="131" t="s">
        <v>448</v>
      </c>
      <c r="B1100" s="14">
        <v>1</v>
      </c>
      <c r="C1100" s="15" t="s">
        <v>268</v>
      </c>
      <c r="D1100" s="44" t="str">
        <f>VLOOKUP(Estimate!$C1100,Resources!$B$3:$G$336,4,FALSE)</f>
        <v xml:space="preserve">LS   </v>
      </c>
      <c r="E1100" s="44" t="str">
        <f>VLOOKUP(Estimate!$C1100,Resources!$B$3:$G$336,3,FALSE)</f>
        <v>S</v>
      </c>
      <c r="F1100" s="52">
        <v>17000</v>
      </c>
      <c r="G1100" s="12">
        <v>1</v>
      </c>
      <c r="H1100" s="12">
        <v>1</v>
      </c>
      <c r="I1100" s="12">
        <f>VLOOKUP(C1100,Resources!$B$3:$G$336,6,FALSE)</f>
        <v>1</v>
      </c>
      <c r="J1100" s="12">
        <f>F1100*H1100*I1100</f>
        <v>17000</v>
      </c>
      <c r="K1100" s="90"/>
      <c r="L1100" s="90">
        <f>IF(E1100="M"," ",H1100/G1100)</f>
        <v>1</v>
      </c>
      <c r="M1100" s="16">
        <f>IF($E1100="L",$J1100,0)</f>
        <v>0</v>
      </c>
      <c r="N1100" s="16">
        <f>IF($E1100="M",$J1100,0)</f>
        <v>0</v>
      </c>
      <c r="O1100" s="16">
        <f>IF($E1100="P",$J1100,0)</f>
        <v>0</v>
      </c>
      <c r="P1100" s="16">
        <f>IF($E1100="S",$J1100,0)</f>
        <v>17000</v>
      </c>
      <c r="Q1100" s="16">
        <f>SUM(M1100:P1100)</f>
        <v>17000</v>
      </c>
      <c r="R1100" s="118">
        <v>95</v>
      </c>
    </row>
    <row r="1101" spans="1:75" outlineLevel="1" x14ac:dyDescent="0.5">
      <c r="A1101" s="132" t="s">
        <v>448</v>
      </c>
      <c r="B1101" s="1"/>
      <c r="C1101" s="2"/>
      <c r="D1101" s="1"/>
      <c r="E1101" s="45"/>
      <c r="F1101" s="53"/>
      <c r="G1101" s="11"/>
      <c r="H1101" s="11"/>
      <c r="I1101" s="11"/>
      <c r="J1101" s="11"/>
      <c r="K1101" s="91"/>
      <c r="L1101" s="91"/>
      <c r="M1101" s="13"/>
      <c r="N1101" s="13"/>
      <c r="O1101" s="13"/>
      <c r="P1101" s="13"/>
      <c r="Q1101" s="13"/>
      <c r="R1101" s="119"/>
    </row>
    <row r="1102" spans="1:75" ht="21" x14ac:dyDescent="0.5">
      <c r="A1102" s="130">
        <v>221</v>
      </c>
      <c r="B1102" s="7" t="s">
        <v>570</v>
      </c>
      <c r="C1102" s="7" t="s">
        <v>571</v>
      </c>
      <c r="D1102" s="8" t="s">
        <v>79</v>
      </c>
      <c r="E1102" s="43"/>
      <c r="F1102" s="51"/>
      <c r="G1102" s="9"/>
      <c r="H1102" s="129">
        <f>VLOOKUP($A1102,'Model Inputs'!$A:$D,4)</f>
        <v>1</v>
      </c>
      <c r="I1102" s="9"/>
      <c r="J1102" s="10">
        <f>SUBTOTAL(9,J1103)</f>
        <v>33700</v>
      </c>
      <c r="K1102" s="89"/>
      <c r="L1102" s="89">
        <v>25</v>
      </c>
      <c r="M1102" s="10">
        <f>SUBTOTAL(9,M1103)</f>
        <v>0</v>
      </c>
      <c r="N1102" s="10">
        <f t="shared" ref="N1102" si="144">SUBTOTAL(9,N1103)</f>
        <v>0</v>
      </c>
      <c r="O1102" s="10">
        <f t="shared" ref="O1102" si="145">SUBTOTAL(9,O1103)</f>
        <v>0</v>
      </c>
      <c r="P1102" s="10">
        <f t="shared" ref="P1102" si="146">SUBTOTAL(9,P1103)</f>
        <v>33700</v>
      </c>
      <c r="Q1102" s="10">
        <f t="shared" ref="Q1102" si="147">SUBTOTAL(9,Q1103)</f>
        <v>33700</v>
      </c>
      <c r="R1102" s="117"/>
    </row>
    <row r="1103" spans="1:75" outlineLevel="1" x14ac:dyDescent="0.5">
      <c r="A1103" s="131" t="s">
        <v>448</v>
      </c>
      <c r="B1103" s="14">
        <v>1</v>
      </c>
      <c r="C1103" s="15" t="s">
        <v>947</v>
      </c>
      <c r="D1103" s="44" t="str">
        <f>VLOOKUP(Estimate!$C1103,Resources!$B$3:$G$336,4,FALSE)</f>
        <v xml:space="preserve">each </v>
      </c>
      <c r="E1103" s="44" t="str">
        <f>VLOOKUP(Estimate!$C1103,Resources!$B$3:$G$336,3,FALSE)</f>
        <v>S</v>
      </c>
      <c r="F1103" s="52">
        <v>33700</v>
      </c>
      <c r="G1103" s="12">
        <v>1</v>
      </c>
      <c r="H1103" s="12">
        <v>1</v>
      </c>
      <c r="I1103" s="12">
        <f>VLOOKUP(C1103,Resources!$B$3:$G$336,6,FALSE)</f>
        <v>1</v>
      </c>
      <c r="J1103" s="12">
        <f>F1103*H1103*I1103</f>
        <v>33700</v>
      </c>
      <c r="K1103" s="90"/>
      <c r="L1103" s="90">
        <f>IF(E1103="M"," ",H1103/G1103)</f>
        <v>1</v>
      </c>
      <c r="M1103" s="16">
        <f>IF($E1103="L",$J1103,0)</f>
        <v>0</v>
      </c>
      <c r="N1103" s="16">
        <f>IF($E1103="M",$J1103,0)</f>
        <v>0</v>
      </c>
      <c r="O1103" s="16">
        <f>IF($E1103="P",$J1103,0)</f>
        <v>0</v>
      </c>
      <c r="P1103" s="16">
        <f>IF($E1103="S",$J1103,0)</f>
        <v>33700</v>
      </c>
      <c r="Q1103" s="16">
        <f>SUM(M1103:P1103)</f>
        <v>33700</v>
      </c>
      <c r="R1103" s="118">
        <v>113</v>
      </c>
    </row>
    <row r="1104" spans="1:75" outlineLevel="1" x14ac:dyDescent="0.5">
      <c r="A1104" s="132" t="s">
        <v>448</v>
      </c>
      <c r="B1104" s="1"/>
      <c r="C1104" s="2"/>
      <c r="D1104" s="1"/>
      <c r="E1104" s="45"/>
      <c r="F1104" s="53"/>
      <c r="G1104" s="11"/>
      <c r="H1104" s="11"/>
      <c r="I1104" s="11"/>
      <c r="J1104" s="11"/>
      <c r="K1104" s="91"/>
      <c r="L1104" s="91"/>
      <c r="M1104" s="13"/>
      <c r="N1104" s="13"/>
      <c r="O1104" s="13"/>
      <c r="P1104" s="13"/>
      <c r="Q1104" s="13"/>
      <c r="R1104" s="119"/>
    </row>
    <row r="1105" spans="1:18" ht="21" x14ac:dyDescent="0.5">
      <c r="A1105" s="130">
        <v>222</v>
      </c>
      <c r="B1105" s="7" t="s">
        <v>576</v>
      </c>
      <c r="C1105" s="7" t="s">
        <v>577</v>
      </c>
      <c r="D1105" s="8" t="s">
        <v>79</v>
      </c>
      <c r="E1105" s="43"/>
      <c r="F1105" s="51"/>
      <c r="G1105" s="9"/>
      <c r="H1105" s="129">
        <f>VLOOKUP($A1105,'Model Inputs'!$A:$D,4)</f>
        <v>1</v>
      </c>
      <c r="I1105" s="9"/>
      <c r="J1105" s="10">
        <f>SUBTOTAL(9,J1106)</f>
        <v>3800</v>
      </c>
      <c r="K1105" s="89"/>
      <c r="L1105" s="89">
        <v>1</v>
      </c>
      <c r="M1105" s="10">
        <f>SUBTOTAL(9,M1106)</f>
        <v>0</v>
      </c>
      <c r="N1105" s="10">
        <f t="shared" ref="N1105" si="148">SUBTOTAL(9,N1106)</f>
        <v>0</v>
      </c>
      <c r="O1105" s="10">
        <f t="shared" ref="O1105" si="149">SUBTOTAL(9,O1106)</f>
        <v>0</v>
      </c>
      <c r="P1105" s="10">
        <f t="shared" ref="P1105" si="150">SUBTOTAL(9,P1106)</f>
        <v>3800</v>
      </c>
      <c r="Q1105" s="10">
        <f t="shared" ref="Q1105" si="151">SUBTOTAL(9,Q1106)</f>
        <v>3800</v>
      </c>
      <c r="R1105" s="117"/>
    </row>
    <row r="1106" spans="1:18" outlineLevel="1" x14ac:dyDescent="0.5">
      <c r="A1106" s="131" t="s">
        <v>448</v>
      </c>
      <c r="B1106" s="14">
        <v>1</v>
      </c>
      <c r="C1106" s="15" t="s">
        <v>268</v>
      </c>
      <c r="D1106" s="44" t="str">
        <f>VLOOKUP(Estimate!$C1106,Resources!$B$3:$G$336,4,FALSE)</f>
        <v xml:space="preserve">LS   </v>
      </c>
      <c r="E1106" s="44" t="str">
        <f>VLOOKUP(Estimate!$C1106,Resources!$B$3:$G$336,3,FALSE)</f>
        <v>S</v>
      </c>
      <c r="F1106" s="52">
        <v>3800</v>
      </c>
      <c r="G1106" s="12">
        <v>1</v>
      </c>
      <c r="H1106" s="12">
        <v>1</v>
      </c>
      <c r="I1106" s="12">
        <f>VLOOKUP(C1106,Resources!$B$3:$G$336,6,FALSE)</f>
        <v>1</v>
      </c>
      <c r="J1106" s="12">
        <f>F1106*H1106*I1106</f>
        <v>3800</v>
      </c>
      <c r="K1106" s="90"/>
      <c r="L1106" s="90">
        <f>IF(E1106="M"," ",H1106/G1106)</f>
        <v>1</v>
      </c>
      <c r="M1106" s="16">
        <f>IF($E1106="L",$J1106,0)</f>
        <v>0</v>
      </c>
      <c r="N1106" s="16">
        <f>IF($E1106="M",$J1106,0)</f>
        <v>0</v>
      </c>
      <c r="O1106" s="16">
        <f>IF($E1106="P",$J1106,0)</f>
        <v>0</v>
      </c>
      <c r="P1106" s="16">
        <f>IF($E1106="S",$J1106,0)</f>
        <v>3800</v>
      </c>
      <c r="Q1106" s="16">
        <f>SUM(M1106:P1106)</f>
        <v>3800</v>
      </c>
      <c r="R1106" s="118">
        <v>95</v>
      </c>
    </row>
    <row r="1107" spans="1:18" outlineLevel="1" x14ac:dyDescent="0.5">
      <c r="A1107" s="132" t="s">
        <v>448</v>
      </c>
      <c r="B1107" s="1"/>
      <c r="C1107" s="2"/>
      <c r="D1107" s="1"/>
      <c r="E1107" s="45"/>
      <c r="F1107" s="53"/>
      <c r="G1107" s="11"/>
      <c r="H1107" s="11"/>
      <c r="I1107" s="11"/>
      <c r="J1107" s="11"/>
      <c r="K1107" s="91"/>
      <c r="L1107" s="91"/>
      <c r="M1107" s="13"/>
      <c r="N1107" s="13"/>
      <c r="O1107" s="13"/>
      <c r="P1107" s="13"/>
      <c r="Q1107" s="13"/>
      <c r="R1107" s="119"/>
    </row>
    <row r="1108" spans="1:18" x14ac:dyDescent="0.5">
      <c r="A1108" s="130">
        <v>223</v>
      </c>
      <c r="B1108" s="7" t="s">
        <v>572</v>
      </c>
      <c r="C1108" s="7" t="s">
        <v>573</v>
      </c>
      <c r="D1108" s="8" t="s">
        <v>79</v>
      </c>
      <c r="E1108" s="43"/>
      <c r="F1108" s="51"/>
      <c r="G1108" s="9"/>
      <c r="H1108" s="129">
        <f>VLOOKUP($A1108,'Model Inputs'!$A:$D,4)</f>
        <v>1</v>
      </c>
      <c r="I1108" s="9"/>
      <c r="J1108" s="10">
        <f>SUBTOTAL(9,J1109)</f>
        <v>700</v>
      </c>
      <c r="K1108" s="89"/>
      <c r="L1108" s="89">
        <v>1</v>
      </c>
      <c r="M1108" s="10">
        <f>SUBTOTAL(9,M1109)</f>
        <v>0</v>
      </c>
      <c r="N1108" s="10">
        <f t="shared" ref="N1108" si="152">SUBTOTAL(9,N1109)</f>
        <v>0</v>
      </c>
      <c r="O1108" s="10">
        <f t="shared" ref="O1108" si="153">SUBTOTAL(9,O1109)</f>
        <v>0</v>
      </c>
      <c r="P1108" s="10">
        <f t="shared" ref="P1108" si="154">SUBTOTAL(9,P1109)</f>
        <v>700</v>
      </c>
      <c r="Q1108" s="10">
        <f t="shared" ref="Q1108" si="155">SUBTOTAL(9,Q1109)</f>
        <v>700</v>
      </c>
      <c r="R1108" s="117"/>
    </row>
    <row r="1109" spans="1:18" outlineLevel="1" x14ac:dyDescent="0.5">
      <c r="A1109" s="131" t="s">
        <v>448</v>
      </c>
      <c r="B1109" s="14">
        <v>1</v>
      </c>
      <c r="C1109" s="15" t="s">
        <v>947</v>
      </c>
      <c r="D1109" s="44" t="str">
        <f>VLOOKUP(Estimate!$C1109,Resources!$B$3:$G$336,4,FALSE)</f>
        <v xml:space="preserve">each </v>
      </c>
      <c r="E1109" s="44" t="str">
        <f>VLOOKUP(Estimate!$C1109,Resources!$B$3:$G$336,3,FALSE)</f>
        <v>S</v>
      </c>
      <c r="F1109" s="52">
        <v>700</v>
      </c>
      <c r="G1109" s="12">
        <v>1</v>
      </c>
      <c r="H1109" s="12">
        <v>1</v>
      </c>
      <c r="I1109" s="12">
        <f>VLOOKUP(C1109,Resources!$B$3:$G$336,6,FALSE)</f>
        <v>1</v>
      </c>
      <c r="J1109" s="12">
        <f>F1109*H1109*I1109</f>
        <v>700</v>
      </c>
      <c r="K1109" s="90"/>
      <c r="L1109" s="90">
        <f>IF(E1109="M"," ",H1109/G1109)</f>
        <v>1</v>
      </c>
      <c r="M1109" s="16">
        <f>IF($E1109="L",$J1109,0)</f>
        <v>0</v>
      </c>
      <c r="N1109" s="16">
        <f>IF($E1109="M",$J1109,0)</f>
        <v>0</v>
      </c>
      <c r="O1109" s="16">
        <f>IF($E1109="P",$J1109,0)</f>
        <v>0</v>
      </c>
      <c r="P1109" s="16">
        <f>IF($E1109="S",$J1109,0)</f>
        <v>700</v>
      </c>
      <c r="Q1109" s="16">
        <f>SUM(M1109:P1109)</f>
        <v>700</v>
      </c>
      <c r="R1109" s="118">
        <v>113</v>
      </c>
    </row>
    <row r="1110" spans="1:18" outlineLevel="1" x14ac:dyDescent="0.5">
      <c r="A1110" s="132" t="s">
        <v>448</v>
      </c>
      <c r="B1110" s="1"/>
      <c r="C1110" s="2"/>
      <c r="D1110" s="1"/>
      <c r="E1110" s="45"/>
      <c r="F1110" s="53"/>
      <c r="G1110" s="11"/>
      <c r="H1110" s="11"/>
      <c r="I1110" s="11"/>
      <c r="J1110" s="11"/>
      <c r="K1110" s="91"/>
      <c r="L1110" s="91"/>
      <c r="M1110" s="13"/>
      <c r="N1110" s="13"/>
      <c r="O1110" s="13"/>
      <c r="P1110" s="13"/>
      <c r="Q1110" s="13"/>
      <c r="R1110" s="119"/>
    </row>
    <row r="1111" spans="1:18" ht="21" x14ac:dyDescent="0.5">
      <c r="A1111" s="130">
        <v>224</v>
      </c>
      <c r="B1111" s="7" t="s">
        <v>568</v>
      </c>
      <c r="C1111" s="7" t="s">
        <v>569</v>
      </c>
      <c r="D1111" s="8" t="s">
        <v>79</v>
      </c>
      <c r="E1111" s="43"/>
      <c r="F1111" s="51"/>
      <c r="G1111" s="9"/>
      <c r="H1111" s="129">
        <f>VLOOKUP($A1111,'Model Inputs'!$A:$D,4)</f>
        <v>1</v>
      </c>
      <c r="I1111" s="9"/>
      <c r="J1111" s="10">
        <f>SUBTOTAL(9,J1112)</f>
        <v>39000</v>
      </c>
      <c r="K1111" s="89"/>
      <c r="L1111" s="89">
        <v>5</v>
      </c>
      <c r="M1111" s="10">
        <f>SUBTOTAL(9,M1112)</f>
        <v>0</v>
      </c>
      <c r="N1111" s="10">
        <f t="shared" ref="N1111" si="156">SUBTOTAL(9,N1112)</f>
        <v>0</v>
      </c>
      <c r="O1111" s="10">
        <f t="shared" ref="O1111" si="157">SUBTOTAL(9,O1112)</f>
        <v>0</v>
      </c>
      <c r="P1111" s="10">
        <f t="shared" ref="P1111" si="158">SUBTOTAL(9,P1112)</f>
        <v>39000</v>
      </c>
      <c r="Q1111" s="10">
        <f t="shared" ref="Q1111" si="159">SUBTOTAL(9,Q1112)</f>
        <v>39000</v>
      </c>
      <c r="R1111" s="117"/>
    </row>
    <row r="1112" spans="1:18" outlineLevel="1" x14ac:dyDescent="0.5">
      <c r="A1112" s="131" t="s">
        <v>448</v>
      </c>
      <c r="B1112" s="14">
        <v>1</v>
      </c>
      <c r="C1112" s="15" t="s">
        <v>268</v>
      </c>
      <c r="D1112" s="44" t="str">
        <f>VLOOKUP(Estimate!$C1112,Resources!$B$3:$G$336,4,FALSE)</f>
        <v xml:space="preserve">LS   </v>
      </c>
      <c r="E1112" s="44" t="str">
        <f>VLOOKUP(Estimate!$C1112,Resources!$B$3:$G$336,3,FALSE)</f>
        <v>S</v>
      </c>
      <c r="F1112" s="52">
        <v>39000</v>
      </c>
      <c r="G1112" s="12">
        <v>1</v>
      </c>
      <c r="H1112" s="12">
        <v>1</v>
      </c>
      <c r="I1112" s="12">
        <f>VLOOKUP(C1112,Resources!$B$3:$G$336,6,FALSE)</f>
        <v>1</v>
      </c>
      <c r="J1112" s="12">
        <f>F1112*H1112*I1112</f>
        <v>39000</v>
      </c>
      <c r="K1112" s="90"/>
      <c r="L1112" s="90">
        <f>IF(E1112="M"," ",H1112/G1112)</f>
        <v>1</v>
      </c>
      <c r="M1112" s="16">
        <f>IF($E1112="L",$J1112,0)</f>
        <v>0</v>
      </c>
      <c r="N1112" s="16">
        <f>IF($E1112="M",$J1112,0)</f>
        <v>0</v>
      </c>
      <c r="O1112" s="16">
        <f>IF($E1112="P",$J1112,0)</f>
        <v>0</v>
      </c>
      <c r="P1112" s="16">
        <f>IF($E1112="S",$J1112,0)</f>
        <v>39000</v>
      </c>
      <c r="Q1112" s="16">
        <f>SUM(M1112:P1112)</f>
        <v>39000</v>
      </c>
      <c r="R1112" s="118">
        <v>95</v>
      </c>
    </row>
    <row r="1113" spans="1:18" outlineLevel="1" x14ac:dyDescent="0.5">
      <c r="A1113" s="132" t="s">
        <v>448</v>
      </c>
      <c r="B1113" s="1"/>
      <c r="C1113" s="2"/>
      <c r="D1113" s="1"/>
      <c r="E1113" s="45"/>
      <c r="F1113" s="53"/>
      <c r="G1113" s="11"/>
      <c r="H1113" s="11"/>
      <c r="I1113" s="11"/>
      <c r="J1113" s="11"/>
      <c r="K1113" s="91"/>
      <c r="L1113" s="91"/>
      <c r="M1113" s="13"/>
      <c r="N1113" s="13"/>
      <c r="O1113" s="13"/>
      <c r="P1113" s="13"/>
      <c r="Q1113" s="13"/>
      <c r="R1113" s="119"/>
    </row>
    <row r="1114" spans="1:18" ht="21" x14ac:dyDescent="0.5">
      <c r="A1114" s="130">
        <v>225</v>
      </c>
      <c r="B1114" s="7" t="s">
        <v>566</v>
      </c>
      <c r="C1114" s="7" t="s">
        <v>567</v>
      </c>
      <c r="D1114" s="8" t="s">
        <v>79</v>
      </c>
      <c r="E1114" s="43"/>
      <c r="F1114" s="51"/>
      <c r="G1114" s="9"/>
      <c r="H1114" s="129">
        <f>VLOOKUP($A1114,'Model Inputs'!$A:$D,4)</f>
        <v>1</v>
      </c>
      <c r="I1114" s="9"/>
      <c r="J1114" s="10">
        <f>SUBTOTAL(9,J1115)</f>
        <v>39600</v>
      </c>
      <c r="K1114" s="89"/>
      <c r="L1114" s="89">
        <v>5</v>
      </c>
      <c r="M1114" s="10">
        <f>SUBTOTAL(9,M1115)</f>
        <v>0</v>
      </c>
      <c r="N1114" s="10">
        <f t="shared" ref="N1114" si="160">SUBTOTAL(9,N1115)</f>
        <v>0</v>
      </c>
      <c r="O1114" s="10">
        <f t="shared" ref="O1114" si="161">SUBTOTAL(9,O1115)</f>
        <v>0</v>
      </c>
      <c r="P1114" s="10">
        <f t="shared" ref="P1114" si="162">SUBTOTAL(9,P1115)</f>
        <v>39600</v>
      </c>
      <c r="Q1114" s="10">
        <f t="shared" ref="Q1114" si="163">SUBTOTAL(9,Q1115)</f>
        <v>39600</v>
      </c>
      <c r="R1114" s="117"/>
    </row>
    <row r="1115" spans="1:18" outlineLevel="1" x14ac:dyDescent="0.5">
      <c r="A1115" s="131" t="s">
        <v>448</v>
      </c>
      <c r="B1115" s="14">
        <v>1</v>
      </c>
      <c r="C1115" s="15" t="s">
        <v>268</v>
      </c>
      <c r="D1115" s="44" t="str">
        <f>VLOOKUP(Estimate!$C1115,Resources!$B$3:$G$336,4,FALSE)</f>
        <v xml:space="preserve">LS   </v>
      </c>
      <c r="E1115" s="44" t="str">
        <f>VLOOKUP(Estimate!$C1115,Resources!$B$3:$G$336,3,FALSE)</f>
        <v>S</v>
      </c>
      <c r="F1115" s="52">
        <v>39600</v>
      </c>
      <c r="G1115" s="12">
        <v>1</v>
      </c>
      <c r="H1115" s="12">
        <v>1</v>
      </c>
      <c r="I1115" s="12">
        <f>VLOOKUP(C1115,Resources!$B$3:$G$336,6,FALSE)</f>
        <v>1</v>
      </c>
      <c r="J1115" s="12">
        <f>F1115*H1115*I1115</f>
        <v>39600</v>
      </c>
      <c r="K1115" s="90"/>
      <c r="L1115" s="90">
        <f>IF(E1115="M"," ",H1115/G1115)</f>
        <v>1</v>
      </c>
      <c r="M1115" s="16">
        <f>IF($E1115="L",$J1115,0)</f>
        <v>0</v>
      </c>
      <c r="N1115" s="16">
        <f>IF($E1115="M",$J1115,0)</f>
        <v>0</v>
      </c>
      <c r="O1115" s="16">
        <f>IF($E1115="P",$J1115,0)</f>
        <v>0</v>
      </c>
      <c r="P1115" s="16">
        <f>IF($E1115="S",$J1115,0)</f>
        <v>39600</v>
      </c>
      <c r="Q1115" s="16">
        <f>SUM(M1115:P1115)</f>
        <v>39600</v>
      </c>
      <c r="R1115" s="118">
        <v>95</v>
      </c>
    </row>
    <row r="1116" spans="1:18" outlineLevel="1" x14ac:dyDescent="0.5">
      <c r="A1116" s="132" t="s">
        <v>448</v>
      </c>
      <c r="B1116" s="1"/>
      <c r="C1116" s="2"/>
      <c r="D1116" s="1"/>
      <c r="E1116" s="45"/>
      <c r="F1116" s="53"/>
      <c r="G1116" s="11"/>
      <c r="H1116" s="11"/>
      <c r="I1116" s="11"/>
      <c r="J1116" s="11"/>
      <c r="K1116" s="91"/>
      <c r="L1116" s="91"/>
      <c r="M1116" s="13"/>
      <c r="N1116" s="13"/>
      <c r="O1116" s="13"/>
      <c r="P1116" s="13"/>
      <c r="Q1116" s="13"/>
      <c r="R1116" s="119"/>
    </row>
    <row r="1117" spans="1:18" x14ac:dyDescent="0.5">
      <c r="A1117" s="130">
        <v>226</v>
      </c>
      <c r="B1117" s="7" t="s">
        <v>564</v>
      </c>
      <c r="C1117" s="7" t="s">
        <v>565</v>
      </c>
      <c r="D1117" s="8" t="s">
        <v>79</v>
      </c>
      <c r="E1117" s="43"/>
      <c r="F1117" s="51"/>
      <c r="G1117" s="9"/>
      <c r="H1117" s="129">
        <f>VLOOKUP($A1117,'Model Inputs'!$A:$D,4)</f>
        <v>1</v>
      </c>
      <c r="I1117" s="9"/>
      <c r="J1117" s="10">
        <f>SUBTOTAL(9,J1118)</f>
        <v>12600</v>
      </c>
      <c r="K1117" s="89"/>
      <c r="L1117" s="89">
        <v>3</v>
      </c>
      <c r="M1117" s="10">
        <f>SUBTOTAL(9,M1118)</f>
        <v>0</v>
      </c>
      <c r="N1117" s="10">
        <f t="shared" ref="N1117" si="164">SUBTOTAL(9,N1118)</f>
        <v>0</v>
      </c>
      <c r="O1117" s="10">
        <f t="shared" ref="O1117" si="165">SUBTOTAL(9,O1118)</f>
        <v>0</v>
      </c>
      <c r="P1117" s="10">
        <f t="shared" ref="P1117" si="166">SUBTOTAL(9,P1118)</f>
        <v>12600</v>
      </c>
      <c r="Q1117" s="10">
        <f t="shared" ref="Q1117" si="167">SUBTOTAL(9,Q1118)</f>
        <v>12600</v>
      </c>
      <c r="R1117" s="117"/>
    </row>
    <row r="1118" spans="1:18" outlineLevel="1" x14ac:dyDescent="0.5">
      <c r="A1118" s="131" t="s">
        <v>448</v>
      </c>
      <c r="B1118" s="14">
        <v>1</v>
      </c>
      <c r="C1118" s="15" t="s">
        <v>947</v>
      </c>
      <c r="D1118" s="44" t="str">
        <f>VLOOKUP(Estimate!$C1118,Resources!$B$3:$G$336,4,FALSE)</f>
        <v xml:space="preserve">each </v>
      </c>
      <c r="E1118" s="44" t="str">
        <f>VLOOKUP(Estimate!$C1118,Resources!$B$3:$G$336,3,FALSE)</f>
        <v>S</v>
      </c>
      <c r="F1118" s="52">
        <v>12600</v>
      </c>
      <c r="G1118" s="12">
        <v>1</v>
      </c>
      <c r="H1118" s="12">
        <v>1</v>
      </c>
      <c r="I1118" s="12">
        <f>VLOOKUP(C1118,Resources!$B$3:$G$336,6,FALSE)</f>
        <v>1</v>
      </c>
      <c r="J1118" s="12">
        <f>F1118*H1118*I1118</f>
        <v>12600</v>
      </c>
      <c r="K1118" s="90"/>
      <c r="L1118" s="90">
        <f>IF(E1118="M"," ",H1118/G1118)</f>
        <v>1</v>
      </c>
      <c r="M1118" s="16">
        <f>IF($E1118="L",$J1118,0)</f>
        <v>0</v>
      </c>
      <c r="N1118" s="16">
        <f>IF($E1118="M",$J1118,0)</f>
        <v>0</v>
      </c>
      <c r="O1118" s="16">
        <f>IF($E1118="P",$J1118,0)</f>
        <v>0</v>
      </c>
      <c r="P1118" s="16">
        <f>IF($E1118="S",$J1118,0)</f>
        <v>12600</v>
      </c>
      <c r="Q1118" s="16">
        <f>SUM(M1118:P1118)</f>
        <v>12600</v>
      </c>
      <c r="R1118" s="118">
        <v>113</v>
      </c>
    </row>
    <row r="1119" spans="1:18" outlineLevel="1" x14ac:dyDescent="0.5">
      <c r="A1119" s="132" t="s">
        <v>448</v>
      </c>
      <c r="B1119" s="1"/>
      <c r="C1119" s="2"/>
      <c r="D1119" s="1"/>
      <c r="E1119" s="45"/>
      <c r="F1119" s="53"/>
      <c r="G1119" s="11"/>
      <c r="H1119" s="11"/>
      <c r="I1119" s="11"/>
      <c r="J1119" s="11"/>
      <c r="K1119" s="91"/>
      <c r="L1119" s="91"/>
      <c r="M1119" s="13"/>
      <c r="N1119" s="13"/>
      <c r="O1119" s="13"/>
      <c r="P1119" s="13"/>
      <c r="Q1119" s="13"/>
      <c r="R1119" s="119"/>
    </row>
    <row r="1120" spans="1:18" x14ac:dyDescent="0.5">
      <c r="A1120" s="130">
        <v>227</v>
      </c>
      <c r="B1120" s="7" t="s">
        <v>580</v>
      </c>
      <c r="C1120" s="7" t="s">
        <v>581</v>
      </c>
      <c r="D1120" s="8" t="s">
        <v>25</v>
      </c>
      <c r="E1120" s="43"/>
      <c r="F1120" s="51"/>
      <c r="G1120" s="9"/>
      <c r="H1120" s="129">
        <f>VLOOKUP($A1120,'Model Inputs'!$A:$D,4)</f>
        <v>105</v>
      </c>
      <c r="I1120" s="9"/>
      <c r="J1120" s="9">
        <f>SUBTOTAL(9,J1121:J1122)</f>
        <v>4305.8639085940231</v>
      </c>
      <c r="K1120" s="89"/>
      <c r="L1120" s="89">
        <v>1</v>
      </c>
      <c r="M1120" s="9">
        <f>SUBTOTAL(9,M1121:M1122)</f>
        <v>0</v>
      </c>
      <c r="N1120" s="9">
        <f t="shared" ref="N1120:Q1120" si="168">SUBTOTAL(9,N1121:N1122)</f>
        <v>2179.6139085940226</v>
      </c>
      <c r="O1120" s="9">
        <f t="shared" si="168"/>
        <v>0</v>
      </c>
      <c r="P1120" s="9">
        <f t="shared" si="168"/>
        <v>2126.25</v>
      </c>
      <c r="Q1120" s="9">
        <f t="shared" si="168"/>
        <v>4305.8639085940231</v>
      </c>
      <c r="R1120" s="117"/>
    </row>
    <row r="1121" spans="1:18" outlineLevel="1" x14ac:dyDescent="0.5">
      <c r="A1121" s="131" t="s">
        <v>448</v>
      </c>
      <c r="B1121" s="14">
        <v>1</v>
      </c>
      <c r="C1121" s="15" t="s">
        <v>136</v>
      </c>
      <c r="D1121" s="44" t="str">
        <f>VLOOKUP(Estimate!$C1121,Resources!$B$3:$G$336,4,FALSE)</f>
        <v xml:space="preserve">m³   </v>
      </c>
      <c r="E1121" s="44" t="str">
        <f>VLOOKUP(Estimate!$C1121,Resources!$B$3:$G$336,3,FALSE)</f>
        <v>M</v>
      </c>
      <c r="F1121" s="52">
        <v>1</v>
      </c>
      <c r="G1121" s="12">
        <v>1</v>
      </c>
      <c r="H1121" s="12">
        <f>H1120/8.599</f>
        <v>12.210722176997326</v>
      </c>
      <c r="I1121" s="12">
        <f>VLOOKUP(C1121,Resources!$B$3:$G$336,6,FALSE)</f>
        <v>178.5</v>
      </c>
      <c r="J1121" s="12">
        <f>(H1121/(G1121/F1121))*I1121</f>
        <v>2179.6139085940226</v>
      </c>
      <c r="K1121" s="90"/>
      <c r="L1121" s="90" t="str">
        <f>IF(E1121="M"," ",H1121/G1121)</f>
        <v xml:space="preserve"> </v>
      </c>
      <c r="M1121" s="16">
        <f>IF($E1121="L",$J1121,0)</f>
        <v>0</v>
      </c>
      <c r="N1121" s="16">
        <f>IF($E1121="M",$J1121,0)</f>
        <v>2179.6139085940226</v>
      </c>
      <c r="O1121" s="16">
        <f>IF($E1121="P",$J1121,0)</f>
        <v>0</v>
      </c>
      <c r="P1121" s="16">
        <f>IF($E1121="S",$J1121,0)</f>
        <v>0</v>
      </c>
      <c r="Q1121" s="16">
        <f>SUM(M1121:P1121)</f>
        <v>2179.6139085940226</v>
      </c>
      <c r="R1121" s="118" t="s">
        <v>949</v>
      </c>
    </row>
    <row r="1122" spans="1:18" outlineLevel="1" x14ac:dyDescent="0.5">
      <c r="A1122" s="131" t="s">
        <v>448</v>
      </c>
      <c r="B1122" s="14">
        <v>2</v>
      </c>
      <c r="C1122" s="15" t="s">
        <v>137</v>
      </c>
      <c r="D1122" s="44" t="str">
        <f>VLOOKUP(Estimate!$C1122,Resources!$B$3:$G$336,4,FALSE)</f>
        <v xml:space="preserve">m    </v>
      </c>
      <c r="E1122" s="44" t="str">
        <f>VLOOKUP(Estimate!$C1122,Resources!$B$3:$G$336,3,FALSE)</f>
        <v>S</v>
      </c>
      <c r="F1122" s="52">
        <v>1</v>
      </c>
      <c r="G1122" s="12">
        <v>1</v>
      </c>
      <c r="H1122" s="12">
        <f>H1120</f>
        <v>105</v>
      </c>
      <c r="I1122" s="12">
        <f>VLOOKUP(C1122,Resources!$B$3:$G$336,6,FALSE)</f>
        <v>20.25</v>
      </c>
      <c r="J1122" s="12">
        <f>(H1122/(G1122/F1122))*I1122</f>
        <v>2126.25</v>
      </c>
      <c r="K1122" s="90">
        <f>L1122*F1122</f>
        <v>105</v>
      </c>
      <c r="L1122" s="90">
        <f>IF(E1122="M"," ",H1122/G1122)</f>
        <v>105</v>
      </c>
      <c r="M1122" s="16">
        <f>IF($E1122="L",$J1122,0)</f>
        <v>0</v>
      </c>
      <c r="N1122" s="16">
        <f>IF($E1122="M",$J1122,0)</f>
        <v>0</v>
      </c>
      <c r="O1122" s="16">
        <f>IF($E1122="P",$J1122,0)</f>
        <v>0</v>
      </c>
      <c r="P1122" s="16">
        <f>IF($E1122="S",$J1122,0)</f>
        <v>2126.25</v>
      </c>
      <c r="Q1122" s="16">
        <f>SUM(M1122:P1122)</f>
        <v>2126.25</v>
      </c>
      <c r="R1122" s="118">
        <v>71</v>
      </c>
    </row>
    <row r="1123" spans="1:18" outlineLevel="1" x14ac:dyDescent="0.5">
      <c r="A1123" s="132" t="s">
        <v>448</v>
      </c>
      <c r="B1123" s="1"/>
      <c r="C1123" s="2"/>
      <c r="D1123" s="1"/>
      <c r="E1123" s="45"/>
      <c r="F1123" s="53"/>
      <c r="G1123" s="11"/>
      <c r="H1123" s="11"/>
      <c r="I1123" s="11"/>
      <c r="J1123" s="11"/>
      <c r="K1123" s="91"/>
      <c r="L1123" s="91"/>
      <c r="M1123" s="13"/>
      <c r="N1123" s="13"/>
      <c r="O1123" s="13"/>
      <c r="P1123" s="13"/>
      <c r="Q1123" s="13"/>
      <c r="R1123" s="119"/>
    </row>
    <row r="1124" spans="1:18" x14ac:dyDescent="0.5">
      <c r="A1124" s="130">
        <v>228</v>
      </c>
      <c r="B1124" s="7" t="s">
        <v>582</v>
      </c>
      <c r="C1124" s="7" t="s">
        <v>583</v>
      </c>
      <c r="D1124" s="8" t="s">
        <v>79</v>
      </c>
      <c r="E1124" s="43"/>
      <c r="F1124" s="51"/>
      <c r="G1124" s="9"/>
      <c r="H1124" s="129">
        <f>VLOOKUP($A1124,'Model Inputs'!$A:$D,4)</f>
        <v>1</v>
      </c>
      <c r="I1124" s="9"/>
      <c r="J1124" s="9">
        <f>SUBTOTAL(9,J1126:J1145)</f>
        <v>5017.9082902030277</v>
      </c>
      <c r="K1124" s="89"/>
      <c r="L1124" s="89">
        <f>SUM(L1125,L1130,L1136,L1140,L1147,L1150)</f>
        <v>3.3727086494038589</v>
      </c>
      <c r="M1124" s="9">
        <f>SUBTOTAL(9,M1126:M1145)</f>
        <v>250.66574095502585</v>
      </c>
      <c r="N1124" s="9">
        <f t="shared" ref="N1124:Q1124" si="169">SUBTOTAL(9,N1126:N1145)</f>
        <v>2769.9402465402954</v>
      </c>
      <c r="O1124" s="9">
        <f t="shared" si="169"/>
        <v>1086.0523027077065</v>
      </c>
      <c r="P1124" s="9">
        <f t="shared" si="169"/>
        <v>911.25</v>
      </c>
      <c r="Q1124" s="9">
        <f t="shared" si="169"/>
        <v>5017.9082902030277</v>
      </c>
      <c r="R1124" s="117"/>
    </row>
    <row r="1125" spans="1:18" x14ac:dyDescent="0.5">
      <c r="A1125" s="130">
        <v>229</v>
      </c>
      <c r="B1125" s="7" t="s">
        <v>594</v>
      </c>
      <c r="C1125" s="7" t="s">
        <v>595</v>
      </c>
      <c r="D1125" s="8" t="s">
        <v>72</v>
      </c>
      <c r="E1125" s="43"/>
      <c r="F1125" s="51"/>
      <c r="G1125" s="9"/>
      <c r="H1125" s="129">
        <f>VLOOKUP($A1125,'Model Inputs'!$A:$D,4)</f>
        <v>36</v>
      </c>
      <c r="I1125" s="9"/>
      <c r="J1125" s="9">
        <f>SUBTOTAL(9,J1126:J1128)</f>
        <v>513.6</v>
      </c>
      <c r="K1125" s="89"/>
      <c r="L1125" s="89">
        <f>MAX(L1126:L1128)/workhrs</f>
        <v>0.13333333333333333</v>
      </c>
      <c r="M1125" s="9">
        <f>SUBTOTAL(9,M1126:M1128)</f>
        <v>45.6</v>
      </c>
      <c r="N1125" s="9">
        <f t="shared" ref="N1125:Q1125" si="170">SUBTOTAL(9,N1126:N1128)</f>
        <v>0</v>
      </c>
      <c r="O1125" s="9">
        <f t="shared" si="170"/>
        <v>468</v>
      </c>
      <c r="P1125" s="9">
        <f t="shared" si="170"/>
        <v>0</v>
      </c>
      <c r="Q1125" s="9">
        <f t="shared" si="170"/>
        <v>513.6</v>
      </c>
      <c r="R1125" s="117"/>
    </row>
    <row r="1126" spans="1:18" outlineLevel="1" x14ac:dyDescent="0.5">
      <c r="A1126" s="131">
        <v>229.1</v>
      </c>
      <c r="B1126" s="14">
        <v>1</v>
      </c>
      <c r="C1126" s="15" t="s">
        <v>55</v>
      </c>
      <c r="D1126" s="44" t="str">
        <f>VLOOKUP(Estimate!$C1126,Resources!$B$3:$G$336,4,FALSE)</f>
        <v xml:space="preserve">hr   </v>
      </c>
      <c r="E1126" s="44" t="str">
        <f>VLOOKUP(Estimate!$C1126,Resources!$B$3:$G$336,3,FALSE)</f>
        <v>P</v>
      </c>
      <c r="F1126" s="52">
        <v>1</v>
      </c>
      <c r="G1126" s="129">
        <f>VLOOKUP($A1126,'Model Inputs'!$A:$D,4)</f>
        <v>30</v>
      </c>
      <c r="H1126" s="12">
        <f>H1125</f>
        <v>36</v>
      </c>
      <c r="I1126" s="12">
        <f>VLOOKUP(C1126,Resources!$B$3:$G$336,6,FALSE)</f>
        <v>135</v>
      </c>
      <c r="J1126" s="12">
        <f>(H1126/(G1126/F1126))*I1126</f>
        <v>162</v>
      </c>
      <c r="K1126" s="90">
        <f>L1126*F1126</f>
        <v>1.2</v>
      </c>
      <c r="L1126" s="90">
        <f>IF(E1126="M"," ",H1126/G1126)</f>
        <v>1.2</v>
      </c>
      <c r="M1126" s="16">
        <f>IF($E1126="L",$J1126,0)</f>
        <v>0</v>
      </c>
      <c r="N1126" s="16">
        <f>IF($E1126="M",$J1126,0)</f>
        <v>0</v>
      </c>
      <c r="O1126" s="16">
        <f>IF($E1126="P",$J1126,0)</f>
        <v>162</v>
      </c>
      <c r="P1126" s="16">
        <f>IF($E1126="S",$J1126,0)</f>
        <v>0</v>
      </c>
      <c r="Q1126" s="16">
        <f>SUM(M1126:P1126)</f>
        <v>162</v>
      </c>
      <c r="R1126" s="118">
        <v>53</v>
      </c>
    </row>
    <row r="1127" spans="1:18" outlineLevel="1" x14ac:dyDescent="0.5">
      <c r="A1127" s="131" t="s">
        <v>448</v>
      </c>
      <c r="B1127" s="14">
        <v>2</v>
      </c>
      <c r="C1127" s="15" t="s">
        <v>66</v>
      </c>
      <c r="D1127" s="44" t="str">
        <f>VLOOKUP(Estimate!$C1127,Resources!$B$3:$G$336,4,FALSE)</f>
        <v xml:space="preserve">hr   </v>
      </c>
      <c r="E1127" s="44" t="str">
        <f>VLOOKUP(Estimate!$C1127,Resources!$B$3:$G$336,3,FALSE)</f>
        <v>P</v>
      </c>
      <c r="F1127" s="52">
        <v>3</v>
      </c>
      <c r="G1127" s="12">
        <f>G1126</f>
        <v>30</v>
      </c>
      <c r="H1127" s="12">
        <f>H1125</f>
        <v>36</v>
      </c>
      <c r="I1127" s="12">
        <f>VLOOKUP(C1127,Resources!$B$3:$G$336,6,FALSE)</f>
        <v>85</v>
      </c>
      <c r="J1127" s="12">
        <f>(H1127/(G1127/F1127))*I1127</f>
        <v>306</v>
      </c>
      <c r="K1127" s="90">
        <f>L1127*F1127</f>
        <v>3.5999999999999996</v>
      </c>
      <c r="L1127" s="90">
        <f>IF(E1127="M"," ",H1127/G1127)</f>
        <v>1.2</v>
      </c>
      <c r="M1127" s="16">
        <f>IF($E1127="L",$J1127,0)</f>
        <v>0</v>
      </c>
      <c r="N1127" s="16">
        <f>IF($E1127="M",$J1127,0)</f>
        <v>0</v>
      </c>
      <c r="O1127" s="16">
        <f>IF($E1127="P",$J1127,0)</f>
        <v>306</v>
      </c>
      <c r="P1127" s="16">
        <f>IF($E1127="S",$J1127,0)</f>
        <v>0</v>
      </c>
      <c r="Q1127" s="16">
        <f>SUM(M1127:P1127)</f>
        <v>306</v>
      </c>
      <c r="R1127" s="118">
        <v>53</v>
      </c>
    </row>
    <row r="1128" spans="1:18" outlineLevel="1" x14ac:dyDescent="0.5">
      <c r="A1128" s="131" t="s">
        <v>448</v>
      </c>
      <c r="B1128" s="14">
        <v>4</v>
      </c>
      <c r="C1128" s="15" t="s">
        <v>7</v>
      </c>
      <c r="D1128" s="44" t="str">
        <f>VLOOKUP(Estimate!$C1128,Resources!$B$3:$G$336,4,FALSE)</f>
        <v xml:space="preserve">hr   </v>
      </c>
      <c r="E1128" s="44" t="str">
        <f>VLOOKUP(Estimate!$C1128,Resources!$B$3:$G$336,3,FALSE)</f>
        <v>L</v>
      </c>
      <c r="F1128" s="52">
        <v>1</v>
      </c>
      <c r="G1128" s="12">
        <f>G1126</f>
        <v>30</v>
      </c>
      <c r="H1128" s="12">
        <f>H1125</f>
        <v>36</v>
      </c>
      <c r="I1128" s="12">
        <f>VLOOKUP(C1128,Resources!$B$3:$G$336,6,FALSE)</f>
        <v>38</v>
      </c>
      <c r="J1128" s="12">
        <f>(H1128/(G1128/F1128))*I1128</f>
        <v>45.6</v>
      </c>
      <c r="K1128" s="90">
        <f>L1128*F1128</f>
        <v>1.2</v>
      </c>
      <c r="L1128" s="90">
        <f>IF(E1128="M"," ",H1128/G1128)</f>
        <v>1.2</v>
      </c>
      <c r="M1128" s="16">
        <f>IF($E1128="L",$J1128,0)</f>
        <v>45.6</v>
      </c>
      <c r="N1128" s="16">
        <f>IF($E1128="M",$J1128,0)</f>
        <v>0</v>
      </c>
      <c r="O1128" s="16">
        <f>IF($E1128="P",$J1128,0)</f>
        <v>0</v>
      </c>
      <c r="P1128" s="16">
        <f>IF($E1128="S",$J1128,0)</f>
        <v>0</v>
      </c>
      <c r="Q1128" s="16">
        <f>SUM(M1128:P1128)</f>
        <v>45.6</v>
      </c>
      <c r="R1128" s="118">
        <v>53</v>
      </c>
    </row>
    <row r="1129" spans="1:18" outlineLevel="1" x14ac:dyDescent="0.5">
      <c r="A1129" s="132" t="s">
        <v>448</v>
      </c>
      <c r="B1129" s="1"/>
      <c r="C1129" s="2"/>
      <c r="D1129" s="1"/>
      <c r="E1129" s="45"/>
      <c r="F1129" s="53"/>
      <c r="G1129" s="11"/>
      <c r="H1129" s="11"/>
      <c r="I1129" s="11"/>
      <c r="J1129" s="11"/>
      <c r="K1129" s="91"/>
      <c r="L1129" s="91"/>
      <c r="M1129" s="13"/>
      <c r="N1129" s="13"/>
      <c r="O1129" s="13"/>
      <c r="P1129" s="13"/>
      <c r="Q1129" s="13"/>
      <c r="R1129" s="119"/>
    </row>
    <row r="1130" spans="1:18" x14ac:dyDescent="0.5">
      <c r="A1130" s="130">
        <v>230</v>
      </c>
      <c r="B1130" s="7" t="s">
        <v>588</v>
      </c>
      <c r="C1130" s="7" t="s">
        <v>589</v>
      </c>
      <c r="D1130" s="8" t="s">
        <v>83</v>
      </c>
      <c r="E1130" s="43"/>
      <c r="F1130" s="51"/>
      <c r="G1130" s="9"/>
      <c r="H1130" s="129">
        <f>VLOOKUP($A1130,'Model Inputs'!$A:$D,4)</f>
        <v>160</v>
      </c>
      <c r="I1130" s="9"/>
      <c r="J1130" s="9">
        <f>SUBTOTAL(9,J1131:J1134)</f>
        <v>393.95555555555552</v>
      </c>
      <c r="K1130" s="89"/>
      <c r="L1130" s="89">
        <f>MAX(L1131:L1134)/workhrs</f>
        <v>0.11851851851851852</v>
      </c>
      <c r="M1130" s="9">
        <f>SUBTOTAL(9,M1131:M1134)</f>
        <v>81.066666666666663</v>
      </c>
      <c r="N1130" s="9">
        <f t="shared" ref="N1130:Q1130" si="171">SUBTOTAL(9,N1131:N1134)</f>
        <v>0</v>
      </c>
      <c r="O1130" s="9">
        <f t="shared" si="171"/>
        <v>312.88888888888886</v>
      </c>
      <c r="P1130" s="9">
        <f t="shared" si="171"/>
        <v>0</v>
      </c>
      <c r="Q1130" s="9">
        <f t="shared" si="171"/>
        <v>393.95555555555552</v>
      </c>
      <c r="R1130" s="117"/>
    </row>
    <row r="1131" spans="1:18" outlineLevel="1" x14ac:dyDescent="0.5">
      <c r="A1131" s="131">
        <v>230.1</v>
      </c>
      <c r="B1131" s="14">
        <v>1</v>
      </c>
      <c r="C1131" s="15" t="s">
        <v>96</v>
      </c>
      <c r="D1131" s="44" t="str">
        <f>VLOOKUP(Estimate!$C1131,Resources!$B$3:$G$336,4,FALSE)</f>
        <v xml:space="preserve">hr   </v>
      </c>
      <c r="E1131" s="44" t="str">
        <f>VLOOKUP(Estimate!$C1131,Resources!$B$3:$G$336,3,FALSE)</f>
        <v>P</v>
      </c>
      <c r="F1131" s="52">
        <v>1</v>
      </c>
      <c r="G1131" s="129">
        <f>VLOOKUP($A1131,'Model Inputs'!$A:$D,4)</f>
        <v>150</v>
      </c>
      <c r="H1131" s="12">
        <f>H1130</f>
        <v>160</v>
      </c>
      <c r="I1131" s="12">
        <f>VLOOKUP(C1131,Resources!$B$3:$G$336,6,FALSE)</f>
        <v>145</v>
      </c>
      <c r="J1131" s="12">
        <f>(H1131/(G1131/F1131))*I1131</f>
        <v>154.66666666666666</v>
      </c>
      <c r="K1131" s="90">
        <f>L1131*F1131</f>
        <v>1.0666666666666667</v>
      </c>
      <c r="L1131" s="90">
        <f>IF(E1131="M"," ",H1131/G1131)</f>
        <v>1.0666666666666667</v>
      </c>
      <c r="M1131" s="16">
        <f>IF($E1131="L",$J1131,0)</f>
        <v>0</v>
      </c>
      <c r="N1131" s="16">
        <f>IF($E1131="M",$J1131,0)</f>
        <v>0</v>
      </c>
      <c r="O1131" s="16">
        <f>IF($E1131="P",$J1131,0)</f>
        <v>154.66666666666666</v>
      </c>
      <c r="P1131" s="16">
        <f>IF($E1131="S",$J1131,0)</f>
        <v>0</v>
      </c>
      <c r="Q1131" s="16">
        <f>SUM(M1131:P1131)</f>
        <v>154.66666666666666</v>
      </c>
      <c r="R1131" s="118">
        <v>61</v>
      </c>
    </row>
    <row r="1132" spans="1:18" outlineLevel="1" x14ac:dyDescent="0.5">
      <c r="A1132" s="131" t="s">
        <v>448</v>
      </c>
      <c r="B1132" s="14">
        <v>2</v>
      </c>
      <c r="C1132" s="15" t="s">
        <v>827</v>
      </c>
      <c r="D1132" s="44" t="str">
        <f>VLOOKUP(Estimate!$C1132,Resources!$B$3:$G$336,4,FALSE)</f>
        <v xml:space="preserve">day  </v>
      </c>
      <c r="E1132" s="44" t="str">
        <f>VLOOKUP(Estimate!$C1132,Resources!$B$3:$G$336,3,FALSE)</f>
        <v>P</v>
      </c>
      <c r="F1132" s="52">
        <v>1</v>
      </c>
      <c r="G1132" s="12">
        <f>G1131*9</f>
        <v>1350</v>
      </c>
      <c r="H1132" s="12">
        <f>H1131</f>
        <v>160</v>
      </c>
      <c r="I1132" s="12">
        <f>VLOOKUP(C1132,Resources!$B$3:$G$336,6,FALSE)</f>
        <v>480</v>
      </c>
      <c r="J1132" s="12">
        <f>(H1132/(G1132/F1132))*I1132</f>
        <v>56.888888888888893</v>
      </c>
      <c r="K1132" s="90">
        <f>L1132*F1132</f>
        <v>0.11851851851851852</v>
      </c>
      <c r="L1132" s="90">
        <f>IF(E1132="M"," ",H1132/G1132)</f>
        <v>0.11851851851851852</v>
      </c>
      <c r="M1132" s="16">
        <f>IF($E1132="L",$J1132,0)</f>
        <v>0</v>
      </c>
      <c r="N1132" s="16">
        <f>IF($E1132="M",$J1132,0)</f>
        <v>0</v>
      </c>
      <c r="O1132" s="16">
        <f>IF($E1132="P",$J1132,0)</f>
        <v>56.888888888888893</v>
      </c>
      <c r="P1132" s="16">
        <f>IF($E1132="S",$J1132,0)</f>
        <v>0</v>
      </c>
      <c r="Q1132" s="16">
        <f>SUM(M1132:P1132)</f>
        <v>56.888888888888893</v>
      </c>
      <c r="R1132" s="118">
        <v>61</v>
      </c>
    </row>
    <row r="1133" spans="1:18" outlineLevel="1" x14ac:dyDescent="0.5">
      <c r="A1133" s="131" t="s">
        <v>448</v>
      </c>
      <c r="B1133" s="14">
        <v>3</v>
      </c>
      <c r="C1133" s="15" t="s">
        <v>60</v>
      </c>
      <c r="D1133" s="44" t="str">
        <f>VLOOKUP(Estimate!$C1133,Resources!$B$3:$G$336,4,FALSE)</f>
        <v xml:space="preserve">hr   </v>
      </c>
      <c r="E1133" s="44" t="str">
        <f>VLOOKUP(Estimate!$C1133,Resources!$B$3:$G$336,3,FALSE)</f>
        <v>P</v>
      </c>
      <c r="F1133" s="52">
        <v>1</v>
      </c>
      <c r="G1133" s="12">
        <f>G1131</f>
        <v>150</v>
      </c>
      <c r="H1133" s="12">
        <f>H1132</f>
        <v>160</v>
      </c>
      <c r="I1133" s="12">
        <f>VLOOKUP(C1133,Resources!$B$3:$G$336,6,FALSE)</f>
        <v>95</v>
      </c>
      <c r="J1133" s="12">
        <f>(H1133/(G1133/F1133))*I1133</f>
        <v>101.33333333333333</v>
      </c>
      <c r="K1133" s="90">
        <f>L1133*F1133</f>
        <v>1.0666666666666667</v>
      </c>
      <c r="L1133" s="90">
        <f>IF(E1133="M"," ",H1133/G1133)</f>
        <v>1.0666666666666667</v>
      </c>
      <c r="M1133" s="16">
        <f>IF($E1133="L",$J1133,0)</f>
        <v>0</v>
      </c>
      <c r="N1133" s="16">
        <f>IF($E1133="M",$J1133,0)</f>
        <v>0</v>
      </c>
      <c r="O1133" s="16">
        <f>IF($E1133="P",$J1133,0)</f>
        <v>101.33333333333333</v>
      </c>
      <c r="P1133" s="16">
        <f>IF($E1133="S",$J1133,0)</f>
        <v>0</v>
      </c>
      <c r="Q1133" s="16">
        <f>SUM(M1133:P1133)</f>
        <v>101.33333333333333</v>
      </c>
      <c r="R1133" s="118">
        <v>61</v>
      </c>
    </row>
    <row r="1134" spans="1:18" outlineLevel="1" x14ac:dyDescent="0.5">
      <c r="A1134" s="131" t="s">
        <v>448</v>
      </c>
      <c r="B1134" s="14">
        <v>4</v>
      </c>
      <c r="C1134" s="15" t="s">
        <v>7</v>
      </c>
      <c r="D1134" s="44" t="str">
        <f>VLOOKUP(Estimate!$C1134,Resources!$B$3:$G$336,4,FALSE)</f>
        <v xml:space="preserve">hr   </v>
      </c>
      <c r="E1134" s="44" t="str">
        <f>VLOOKUP(Estimate!$C1134,Resources!$B$3:$G$336,3,FALSE)</f>
        <v>L</v>
      </c>
      <c r="F1134" s="52">
        <v>2</v>
      </c>
      <c r="G1134" s="12">
        <f>G1131</f>
        <v>150</v>
      </c>
      <c r="H1134" s="12">
        <f>H1133</f>
        <v>160</v>
      </c>
      <c r="I1134" s="12">
        <f>VLOOKUP(C1134,Resources!$B$3:$G$336,6,FALSE)</f>
        <v>38</v>
      </c>
      <c r="J1134" s="12">
        <f>(H1134/(G1134/F1134))*I1134</f>
        <v>81.066666666666663</v>
      </c>
      <c r="K1134" s="90">
        <f>L1134*F1134</f>
        <v>2.1333333333333333</v>
      </c>
      <c r="L1134" s="90">
        <f>IF(E1134="M"," ",H1134/G1134)</f>
        <v>1.0666666666666667</v>
      </c>
      <c r="M1134" s="16">
        <f>IF($E1134="L",$J1134,0)</f>
        <v>81.066666666666663</v>
      </c>
      <c r="N1134" s="16">
        <f>IF($E1134="M",$J1134,0)</f>
        <v>0</v>
      </c>
      <c r="O1134" s="16">
        <f>IF($E1134="P",$J1134,0)</f>
        <v>0</v>
      </c>
      <c r="P1134" s="16">
        <f>IF($E1134="S",$J1134,0)</f>
        <v>0</v>
      </c>
      <c r="Q1134" s="16">
        <f>SUM(M1134:P1134)</f>
        <v>81.066666666666663</v>
      </c>
      <c r="R1134" s="118">
        <v>61</v>
      </c>
    </row>
    <row r="1135" spans="1:18" outlineLevel="1" x14ac:dyDescent="0.5">
      <c r="A1135" s="132" t="s">
        <v>448</v>
      </c>
      <c r="B1135" s="1"/>
      <c r="C1135" s="2"/>
      <c r="D1135" s="1"/>
      <c r="E1135" s="45"/>
      <c r="F1135" s="53"/>
      <c r="G1135" s="11"/>
      <c r="H1135" s="11"/>
      <c r="I1135" s="11"/>
      <c r="J1135" s="11"/>
      <c r="K1135" s="91"/>
      <c r="L1135" s="91"/>
      <c r="M1135" s="13"/>
      <c r="N1135" s="13"/>
      <c r="O1135" s="13"/>
      <c r="P1135" s="13"/>
      <c r="Q1135" s="13"/>
      <c r="R1135" s="119"/>
    </row>
    <row r="1136" spans="1:18" x14ac:dyDescent="0.5">
      <c r="A1136" s="130">
        <v>231</v>
      </c>
      <c r="B1136" s="7" t="s">
        <v>590</v>
      </c>
      <c r="C1136" s="7" t="s">
        <v>591</v>
      </c>
      <c r="D1136" s="8" t="s">
        <v>25</v>
      </c>
      <c r="E1136" s="43"/>
      <c r="F1136" s="51"/>
      <c r="G1136" s="9"/>
      <c r="H1136" s="129">
        <f>VLOOKUP($A1136,'Model Inputs'!$A:$D,4)</f>
        <v>45</v>
      </c>
      <c r="I1136" s="9"/>
      <c r="J1136" s="9">
        <f>SUBTOTAL(9,J1137:J1138)</f>
        <v>1845.3702465402953</v>
      </c>
      <c r="K1136" s="89"/>
      <c r="L1136" s="89">
        <v>1</v>
      </c>
      <c r="M1136" s="9">
        <f>SUBTOTAL(9,M1137:M1138)</f>
        <v>0</v>
      </c>
      <c r="N1136" s="9">
        <f t="shared" ref="N1136:Q1136" si="172">SUBTOTAL(9,N1137:N1138)</f>
        <v>934.1202465402954</v>
      </c>
      <c r="O1136" s="9">
        <f t="shared" si="172"/>
        <v>0</v>
      </c>
      <c r="P1136" s="9">
        <f t="shared" si="172"/>
        <v>911.25</v>
      </c>
      <c r="Q1136" s="9">
        <f t="shared" si="172"/>
        <v>1845.3702465402953</v>
      </c>
      <c r="R1136" s="117"/>
    </row>
    <row r="1137" spans="1:18" outlineLevel="1" x14ac:dyDescent="0.5">
      <c r="A1137" s="131" t="s">
        <v>448</v>
      </c>
      <c r="B1137" s="14">
        <v>1</v>
      </c>
      <c r="C1137" s="15" t="s">
        <v>136</v>
      </c>
      <c r="D1137" s="44" t="str">
        <f>VLOOKUP(Estimate!$C1137,Resources!$B$3:$G$336,4,FALSE)</f>
        <v xml:space="preserve">m³   </v>
      </c>
      <c r="E1137" s="44" t="str">
        <f>VLOOKUP(Estimate!$C1137,Resources!$B$3:$G$336,3,FALSE)</f>
        <v>M</v>
      </c>
      <c r="F1137" s="52">
        <v>1</v>
      </c>
      <c r="G1137" s="12">
        <v>1</v>
      </c>
      <c r="H1137" s="12">
        <f>H1136/8.599</f>
        <v>5.2331666472845679</v>
      </c>
      <c r="I1137" s="12">
        <f>VLOOKUP(C1137,Resources!$B$3:$G$336,6,FALSE)</f>
        <v>178.5</v>
      </c>
      <c r="J1137" s="12">
        <f>(H1137/(G1137/F1137))*I1137</f>
        <v>934.1202465402954</v>
      </c>
      <c r="K1137" s="90"/>
      <c r="L1137" s="90" t="str">
        <f>IF(E1137="M"," ",H1137/G1137)</f>
        <v xml:space="preserve"> </v>
      </c>
      <c r="M1137" s="16">
        <f>IF($E1137="L",$J1137,0)</f>
        <v>0</v>
      </c>
      <c r="N1137" s="16">
        <f>IF($E1137="M",$J1137,0)</f>
        <v>934.1202465402954</v>
      </c>
      <c r="O1137" s="16">
        <f>IF($E1137="P",$J1137,0)</f>
        <v>0</v>
      </c>
      <c r="P1137" s="16">
        <f>IF($E1137="S",$J1137,0)</f>
        <v>0</v>
      </c>
      <c r="Q1137" s="16">
        <f>SUM(M1137:P1137)</f>
        <v>934.1202465402954</v>
      </c>
      <c r="R1137" s="118" t="s">
        <v>949</v>
      </c>
    </row>
    <row r="1138" spans="1:18" outlineLevel="1" x14ac:dyDescent="0.5">
      <c r="A1138" s="131" t="s">
        <v>448</v>
      </c>
      <c r="B1138" s="14">
        <v>2</v>
      </c>
      <c r="C1138" s="15" t="s">
        <v>137</v>
      </c>
      <c r="D1138" s="44" t="str">
        <f>VLOOKUP(Estimate!$C1138,Resources!$B$3:$G$336,4,FALSE)</f>
        <v xml:space="preserve">m    </v>
      </c>
      <c r="E1138" s="44" t="str">
        <f>VLOOKUP(Estimate!$C1138,Resources!$B$3:$G$336,3,FALSE)</f>
        <v>S</v>
      </c>
      <c r="F1138" s="52">
        <v>1</v>
      </c>
      <c r="G1138" s="12">
        <v>1</v>
      </c>
      <c r="H1138" s="12">
        <f>H1136</f>
        <v>45</v>
      </c>
      <c r="I1138" s="12">
        <f>VLOOKUP(C1138,Resources!$B$3:$G$336,6,FALSE)</f>
        <v>20.25</v>
      </c>
      <c r="J1138" s="12">
        <f>(H1138/(G1138/F1138))*I1138</f>
        <v>911.25</v>
      </c>
      <c r="K1138" s="90">
        <f>L1138*F1138</f>
        <v>45</v>
      </c>
      <c r="L1138" s="90">
        <f>IF(E1138="M"," ",H1138/G1138)</f>
        <v>45</v>
      </c>
      <c r="M1138" s="16">
        <f>IF($E1138="L",$J1138,0)</f>
        <v>0</v>
      </c>
      <c r="N1138" s="16">
        <f>IF($E1138="M",$J1138,0)</f>
        <v>0</v>
      </c>
      <c r="O1138" s="16">
        <f>IF($E1138="P",$J1138,0)</f>
        <v>0</v>
      </c>
      <c r="P1138" s="16">
        <f>IF($E1138="S",$J1138,0)</f>
        <v>911.25</v>
      </c>
      <c r="Q1138" s="16">
        <f>SUM(M1138:P1138)</f>
        <v>911.25</v>
      </c>
      <c r="R1138" s="118">
        <v>71</v>
      </c>
    </row>
    <row r="1139" spans="1:18" outlineLevel="1" x14ac:dyDescent="0.5">
      <c r="A1139" s="132" t="s">
        <v>448</v>
      </c>
      <c r="B1139" s="1"/>
      <c r="C1139" s="2"/>
      <c r="D1139" s="1"/>
      <c r="E1139" s="45"/>
      <c r="F1139" s="53"/>
      <c r="G1139" s="11"/>
      <c r="H1139" s="11"/>
      <c r="I1139" s="11"/>
      <c r="J1139" s="11"/>
      <c r="K1139" s="91"/>
      <c r="L1139" s="91"/>
      <c r="M1139" s="13"/>
      <c r="N1139" s="13"/>
      <c r="O1139" s="13"/>
      <c r="P1139" s="13"/>
      <c r="Q1139" s="13"/>
      <c r="R1139" s="119"/>
    </row>
    <row r="1140" spans="1:18" x14ac:dyDescent="0.5">
      <c r="A1140" s="130">
        <v>232</v>
      </c>
      <c r="B1140" s="7" t="s">
        <v>584</v>
      </c>
      <c r="C1140" s="7" t="s">
        <v>585</v>
      </c>
      <c r="D1140" s="8" t="s">
        <v>72</v>
      </c>
      <c r="E1140" s="43"/>
      <c r="F1140" s="51"/>
      <c r="G1140" s="9"/>
      <c r="H1140" s="129">
        <f>VLOOKUP($A1140,'Model Inputs'!$A:$D,4)</f>
        <v>36</v>
      </c>
      <c r="I1140" s="9"/>
      <c r="J1140" s="9">
        <f>SUBTOTAL(9,J1141:J1145)</f>
        <v>2264.9824881071768</v>
      </c>
      <c r="K1140" s="89"/>
      <c r="L1140" s="89">
        <f>MAX(L1141:L1145)/workhrs</f>
        <v>0.12085679755200701</v>
      </c>
      <c r="M1140" s="9">
        <f>SUBTOTAL(9,M1141:M1145)</f>
        <v>123.99907428835918</v>
      </c>
      <c r="N1140" s="9">
        <f t="shared" ref="N1140:Q1140" si="173">SUBTOTAL(9,N1141:N1145)</f>
        <v>1835.8200000000002</v>
      </c>
      <c r="O1140" s="9">
        <f t="shared" si="173"/>
        <v>305.16341381881773</v>
      </c>
      <c r="P1140" s="9">
        <f t="shared" si="173"/>
        <v>0</v>
      </c>
      <c r="Q1140" s="9">
        <f t="shared" si="173"/>
        <v>2264.9824881071768</v>
      </c>
      <c r="R1140" s="117"/>
    </row>
    <row r="1141" spans="1:18" outlineLevel="1" x14ac:dyDescent="0.5">
      <c r="A1141" s="131" t="s">
        <v>448</v>
      </c>
      <c r="B1141" s="14">
        <v>1</v>
      </c>
      <c r="C1141" s="15" t="s">
        <v>721</v>
      </c>
      <c r="D1141" s="44" t="str">
        <f>VLOOKUP(Estimate!$C1141,Resources!$B$3:$G$336,4,FALSE)</f>
        <v>tonne</v>
      </c>
      <c r="E1141" s="44" t="str">
        <f>VLOOKUP(Estimate!$C1141,Resources!$B$3:$G$336,3,FALSE)</f>
        <v>M</v>
      </c>
      <c r="F1141" s="52">
        <v>1</v>
      </c>
      <c r="G1141" s="12">
        <v>1</v>
      </c>
      <c r="H1141" s="12">
        <f>H1140*2.35</f>
        <v>84.600000000000009</v>
      </c>
      <c r="I1141" s="12">
        <f>VLOOKUP(C1141,Resources!$B$3:$G$336,6,FALSE)</f>
        <v>21.7</v>
      </c>
      <c r="J1141" s="12">
        <f>(H1141/(G1141/F1141))*I1141</f>
        <v>1835.8200000000002</v>
      </c>
      <c r="K1141" s="90"/>
      <c r="L1141" s="90" t="str">
        <f>IF(E1141="M"," ",H1141/G1141)</f>
        <v xml:space="preserve"> </v>
      </c>
      <c r="M1141" s="16">
        <f>IF($E1141="L",$J1141,0)</f>
        <v>0</v>
      </c>
      <c r="N1141" s="16">
        <f>IF($E1141="M",$J1141,0)</f>
        <v>1835.8200000000002</v>
      </c>
      <c r="O1141" s="16">
        <f>IF($E1141="P",$J1141,0)</f>
        <v>0</v>
      </c>
      <c r="P1141" s="16">
        <f>IF($E1141="S",$J1141,0)</f>
        <v>0</v>
      </c>
      <c r="Q1141" s="16">
        <f t="shared" ref="Q1141:Q1145" si="174">SUM(M1141:P1141)</f>
        <v>1835.8200000000002</v>
      </c>
      <c r="R1141" s="118" t="s">
        <v>948</v>
      </c>
    </row>
    <row r="1142" spans="1:18" outlineLevel="1" x14ac:dyDescent="0.5">
      <c r="A1142" s="131">
        <v>232.1</v>
      </c>
      <c r="B1142" s="14">
        <v>2</v>
      </c>
      <c r="C1142" s="15" t="s">
        <v>96</v>
      </c>
      <c r="D1142" s="44" t="str">
        <f>VLOOKUP(Estimate!$C1142,Resources!$B$3:$G$336,4,FALSE)</f>
        <v xml:space="preserve">hr   </v>
      </c>
      <c r="E1142" s="44" t="str">
        <f>VLOOKUP(Estimate!$C1142,Resources!$B$3:$G$336,3,FALSE)</f>
        <v>P</v>
      </c>
      <c r="F1142" s="52">
        <v>1</v>
      </c>
      <c r="G1142" s="129">
        <f>VLOOKUP($A1142,'Model Inputs'!$A:$D,4)</f>
        <v>77.778000000000006</v>
      </c>
      <c r="H1142" s="12">
        <f>H1141</f>
        <v>84.600000000000009</v>
      </c>
      <c r="I1142" s="12">
        <f>VLOOKUP(C1142,Resources!$B$3:$G$336,6,FALSE)</f>
        <v>145</v>
      </c>
      <c r="J1142" s="12">
        <f>(H1142/(G1142/F1142))*I1142</f>
        <v>157.71812080536915</v>
      </c>
      <c r="K1142" s="90">
        <f>L1142*F1142</f>
        <v>1.087711177968063</v>
      </c>
      <c r="L1142" s="90">
        <f>IF(E1142="M"," ",H1142/G1142)</f>
        <v>1.087711177968063</v>
      </c>
      <c r="M1142" s="16">
        <f>IF($E1142="L",$J1142,0)</f>
        <v>0</v>
      </c>
      <c r="N1142" s="16">
        <f>IF($E1142="M",$J1142,0)</f>
        <v>0</v>
      </c>
      <c r="O1142" s="16">
        <f>IF($E1142="P",$J1142,0)</f>
        <v>157.71812080536915</v>
      </c>
      <c r="P1142" s="16">
        <f>IF($E1142="S",$J1142,0)</f>
        <v>0</v>
      </c>
      <c r="Q1142" s="16">
        <f t="shared" si="174"/>
        <v>157.71812080536915</v>
      </c>
      <c r="R1142" s="118">
        <v>62</v>
      </c>
    </row>
    <row r="1143" spans="1:18" outlineLevel="1" x14ac:dyDescent="0.5">
      <c r="A1143" s="131" t="s">
        <v>448</v>
      </c>
      <c r="B1143" s="14">
        <v>3</v>
      </c>
      <c r="C1143" s="15" t="s">
        <v>60</v>
      </c>
      <c r="D1143" s="44" t="str">
        <f>VLOOKUP(Estimate!$C1143,Resources!$B$3:$G$336,4,FALSE)</f>
        <v xml:space="preserve">hr   </v>
      </c>
      <c r="E1143" s="44" t="str">
        <f>VLOOKUP(Estimate!$C1143,Resources!$B$3:$G$336,3,FALSE)</f>
        <v>P</v>
      </c>
      <c r="F1143" s="52">
        <v>1</v>
      </c>
      <c r="G1143" s="12">
        <f>G1142</f>
        <v>77.778000000000006</v>
      </c>
      <c r="H1143" s="12">
        <f>H1142</f>
        <v>84.600000000000009</v>
      </c>
      <c r="I1143" s="12">
        <f>VLOOKUP(C1143,Resources!$B$3:$G$336,6,FALSE)</f>
        <v>95</v>
      </c>
      <c r="J1143" s="12">
        <f>(H1143/(G1143/F1143))*I1143</f>
        <v>103.33256190696599</v>
      </c>
      <c r="K1143" s="90">
        <f>L1143*F1143</f>
        <v>1.087711177968063</v>
      </c>
      <c r="L1143" s="90">
        <f>IF(E1143="M"," ",H1143/G1143)</f>
        <v>1.087711177968063</v>
      </c>
      <c r="M1143" s="16">
        <f>IF($E1143="L",$J1143,0)</f>
        <v>0</v>
      </c>
      <c r="N1143" s="16">
        <f>IF($E1143="M",$J1143,0)</f>
        <v>0</v>
      </c>
      <c r="O1143" s="16">
        <f>IF($E1143="P",$J1143,0)</f>
        <v>103.33256190696599</v>
      </c>
      <c r="P1143" s="16">
        <f>IF($E1143="S",$J1143,0)</f>
        <v>0</v>
      </c>
      <c r="Q1143" s="16">
        <f t="shared" si="174"/>
        <v>103.33256190696599</v>
      </c>
      <c r="R1143" s="118">
        <v>62</v>
      </c>
    </row>
    <row r="1144" spans="1:18" outlineLevel="1" x14ac:dyDescent="0.5">
      <c r="A1144" s="131" t="s">
        <v>448</v>
      </c>
      <c r="B1144" s="14">
        <v>4</v>
      </c>
      <c r="C1144" s="15" t="s">
        <v>110</v>
      </c>
      <c r="D1144" s="44" t="str">
        <f>VLOOKUP(Estimate!$C1144,Resources!$B$3:$G$336,4,FALSE)</f>
        <v xml:space="preserve">day  </v>
      </c>
      <c r="E1144" s="44" t="str">
        <f>VLOOKUP(Estimate!$C1144,Resources!$B$3:$G$336,3,FALSE)</f>
        <v>P</v>
      </c>
      <c r="F1144" s="52">
        <v>1</v>
      </c>
      <c r="G1144" s="12">
        <f>G1142*9</f>
        <v>700.00200000000007</v>
      </c>
      <c r="H1144" s="12">
        <f>H1143</f>
        <v>84.600000000000009</v>
      </c>
      <c r="I1144" s="12">
        <f>VLOOKUP(C1144,Resources!$B$3:$G$336,6,FALSE)</f>
        <v>365</v>
      </c>
      <c r="J1144" s="12">
        <f>(H1144/(G1144/F1144))*I1144</f>
        <v>44.112731106482556</v>
      </c>
      <c r="K1144" s="90">
        <f>L1144*F1144</f>
        <v>0.120856797552007</v>
      </c>
      <c r="L1144" s="90">
        <f>IF(E1144="M"," ",H1144/G1144)</f>
        <v>0.120856797552007</v>
      </c>
      <c r="M1144" s="16">
        <f>IF($E1144="L",$J1144,0)</f>
        <v>0</v>
      </c>
      <c r="N1144" s="16">
        <f>IF($E1144="M",$J1144,0)</f>
        <v>0</v>
      </c>
      <c r="O1144" s="16">
        <f>IF($E1144="P",$J1144,0)</f>
        <v>44.112731106482556</v>
      </c>
      <c r="P1144" s="16">
        <f>IF($E1144="S",$J1144,0)</f>
        <v>0</v>
      </c>
      <c r="Q1144" s="16">
        <f t="shared" si="174"/>
        <v>44.112731106482556</v>
      </c>
      <c r="R1144" s="118">
        <v>62</v>
      </c>
    </row>
    <row r="1145" spans="1:18" outlineLevel="1" x14ac:dyDescent="0.5">
      <c r="A1145" s="131" t="s">
        <v>448</v>
      </c>
      <c r="B1145" s="14">
        <v>5</v>
      </c>
      <c r="C1145" s="15" t="s">
        <v>7</v>
      </c>
      <c r="D1145" s="44" t="str">
        <f>VLOOKUP(Estimate!$C1145,Resources!$B$3:$G$336,4,FALSE)</f>
        <v xml:space="preserve">hr   </v>
      </c>
      <c r="E1145" s="44" t="str">
        <f>VLOOKUP(Estimate!$C1145,Resources!$B$3:$G$336,3,FALSE)</f>
        <v>L</v>
      </c>
      <c r="F1145" s="52">
        <v>3</v>
      </c>
      <c r="G1145" s="12">
        <f>G1142</f>
        <v>77.778000000000006</v>
      </c>
      <c r="H1145" s="12">
        <f>H1144</f>
        <v>84.600000000000009</v>
      </c>
      <c r="I1145" s="12">
        <f>VLOOKUP(C1145,Resources!$B$3:$G$336,6,FALSE)</f>
        <v>38</v>
      </c>
      <c r="J1145" s="12">
        <f>(H1145/(G1145/F1145))*I1145</f>
        <v>123.99907428835918</v>
      </c>
      <c r="K1145" s="90">
        <f>L1145*F1145</f>
        <v>3.2631335339041891</v>
      </c>
      <c r="L1145" s="90">
        <f>IF(E1145="M"," ",H1145/G1145)</f>
        <v>1.087711177968063</v>
      </c>
      <c r="M1145" s="16">
        <f>IF($E1145="L",$J1145,0)</f>
        <v>123.99907428835918</v>
      </c>
      <c r="N1145" s="16">
        <f>IF($E1145="M",$J1145,0)</f>
        <v>0</v>
      </c>
      <c r="O1145" s="16">
        <f>IF($E1145="P",$J1145,0)</f>
        <v>0</v>
      </c>
      <c r="P1145" s="16">
        <f>IF($E1145="S",$J1145,0)</f>
        <v>0</v>
      </c>
      <c r="Q1145" s="16">
        <f t="shared" si="174"/>
        <v>123.99907428835918</v>
      </c>
      <c r="R1145" s="118">
        <v>62</v>
      </c>
    </row>
    <row r="1146" spans="1:18" outlineLevel="1" x14ac:dyDescent="0.5">
      <c r="A1146" s="132" t="s">
        <v>448</v>
      </c>
      <c r="B1146" s="1"/>
      <c r="C1146" s="2"/>
      <c r="D1146" s="1"/>
      <c r="E1146" s="45"/>
      <c r="F1146" s="53"/>
      <c r="G1146" s="11"/>
      <c r="H1146" s="11"/>
      <c r="I1146" s="11"/>
      <c r="J1146" s="11"/>
      <c r="K1146" s="91"/>
      <c r="L1146" s="91"/>
      <c r="M1146" s="13"/>
      <c r="N1146" s="13"/>
      <c r="O1146" s="13"/>
      <c r="P1146" s="13"/>
      <c r="Q1146" s="13"/>
      <c r="R1146" s="119"/>
    </row>
    <row r="1147" spans="1:18" x14ac:dyDescent="0.5">
      <c r="A1147" s="130">
        <v>233</v>
      </c>
      <c r="B1147" s="7" t="s">
        <v>586</v>
      </c>
      <c r="C1147" s="7" t="s">
        <v>587</v>
      </c>
      <c r="D1147" s="8" t="s">
        <v>83</v>
      </c>
      <c r="E1147" s="43"/>
      <c r="F1147" s="51"/>
      <c r="G1147" s="9"/>
      <c r="H1147" s="129">
        <f>VLOOKUP($A1147,'Model Inputs'!$A:$D,4)</f>
        <v>160</v>
      </c>
      <c r="I1147" s="9"/>
      <c r="J1147" s="9">
        <f>SUBTOTAL(9,J1148:J1148)</f>
        <v>718.40000000000009</v>
      </c>
      <c r="K1147" s="89"/>
      <c r="L1147" s="89">
        <v>1</v>
      </c>
      <c r="M1147" s="9">
        <f>SUBTOTAL(9,M1148:M1148)</f>
        <v>0</v>
      </c>
      <c r="N1147" s="9">
        <f t="shared" ref="N1147:Q1147" si="175">SUBTOTAL(9,N1148:N1148)</f>
        <v>0</v>
      </c>
      <c r="O1147" s="9">
        <f t="shared" si="175"/>
        <v>0</v>
      </c>
      <c r="P1147" s="9">
        <f t="shared" si="175"/>
        <v>718.40000000000009</v>
      </c>
      <c r="Q1147" s="9">
        <f t="shared" si="175"/>
        <v>718.40000000000009</v>
      </c>
      <c r="R1147" s="117"/>
    </row>
    <row r="1148" spans="1:18" outlineLevel="1" x14ac:dyDescent="0.5">
      <c r="A1148" s="131" t="s">
        <v>448</v>
      </c>
      <c r="B1148" s="14">
        <v>1</v>
      </c>
      <c r="C1148" s="15" t="s">
        <v>587</v>
      </c>
      <c r="D1148" s="44" t="str">
        <f>VLOOKUP(Estimate!$C1148,Resources!$B$3:$G$336,4,FALSE)</f>
        <v xml:space="preserve">m²   </v>
      </c>
      <c r="E1148" s="44" t="str">
        <f>VLOOKUP(Estimate!$C1148,Resources!$B$3:$G$336,3,FALSE)</f>
        <v>S</v>
      </c>
      <c r="F1148" s="52">
        <v>1</v>
      </c>
      <c r="G1148" s="12">
        <v>1</v>
      </c>
      <c r="H1148" s="12">
        <f>H1147</f>
        <v>160</v>
      </c>
      <c r="I1148" s="12">
        <f>VLOOKUP(C1148,Resources!$B$3:$G$336,6,FALSE)</f>
        <v>4.49</v>
      </c>
      <c r="J1148" s="12">
        <f>(H1148/(G1148/F1148))*I1148</f>
        <v>718.40000000000009</v>
      </c>
      <c r="K1148" s="90"/>
      <c r="L1148" s="90">
        <v>1</v>
      </c>
      <c r="M1148" s="16">
        <f>IF($E1148="L",$J1148,0)</f>
        <v>0</v>
      </c>
      <c r="N1148" s="16">
        <f>IF($E1148="M",$J1148,0)</f>
        <v>0</v>
      </c>
      <c r="O1148" s="16">
        <f>IF($E1148="P",$J1148,0)</f>
        <v>0</v>
      </c>
      <c r="P1148" s="16">
        <f>IF($E1148="S",$J1148,0)</f>
        <v>718.40000000000009</v>
      </c>
      <c r="Q1148" s="16">
        <f>SUM(M1148:P1148)</f>
        <v>718.40000000000009</v>
      </c>
      <c r="R1148" s="118">
        <v>64</v>
      </c>
    </row>
    <row r="1149" spans="1:18" outlineLevel="1" x14ac:dyDescent="0.5">
      <c r="A1149" s="132" t="s">
        <v>448</v>
      </c>
      <c r="B1149" s="1"/>
      <c r="C1149" s="2"/>
      <c r="D1149" s="1"/>
      <c r="E1149" s="45"/>
      <c r="F1149" s="53"/>
      <c r="G1149" s="11"/>
      <c r="H1149" s="11"/>
      <c r="I1149" s="11"/>
      <c r="J1149" s="11"/>
      <c r="K1149" s="91"/>
      <c r="L1149" s="91"/>
      <c r="M1149" s="13"/>
      <c r="N1149" s="13"/>
      <c r="O1149" s="13"/>
      <c r="P1149" s="13"/>
      <c r="Q1149" s="13"/>
      <c r="R1149" s="119"/>
    </row>
    <row r="1150" spans="1:18" x14ac:dyDescent="0.5">
      <c r="A1150" s="130">
        <v>234</v>
      </c>
      <c r="B1150" s="7" t="s">
        <v>592</v>
      </c>
      <c r="C1150" s="7" t="s">
        <v>593</v>
      </c>
      <c r="D1150" s="8" t="s">
        <v>64</v>
      </c>
      <c r="E1150" s="43"/>
      <c r="F1150" s="51"/>
      <c r="G1150" s="9"/>
      <c r="H1150" s="129">
        <f>VLOOKUP($A1150,'Model Inputs'!$A:$D,4)</f>
        <v>16</v>
      </c>
      <c r="I1150" s="9"/>
      <c r="J1150" s="9">
        <f>SUBTOTAL(9,J1151:J1151)</f>
        <v>4592</v>
      </c>
      <c r="K1150" s="89"/>
      <c r="L1150" s="89">
        <v>1</v>
      </c>
      <c r="M1150" s="9">
        <f>SUBTOTAL(9,M1151:M1151)</f>
        <v>0</v>
      </c>
      <c r="N1150" s="9">
        <f>SUBTOTAL(9,N1151:N1151)</f>
        <v>0</v>
      </c>
      <c r="O1150" s="9">
        <f>SUBTOTAL(9,O1151:O1151)</f>
        <v>0</v>
      </c>
      <c r="P1150" s="9">
        <f>SUBTOTAL(9,P1151:P1151)</f>
        <v>4592</v>
      </c>
      <c r="Q1150" s="9">
        <f>SUBTOTAL(9,Q1151:Q1151)</f>
        <v>4592</v>
      </c>
      <c r="R1150" s="117"/>
    </row>
    <row r="1151" spans="1:18" outlineLevel="1" x14ac:dyDescent="0.5">
      <c r="A1151" s="131" t="s">
        <v>448</v>
      </c>
      <c r="B1151" s="14">
        <v>1</v>
      </c>
      <c r="C1151" s="15" t="s">
        <v>908</v>
      </c>
      <c r="D1151" s="44" t="str">
        <f>VLOOKUP(Estimate!$C1151,Resources!$B$3:$G$336,4,FALSE)</f>
        <v>tonne</v>
      </c>
      <c r="E1151" s="44" t="str">
        <f>VLOOKUP(Estimate!$C1151,Resources!$B$3:$G$336,3,FALSE)</f>
        <v>S</v>
      </c>
      <c r="F1151" s="52">
        <v>1</v>
      </c>
      <c r="G1151" s="12">
        <v>1</v>
      </c>
      <c r="H1151" s="12">
        <f>H1150</f>
        <v>16</v>
      </c>
      <c r="I1151" s="12">
        <f>VLOOKUP(C1151,Resources!$B$3:$G$336,6,FALSE)</f>
        <v>287</v>
      </c>
      <c r="J1151" s="12">
        <f>(H1151/(G1151/F1151))*I1151</f>
        <v>4592</v>
      </c>
      <c r="K1151" s="90"/>
      <c r="L1151" s="90">
        <v>1</v>
      </c>
      <c r="M1151" s="16">
        <f>IF($E1151="L",$J1151,0)</f>
        <v>0</v>
      </c>
      <c r="N1151" s="16">
        <f>IF($E1151="M",$J1151,0)</f>
        <v>0</v>
      </c>
      <c r="O1151" s="16">
        <f>IF($E1151="P",$J1151,0)</f>
        <v>0</v>
      </c>
      <c r="P1151" s="16">
        <f>IF($E1151="S",$J1151,0)</f>
        <v>4592</v>
      </c>
      <c r="Q1151" s="16">
        <f>SUM(M1151:P1151)</f>
        <v>4592</v>
      </c>
      <c r="R1151" s="118">
        <v>65</v>
      </c>
    </row>
    <row r="1152" spans="1:18" outlineLevel="1" x14ac:dyDescent="0.5">
      <c r="A1152" s="132" t="s">
        <v>448</v>
      </c>
      <c r="B1152" s="1"/>
      <c r="C1152" s="2"/>
      <c r="D1152" s="1"/>
      <c r="E1152" s="45"/>
      <c r="F1152" s="53"/>
      <c r="G1152" s="11"/>
      <c r="H1152" s="11"/>
      <c r="I1152" s="11"/>
      <c r="J1152" s="11"/>
      <c r="K1152" s="91"/>
      <c r="L1152" s="91"/>
      <c r="M1152" s="13"/>
      <c r="N1152" s="13"/>
      <c r="O1152" s="13"/>
      <c r="P1152" s="13"/>
      <c r="Q1152" s="13"/>
      <c r="R1152" s="119"/>
    </row>
    <row r="1153" spans="1:18" x14ac:dyDescent="0.5">
      <c r="A1153" s="130">
        <v>235</v>
      </c>
      <c r="B1153" s="7" t="s">
        <v>596</v>
      </c>
      <c r="C1153" s="7" t="s">
        <v>597</v>
      </c>
      <c r="D1153" s="8" t="s">
        <v>79</v>
      </c>
      <c r="E1153" s="43"/>
      <c r="F1153" s="51"/>
      <c r="G1153" s="9"/>
      <c r="H1153" s="129">
        <f>VLOOKUP($A1153,'Model Inputs'!$A:$D,4)</f>
        <v>1</v>
      </c>
      <c r="I1153" s="9"/>
      <c r="J1153" s="9"/>
      <c r="K1153" s="89"/>
      <c r="L1153" s="89">
        <f>SUM(L1154,L1167,L1174)</f>
        <v>3.1789282128834868</v>
      </c>
      <c r="M1153" s="9"/>
      <c r="N1153" s="9"/>
      <c r="O1153" s="9"/>
      <c r="P1153" s="9"/>
      <c r="Q1153" s="10"/>
      <c r="R1153" s="117"/>
    </row>
    <row r="1154" spans="1:18" x14ac:dyDescent="0.5">
      <c r="A1154" s="130">
        <v>236</v>
      </c>
      <c r="B1154" s="7" t="s">
        <v>600</v>
      </c>
      <c r="C1154" s="7" t="s">
        <v>354</v>
      </c>
      <c r="D1154" s="8" t="s">
        <v>72</v>
      </c>
      <c r="E1154" s="43"/>
      <c r="F1154" s="51"/>
      <c r="G1154" s="9"/>
      <c r="H1154" s="129">
        <f>VLOOKUP($A1154,'Model Inputs'!$A:$D,4)</f>
        <v>76</v>
      </c>
      <c r="I1154" s="9"/>
      <c r="J1154" s="9">
        <f>SUBTOTAL(9,J1156:J1165)</f>
        <v>1026.2841125833481</v>
      </c>
      <c r="K1154" s="89"/>
      <c r="L1154" s="89">
        <f>MAX(L1156:L1165)/workhrs</f>
        <v>9.4999881250148438E-2</v>
      </c>
      <c r="M1154" s="9">
        <f>SUBTOTAL(9,M1156:M1165)</f>
        <v>97.469878162652307</v>
      </c>
      <c r="N1154" s="9">
        <f t="shared" ref="N1154:Q1154" si="176">SUBTOTAL(9,N1156:N1165)</f>
        <v>0</v>
      </c>
      <c r="O1154" s="9">
        <f t="shared" si="176"/>
        <v>928.81423442069581</v>
      </c>
      <c r="P1154" s="9">
        <f t="shared" si="176"/>
        <v>0</v>
      </c>
      <c r="Q1154" s="9">
        <f t="shared" si="176"/>
        <v>1026.2841125833481</v>
      </c>
      <c r="R1154" s="117"/>
    </row>
    <row r="1155" spans="1:18" outlineLevel="1" x14ac:dyDescent="0.5">
      <c r="A1155" s="132" t="s">
        <v>448</v>
      </c>
      <c r="B1155" s="1">
        <v>1</v>
      </c>
      <c r="C1155" s="2" t="s">
        <v>911</v>
      </c>
      <c r="D1155" s="1"/>
      <c r="E1155" s="45"/>
      <c r="F1155" s="53"/>
      <c r="G1155" s="11"/>
      <c r="H1155" s="11"/>
      <c r="I1155" s="11"/>
      <c r="J1155" s="11"/>
      <c r="K1155" s="91"/>
      <c r="L1155" s="91"/>
      <c r="M1155" s="13"/>
      <c r="N1155" s="13"/>
      <c r="O1155" s="13"/>
      <c r="P1155" s="13"/>
      <c r="Q1155" s="13"/>
      <c r="R1155" s="119"/>
    </row>
    <row r="1156" spans="1:18" outlineLevel="1" x14ac:dyDescent="0.5">
      <c r="A1156" s="131">
        <v>236.1</v>
      </c>
      <c r="B1156" s="14">
        <v>2</v>
      </c>
      <c r="C1156" s="15" t="s">
        <v>101</v>
      </c>
      <c r="D1156" s="44" t="str">
        <f>VLOOKUP(Estimate!$C1156,Resources!$B$3:$G$336,4,FALSE)</f>
        <v xml:space="preserve">hr   </v>
      </c>
      <c r="E1156" s="44" t="str">
        <f>VLOOKUP(Estimate!$C1156,Resources!$B$3:$G$336,3,FALSE)</f>
        <v>P</v>
      </c>
      <c r="F1156" s="52">
        <v>1</v>
      </c>
      <c r="G1156" s="129">
        <f>VLOOKUP($A1156,'Model Inputs'!$A:$D,4)</f>
        <v>133.333</v>
      </c>
      <c r="H1156" s="12">
        <f>H1154</f>
        <v>76</v>
      </c>
      <c r="I1156" s="12">
        <f>VLOOKUP(C1156,Resources!$B$3:$G$336,6,FALSE)</f>
        <v>185</v>
      </c>
      <c r="J1156" s="12">
        <f>(H1156/(G1156/F1156))*I1156</f>
        <v>105.45026362565908</v>
      </c>
      <c r="K1156" s="90">
        <f>L1156*F1156</f>
        <v>0.57000142500356255</v>
      </c>
      <c r="L1156" s="90">
        <f>IF(E1156="M"," ",H1156/G1156)</f>
        <v>0.57000142500356255</v>
      </c>
      <c r="M1156" s="16">
        <f>IF($E1156="L",$J1156,0)</f>
        <v>0</v>
      </c>
      <c r="N1156" s="16">
        <f>IF($E1156="M",$J1156,0)</f>
        <v>0</v>
      </c>
      <c r="O1156" s="16">
        <f>IF($E1156="P",$J1156,0)</f>
        <v>105.45026362565908</v>
      </c>
      <c r="P1156" s="16">
        <f>IF($E1156="S",$J1156,0)</f>
        <v>0</v>
      </c>
      <c r="Q1156" s="16">
        <f>SUM(M1156:P1156)</f>
        <v>105.45026362565908</v>
      </c>
      <c r="R1156" s="118">
        <v>52</v>
      </c>
    </row>
    <row r="1157" spans="1:18" outlineLevel="1" x14ac:dyDescent="0.5">
      <c r="A1157" s="132" t="s">
        <v>448</v>
      </c>
      <c r="B1157" s="1">
        <v>3</v>
      </c>
      <c r="C1157" s="2" t="s">
        <v>655</v>
      </c>
      <c r="D1157" s="1"/>
      <c r="E1157" s="45"/>
      <c r="F1157" s="53"/>
      <c r="G1157" s="11"/>
      <c r="H1157" s="11"/>
      <c r="I1157" s="11"/>
      <c r="J1157" s="11"/>
      <c r="K1157" s="91"/>
      <c r="L1157" s="91"/>
      <c r="M1157" s="13"/>
      <c r="N1157" s="13"/>
      <c r="O1157" s="13"/>
      <c r="P1157" s="13"/>
      <c r="Q1157" s="13"/>
      <c r="R1157" s="119"/>
    </row>
    <row r="1158" spans="1:18" outlineLevel="1" x14ac:dyDescent="0.5">
      <c r="A1158" s="131">
        <v>236.2</v>
      </c>
      <c r="B1158" s="14">
        <v>4</v>
      </c>
      <c r="C1158" s="15" t="s">
        <v>55</v>
      </c>
      <c r="D1158" s="44" t="str">
        <f>VLOOKUP(Estimate!$C1158,Resources!$B$3:$G$336,4,FALSE)</f>
        <v xml:space="preserve">hr   </v>
      </c>
      <c r="E1158" s="44" t="str">
        <f>VLOOKUP(Estimate!$C1158,Resources!$B$3:$G$336,3,FALSE)</f>
        <v>P</v>
      </c>
      <c r="F1158" s="52">
        <v>1</v>
      </c>
      <c r="G1158" s="129">
        <f>VLOOKUP($A1158,'Model Inputs'!$A:$D,4)</f>
        <v>88.888999999999996</v>
      </c>
      <c r="H1158" s="12">
        <f>H1154</f>
        <v>76</v>
      </c>
      <c r="I1158" s="12">
        <f>VLOOKUP(C1158,Resources!$B$3:$G$336,6,FALSE)</f>
        <v>135</v>
      </c>
      <c r="J1158" s="12">
        <f>(H1158/(G1158/F1158))*I1158</f>
        <v>115.42485571893036</v>
      </c>
      <c r="K1158" s="90">
        <f>L1158*F1158</f>
        <v>0.85499893125133597</v>
      </c>
      <c r="L1158" s="90">
        <f>IF(E1158="M"," ",H1158/G1158)</f>
        <v>0.85499893125133597</v>
      </c>
      <c r="M1158" s="16">
        <f>IF($E1158="L",$J1158,0)</f>
        <v>0</v>
      </c>
      <c r="N1158" s="16">
        <f>IF($E1158="M",$J1158,0)</f>
        <v>0</v>
      </c>
      <c r="O1158" s="16">
        <f>IF($E1158="P",$J1158,0)</f>
        <v>115.42485571893036</v>
      </c>
      <c r="P1158" s="16">
        <f>IF($E1158="S",$J1158,0)</f>
        <v>0</v>
      </c>
      <c r="Q1158" s="16">
        <f>SUM(M1158:P1158)</f>
        <v>115.42485571893036</v>
      </c>
      <c r="R1158" s="118">
        <v>52</v>
      </c>
    </row>
    <row r="1159" spans="1:18" outlineLevel="1" x14ac:dyDescent="0.5">
      <c r="A1159" s="131" t="s">
        <v>448</v>
      </c>
      <c r="B1159" s="14">
        <v>5</v>
      </c>
      <c r="C1159" s="15" t="s">
        <v>102</v>
      </c>
      <c r="D1159" s="44" t="str">
        <f>VLOOKUP(Estimate!$C1159,Resources!$B$3:$G$336,4,FALSE)</f>
        <v xml:space="preserve">hr   </v>
      </c>
      <c r="E1159" s="44" t="str">
        <f>VLOOKUP(Estimate!$C1159,Resources!$B$3:$G$336,3,FALSE)</f>
        <v>P</v>
      </c>
      <c r="F1159" s="52">
        <v>3</v>
      </c>
      <c r="G1159" s="12">
        <f>G1158</f>
        <v>88.888999999999996</v>
      </c>
      <c r="H1159" s="12">
        <f>H1154</f>
        <v>76</v>
      </c>
      <c r="I1159" s="12">
        <f>VLOOKUP(C1159,Resources!$B$3:$G$336,6,FALSE)</f>
        <v>145</v>
      </c>
      <c r="J1159" s="12">
        <f>(H1159/(G1159/F1159))*I1159</f>
        <v>371.92453509433119</v>
      </c>
      <c r="K1159" s="90">
        <f>L1159*F1159</f>
        <v>2.5649967937540081</v>
      </c>
      <c r="L1159" s="90">
        <f>IF(E1159="M"," ",H1159/G1159)</f>
        <v>0.85499893125133597</v>
      </c>
      <c r="M1159" s="16">
        <f>IF($E1159="L",$J1159,0)</f>
        <v>0</v>
      </c>
      <c r="N1159" s="16">
        <f>IF($E1159="M",$J1159,0)</f>
        <v>0</v>
      </c>
      <c r="O1159" s="16">
        <f>IF($E1159="P",$J1159,0)</f>
        <v>371.92453509433119</v>
      </c>
      <c r="P1159" s="16">
        <f>IF($E1159="S",$J1159,0)</f>
        <v>0</v>
      </c>
      <c r="Q1159" s="16">
        <f>SUM(M1159:P1159)</f>
        <v>371.92453509433119</v>
      </c>
      <c r="R1159" s="118">
        <v>52</v>
      </c>
    </row>
    <row r="1160" spans="1:18" outlineLevel="1" x14ac:dyDescent="0.5">
      <c r="A1160" s="132" t="s">
        <v>448</v>
      </c>
      <c r="B1160" s="1">
        <v>6</v>
      </c>
      <c r="C1160" s="2" t="s">
        <v>656</v>
      </c>
      <c r="D1160" s="1"/>
      <c r="E1160" s="45"/>
      <c r="F1160" s="53"/>
      <c r="G1160" s="11"/>
      <c r="H1160" s="11"/>
      <c r="I1160" s="11"/>
      <c r="J1160" s="11"/>
      <c r="K1160" s="91"/>
      <c r="L1160" s="91"/>
      <c r="M1160" s="13"/>
      <c r="N1160" s="13"/>
      <c r="O1160" s="13"/>
      <c r="P1160" s="13"/>
      <c r="Q1160" s="13"/>
      <c r="R1160" s="119"/>
    </row>
    <row r="1161" spans="1:18" outlineLevel="1" x14ac:dyDescent="0.5">
      <c r="A1161" s="131" t="s">
        <v>448</v>
      </c>
      <c r="B1161" s="14">
        <v>7</v>
      </c>
      <c r="C1161" s="15" t="s">
        <v>96</v>
      </c>
      <c r="D1161" s="44" t="str">
        <f>VLOOKUP(Estimate!$C1161,Resources!$B$3:$G$336,4,FALSE)</f>
        <v xml:space="preserve">hr   </v>
      </c>
      <c r="E1161" s="44" t="str">
        <f>VLOOKUP(Estimate!$C1161,Resources!$B$3:$G$336,3,FALSE)</f>
        <v>P</v>
      </c>
      <c r="F1161" s="52">
        <v>1</v>
      </c>
      <c r="G1161" s="12">
        <f>G1158</f>
        <v>88.888999999999996</v>
      </c>
      <c r="H1161" s="12">
        <f>H1154</f>
        <v>76</v>
      </c>
      <c r="I1161" s="12">
        <f>VLOOKUP(C1161,Resources!$B$3:$G$336,6,FALSE)</f>
        <v>145</v>
      </c>
      <c r="J1161" s="12">
        <f>(H1161/(G1161/F1161))*I1161</f>
        <v>123.97484503144372</v>
      </c>
      <c r="K1161" s="90">
        <f>L1161*F1161</f>
        <v>0.85499893125133597</v>
      </c>
      <c r="L1161" s="90">
        <f>IF(E1161="M"," ",H1161/G1161)</f>
        <v>0.85499893125133597</v>
      </c>
      <c r="M1161" s="16">
        <f>IF($E1161="L",$J1161,0)</f>
        <v>0</v>
      </c>
      <c r="N1161" s="16">
        <f>IF($E1161="M",$J1161,0)</f>
        <v>0</v>
      </c>
      <c r="O1161" s="16">
        <f>IF($E1161="P",$J1161,0)</f>
        <v>123.97484503144372</v>
      </c>
      <c r="P1161" s="16">
        <f>IF($E1161="S",$J1161,0)</f>
        <v>0</v>
      </c>
      <c r="Q1161" s="16">
        <f>SUM(M1161:P1161)</f>
        <v>123.97484503144372</v>
      </c>
      <c r="R1161" s="118">
        <v>52</v>
      </c>
    </row>
    <row r="1162" spans="1:18" outlineLevel="1" x14ac:dyDescent="0.5">
      <c r="A1162" s="131" t="s">
        <v>448</v>
      </c>
      <c r="B1162" s="14">
        <v>8</v>
      </c>
      <c r="C1162" s="15" t="s">
        <v>60</v>
      </c>
      <c r="D1162" s="44" t="str">
        <f>VLOOKUP(Estimate!$C1162,Resources!$B$3:$G$336,4,FALSE)</f>
        <v xml:space="preserve">hr   </v>
      </c>
      <c r="E1162" s="44" t="str">
        <f>VLOOKUP(Estimate!$C1162,Resources!$B$3:$G$336,3,FALSE)</f>
        <v>P</v>
      </c>
      <c r="F1162" s="52">
        <v>1</v>
      </c>
      <c r="G1162" s="12">
        <f>G1158</f>
        <v>88.888999999999996</v>
      </c>
      <c r="H1162" s="12">
        <f>H1154</f>
        <v>76</v>
      </c>
      <c r="I1162" s="12">
        <f>VLOOKUP(C1162,Resources!$B$3:$G$336,6,FALSE)</f>
        <v>95</v>
      </c>
      <c r="J1162" s="12">
        <f>(H1162/(G1162/F1162))*I1162</f>
        <v>81.224898468876916</v>
      </c>
      <c r="K1162" s="90">
        <f>L1162*F1162</f>
        <v>0.85499893125133597</v>
      </c>
      <c r="L1162" s="90">
        <f>IF(E1162="M"," ",H1162/G1162)</f>
        <v>0.85499893125133597</v>
      </c>
      <c r="M1162" s="16">
        <f>IF($E1162="L",$J1162,0)</f>
        <v>0</v>
      </c>
      <c r="N1162" s="16">
        <f>IF($E1162="M",$J1162,0)</f>
        <v>0</v>
      </c>
      <c r="O1162" s="16">
        <f>IF($E1162="P",$J1162,0)</f>
        <v>81.224898468876916</v>
      </c>
      <c r="P1162" s="16">
        <f>IF($E1162="S",$J1162,0)</f>
        <v>0</v>
      </c>
      <c r="Q1162" s="16">
        <f>SUM(M1162:P1162)</f>
        <v>81.224898468876916</v>
      </c>
      <c r="R1162" s="118">
        <v>52</v>
      </c>
    </row>
    <row r="1163" spans="1:18" outlineLevel="1" x14ac:dyDescent="0.5">
      <c r="A1163" s="131" t="s">
        <v>448</v>
      </c>
      <c r="B1163" s="14">
        <v>9</v>
      </c>
      <c r="C1163" s="15" t="s">
        <v>830</v>
      </c>
      <c r="D1163" s="44" t="str">
        <f>VLOOKUP(Estimate!$C1163,Resources!$B$3:$G$336,4,FALSE)</f>
        <v xml:space="preserve">hr   </v>
      </c>
      <c r="E1163" s="44" t="str">
        <f>VLOOKUP(Estimate!$C1163,Resources!$B$3:$G$336,3,FALSE)</f>
        <v>P</v>
      </c>
      <c r="F1163" s="52">
        <v>1</v>
      </c>
      <c r="G1163" s="12">
        <f>G1158</f>
        <v>88.888999999999996</v>
      </c>
      <c r="H1163" s="12">
        <f>H1154</f>
        <v>76</v>
      </c>
      <c r="I1163" s="12">
        <f>VLOOKUP(C1163,Resources!$B$3:$G$336,6,FALSE)</f>
        <v>58</v>
      </c>
      <c r="J1163" s="12">
        <f>(H1163/(G1163/F1163))*I1163</f>
        <v>49.589938012577484</v>
      </c>
      <c r="K1163" s="90">
        <f>L1163*F1163</f>
        <v>0.85499893125133597</v>
      </c>
      <c r="L1163" s="90">
        <f>IF(E1163="M"," ",H1163/G1163)</f>
        <v>0.85499893125133597</v>
      </c>
      <c r="M1163" s="16">
        <f>IF($E1163="L",$J1163,0)</f>
        <v>0</v>
      </c>
      <c r="N1163" s="16">
        <f>IF($E1163="M",$J1163,0)</f>
        <v>0</v>
      </c>
      <c r="O1163" s="16">
        <f>IF($E1163="P",$J1163,0)</f>
        <v>49.589938012577484</v>
      </c>
      <c r="P1163" s="16">
        <f>IF($E1163="S",$J1163,0)</f>
        <v>0</v>
      </c>
      <c r="Q1163" s="16">
        <f>SUM(M1163:P1163)</f>
        <v>49.589938012577484</v>
      </c>
      <c r="R1163" s="118">
        <v>52</v>
      </c>
    </row>
    <row r="1164" spans="1:18" outlineLevel="1" x14ac:dyDescent="0.5">
      <c r="A1164" s="131" t="s">
        <v>448</v>
      </c>
      <c r="B1164" s="14">
        <v>10</v>
      </c>
      <c r="C1164" s="15" t="s">
        <v>7</v>
      </c>
      <c r="D1164" s="44" t="str">
        <f>VLOOKUP(Estimate!$C1164,Resources!$B$3:$G$336,4,FALSE)</f>
        <v xml:space="preserve">hr   </v>
      </c>
      <c r="E1164" s="44" t="str">
        <f>VLOOKUP(Estimate!$C1164,Resources!$B$3:$G$336,3,FALSE)</f>
        <v>L</v>
      </c>
      <c r="F1164" s="52">
        <v>3</v>
      </c>
      <c r="G1164" s="12">
        <f>G1158</f>
        <v>88.888999999999996</v>
      </c>
      <c r="H1164" s="12">
        <f>H1154</f>
        <v>76</v>
      </c>
      <c r="I1164" s="12">
        <f>VLOOKUP(C1164,Resources!$B$3:$G$336,6,FALSE)</f>
        <v>38</v>
      </c>
      <c r="J1164" s="12">
        <f>(H1164/(G1164/F1164))*I1164</f>
        <v>97.469878162652307</v>
      </c>
      <c r="K1164" s="90">
        <f>L1164*F1164</f>
        <v>2.5649967937540081</v>
      </c>
      <c r="L1164" s="90">
        <f>IF(E1164="M"," ",H1164/G1164)</f>
        <v>0.85499893125133597</v>
      </c>
      <c r="M1164" s="16">
        <f>IF($E1164="L",$J1164,0)</f>
        <v>97.469878162652307</v>
      </c>
      <c r="N1164" s="16">
        <f>IF($E1164="M",$J1164,0)</f>
        <v>0</v>
      </c>
      <c r="O1164" s="16">
        <f>IF($E1164="P",$J1164,0)</f>
        <v>0</v>
      </c>
      <c r="P1164" s="16">
        <f>IF($E1164="S",$J1164,0)</f>
        <v>0</v>
      </c>
      <c r="Q1164" s="16">
        <f>SUM(M1164:P1164)</f>
        <v>97.469878162652307</v>
      </c>
      <c r="R1164" s="118">
        <v>52</v>
      </c>
    </row>
    <row r="1165" spans="1:18" outlineLevel="1" x14ac:dyDescent="0.5">
      <c r="A1165" s="131" t="s">
        <v>448</v>
      </c>
      <c r="B1165" s="14">
        <v>11</v>
      </c>
      <c r="C1165" s="15" t="s">
        <v>49</v>
      </c>
      <c r="D1165" s="44" t="str">
        <f>VLOOKUP(Estimate!$C1165,Resources!$B$3:$G$336,4,FALSE)</f>
        <v xml:space="preserve">hr   </v>
      </c>
      <c r="E1165" s="44" t="str">
        <f>VLOOKUP(Estimate!$C1165,Resources!$B$3:$G$336,3,FALSE)</f>
        <v>P</v>
      </c>
      <c r="F1165" s="52">
        <v>1</v>
      </c>
      <c r="G1165" s="12">
        <f>G1158</f>
        <v>88.888999999999996</v>
      </c>
      <c r="H1165" s="12">
        <f>H1154</f>
        <v>76</v>
      </c>
      <c r="I1165" s="12">
        <f>VLOOKUP(C1165,Resources!$B$3:$G$336,6,FALSE)</f>
        <v>95</v>
      </c>
      <c r="J1165" s="12">
        <f>(H1165/(G1165/F1165))*I1165</f>
        <v>81.224898468876916</v>
      </c>
      <c r="K1165" s="90">
        <f>L1165*F1165</f>
        <v>0.85499893125133597</v>
      </c>
      <c r="L1165" s="90">
        <f>IF(E1165="M"," ",H1165/G1165)</f>
        <v>0.85499893125133597</v>
      </c>
      <c r="M1165" s="16">
        <f>IF($E1165="L",$J1165,0)</f>
        <v>0</v>
      </c>
      <c r="N1165" s="16">
        <f>IF($E1165="M",$J1165,0)</f>
        <v>0</v>
      </c>
      <c r="O1165" s="16">
        <f>IF($E1165="P",$J1165,0)</f>
        <v>81.224898468876916</v>
      </c>
      <c r="P1165" s="16">
        <f>IF($E1165="S",$J1165,0)</f>
        <v>0</v>
      </c>
      <c r="Q1165" s="16">
        <f>SUM(M1165:P1165)</f>
        <v>81.224898468876916</v>
      </c>
      <c r="R1165" s="118">
        <v>52</v>
      </c>
    </row>
    <row r="1166" spans="1:18" outlineLevel="1" x14ac:dyDescent="0.5">
      <c r="A1166" s="132" t="s">
        <v>448</v>
      </c>
      <c r="B1166" s="1"/>
      <c r="C1166" s="2"/>
      <c r="D1166" s="1"/>
      <c r="E1166" s="45"/>
      <c r="F1166" s="53"/>
      <c r="G1166" s="11"/>
      <c r="H1166" s="11"/>
      <c r="I1166" s="11"/>
      <c r="J1166" s="11"/>
      <c r="K1166" s="91"/>
      <c r="L1166" s="91"/>
      <c r="M1166" s="13"/>
      <c r="N1166" s="13"/>
      <c r="O1166" s="13"/>
      <c r="P1166" s="13"/>
      <c r="Q1166" s="13"/>
      <c r="R1166" s="119"/>
    </row>
    <row r="1167" spans="1:18" x14ac:dyDescent="0.5">
      <c r="A1167" s="130">
        <v>237</v>
      </c>
      <c r="B1167" s="7" t="s">
        <v>598</v>
      </c>
      <c r="C1167" s="7" t="s">
        <v>599</v>
      </c>
      <c r="D1167" s="8" t="s">
        <v>72</v>
      </c>
      <c r="E1167" s="43"/>
      <c r="F1167" s="51"/>
      <c r="G1167" s="9"/>
      <c r="H1167" s="129">
        <f>VLOOKUP($A1167,'Model Inputs'!$A:$D,4)</f>
        <v>25</v>
      </c>
      <c r="I1167" s="9"/>
      <c r="J1167" s="9">
        <f>SUBTOTAL(9,J1168:J1172)</f>
        <v>1572.904505629984</v>
      </c>
      <c r="K1167" s="89"/>
      <c r="L1167" s="89">
        <f>MAX(L1168:L1172)/workhrs</f>
        <v>8.3928331633338182E-2</v>
      </c>
      <c r="M1167" s="9">
        <f>SUBTOTAL(9,M1168:M1172)</f>
        <v>86.110468255804975</v>
      </c>
      <c r="N1167" s="9">
        <f t="shared" ref="N1167" si="177">SUBTOTAL(9,N1168:N1172)</f>
        <v>1274.875</v>
      </c>
      <c r="O1167" s="9">
        <f t="shared" ref="O1167" si="178">SUBTOTAL(9,O1168:O1172)</f>
        <v>211.91903737417894</v>
      </c>
      <c r="P1167" s="9">
        <f t="shared" ref="P1167" si="179">SUBTOTAL(9,P1168:P1172)</f>
        <v>0</v>
      </c>
      <c r="Q1167" s="9">
        <f t="shared" ref="Q1167" si="180">SUBTOTAL(9,Q1168:Q1172)</f>
        <v>1572.904505629984</v>
      </c>
      <c r="R1167" s="117"/>
    </row>
    <row r="1168" spans="1:18" outlineLevel="1" x14ac:dyDescent="0.5">
      <c r="A1168" s="131" t="s">
        <v>448</v>
      </c>
      <c r="B1168" s="14">
        <v>1</v>
      </c>
      <c r="C1168" s="15" t="s">
        <v>721</v>
      </c>
      <c r="D1168" s="44" t="str">
        <f>VLOOKUP(Estimate!$C1168,Resources!$B$3:$G$336,4,FALSE)</f>
        <v>tonne</v>
      </c>
      <c r="E1168" s="44" t="str">
        <f>VLOOKUP(Estimate!$C1168,Resources!$B$3:$G$336,3,FALSE)</f>
        <v>M</v>
      </c>
      <c r="F1168" s="52">
        <v>1</v>
      </c>
      <c r="G1168" s="12">
        <v>1</v>
      </c>
      <c r="H1168" s="12">
        <f>H1167*2.35</f>
        <v>58.75</v>
      </c>
      <c r="I1168" s="12">
        <f>VLOOKUP(C1168,Resources!$B$3:$G$336,6,FALSE)</f>
        <v>21.7</v>
      </c>
      <c r="J1168" s="12">
        <f>(H1168/(G1168/F1168))*I1168</f>
        <v>1274.875</v>
      </c>
      <c r="K1168" s="90"/>
      <c r="L1168" s="90" t="str">
        <f>IF(E1168="M"," ",H1168/G1168)</f>
        <v xml:space="preserve"> </v>
      </c>
      <c r="M1168" s="16">
        <f>IF($E1168="L",$J1168,0)</f>
        <v>0</v>
      </c>
      <c r="N1168" s="16">
        <f>IF($E1168="M",$J1168,0)</f>
        <v>1274.875</v>
      </c>
      <c r="O1168" s="16">
        <f>IF($E1168="P",$J1168,0)</f>
        <v>0</v>
      </c>
      <c r="P1168" s="16">
        <f>IF($E1168="S",$J1168,0)</f>
        <v>0</v>
      </c>
      <c r="Q1168" s="16">
        <f t="shared" ref="Q1168:Q1172" si="181">SUM(M1168:P1168)</f>
        <v>1274.875</v>
      </c>
      <c r="R1168" s="118" t="s">
        <v>948</v>
      </c>
    </row>
    <row r="1169" spans="1:18" outlineLevel="1" x14ac:dyDescent="0.5">
      <c r="A1169" s="131">
        <v>237.1</v>
      </c>
      <c r="B1169" s="14">
        <v>2</v>
      </c>
      <c r="C1169" s="15" t="s">
        <v>96</v>
      </c>
      <c r="D1169" s="44" t="str">
        <f>VLOOKUP(Estimate!$C1169,Resources!$B$3:$G$336,4,FALSE)</f>
        <v xml:space="preserve">hr   </v>
      </c>
      <c r="E1169" s="44" t="str">
        <f>VLOOKUP(Estimate!$C1169,Resources!$B$3:$G$336,3,FALSE)</f>
        <v>P</v>
      </c>
      <c r="F1169" s="52">
        <v>1</v>
      </c>
      <c r="G1169" s="129">
        <f>VLOOKUP($A1169,'Model Inputs'!$A:$D,4)</f>
        <v>77.778000000000006</v>
      </c>
      <c r="H1169" s="12">
        <f>H1168</f>
        <v>58.75</v>
      </c>
      <c r="I1169" s="12">
        <f>VLOOKUP(C1169,Resources!$B$3:$G$336,6,FALSE)</f>
        <v>145</v>
      </c>
      <c r="J1169" s="12">
        <f>(H1169/(G1169/F1169))*I1169</f>
        <v>109.52647278150634</v>
      </c>
      <c r="K1169" s="90">
        <f>L1169*F1169</f>
        <v>0.7553549847000437</v>
      </c>
      <c r="L1169" s="90">
        <f>IF(E1169="M"," ",H1169/G1169)</f>
        <v>0.7553549847000437</v>
      </c>
      <c r="M1169" s="16">
        <f>IF($E1169="L",$J1169,0)</f>
        <v>0</v>
      </c>
      <c r="N1169" s="16">
        <f>IF($E1169="M",$J1169,0)</f>
        <v>0</v>
      </c>
      <c r="O1169" s="16">
        <f>IF($E1169="P",$J1169,0)</f>
        <v>109.52647278150634</v>
      </c>
      <c r="P1169" s="16">
        <f>IF($E1169="S",$J1169,0)</f>
        <v>0</v>
      </c>
      <c r="Q1169" s="16">
        <f t="shared" si="181"/>
        <v>109.52647278150634</v>
      </c>
      <c r="R1169" s="118">
        <v>62</v>
      </c>
    </row>
    <row r="1170" spans="1:18" outlineLevel="1" x14ac:dyDescent="0.5">
      <c r="A1170" s="131" t="s">
        <v>448</v>
      </c>
      <c r="B1170" s="14">
        <v>3</v>
      </c>
      <c r="C1170" s="15" t="s">
        <v>60</v>
      </c>
      <c r="D1170" s="44" t="str">
        <f>VLOOKUP(Estimate!$C1170,Resources!$B$3:$G$336,4,FALSE)</f>
        <v xml:space="preserve">hr   </v>
      </c>
      <c r="E1170" s="44" t="str">
        <f>VLOOKUP(Estimate!$C1170,Resources!$B$3:$G$336,3,FALSE)</f>
        <v>P</v>
      </c>
      <c r="F1170" s="52">
        <v>1</v>
      </c>
      <c r="G1170" s="12">
        <f>G1169</f>
        <v>77.778000000000006</v>
      </c>
      <c r="H1170" s="12">
        <f>H1169</f>
        <v>58.75</v>
      </c>
      <c r="I1170" s="12">
        <f>VLOOKUP(C1170,Resources!$B$3:$G$336,6,FALSE)</f>
        <v>95</v>
      </c>
      <c r="J1170" s="12">
        <f>(H1170/(G1170/F1170))*I1170</f>
        <v>71.758723546504157</v>
      </c>
      <c r="K1170" s="90">
        <f>L1170*F1170</f>
        <v>0.7553549847000437</v>
      </c>
      <c r="L1170" s="90">
        <f>IF(E1170="M"," ",H1170/G1170)</f>
        <v>0.7553549847000437</v>
      </c>
      <c r="M1170" s="16">
        <f>IF($E1170="L",$J1170,0)</f>
        <v>0</v>
      </c>
      <c r="N1170" s="16">
        <f>IF($E1170="M",$J1170,0)</f>
        <v>0</v>
      </c>
      <c r="O1170" s="16">
        <f>IF($E1170="P",$J1170,0)</f>
        <v>71.758723546504157</v>
      </c>
      <c r="P1170" s="16">
        <f>IF($E1170="S",$J1170,0)</f>
        <v>0</v>
      </c>
      <c r="Q1170" s="16">
        <f t="shared" si="181"/>
        <v>71.758723546504157</v>
      </c>
      <c r="R1170" s="118">
        <v>62</v>
      </c>
    </row>
    <row r="1171" spans="1:18" outlineLevel="1" x14ac:dyDescent="0.5">
      <c r="A1171" s="131" t="s">
        <v>448</v>
      </c>
      <c r="B1171" s="14">
        <v>4</v>
      </c>
      <c r="C1171" s="15" t="s">
        <v>110</v>
      </c>
      <c r="D1171" s="44" t="str">
        <f>VLOOKUP(Estimate!$C1171,Resources!$B$3:$G$336,4,FALSE)</f>
        <v xml:space="preserve">day  </v>
      </c>
      <c r="E1171" s="44" t="str">
        <f>VLOOKUP(Estimate!$C1171,Resources!$B$3:$G$336,3,FALSE)</f>
        <v>P</v>
      </c>
      <c r="F1171" s="52">
        <v>1</v>
      </c>
      <c r="G1171" s="12">
        <f>G1169*9</f>
        <v>700.00200000000007</v>
      </c>
      <c r="H1171" s="12">
        <f>H1170</f>
        <v>58.75</v>
      </c>
      <c r="I1171" s="12">
        <f>VLOOKUP(C1171,Resources!$B$3:$G$336,6,FALSE)</f>
        <v>365</v>
      </c>
      <c r="J1171" s="12">
        <f>(H1171/(G1171/F1171))*I1171</f>
        <v>30.633841046168438</v>
      </c>
      <c r="K1171" s="90">
        <f>L1171*F1171</f>
        <v>8.3928331633338182E-2</v>
      </c>
      <c r="L1171" s="90">
        <f>IF(E1171="M"," ",H1171/G1171)</f>
        <v>8.3928331633338182E-2</v>
      </c>
      <c r="M1171" s="16">
        <f>IF($E1171="L",$J1171,0)</f>
        <v>0</v>
      </c>
      <c r="N1171" s="16">
        <f>IF($E1171="M",$J1171,0)</f>
        <v>0</v>
      </c>
      <c r="O1171" s="16">
        <f>IF($E1171="P",$J1171,0)</f>
        <v>30.633841046168438</v>
      </c>
      <c r="P1171" s="16">
        <f>IF($E1171="S",$J1171,0)</f>
        <v>0</v>
      </c>
      <c r="Q1171" s="16">
        <f t="shared" si="181"/>
        <v>30.633841046168438</v>
      </c>
      <c r="R1171" s="118">
        <v>62</v>
      </c>
    </row>
    <row r="1172" spans="1:18" outlineLevel="1" x14ac:dyDescent="0.5">
      <c r="A1172" s="131" t="s">
        <v>448</v>
      </c>
      <c r="B1172" s="14">
        <v>5</v>
      </c>
      <c r="C1172" s="15" t="s">
        <v>7</v>
      </c>
      <c r="D1172" s="44" t="str">
        <f>VLOOKUP(Estimate!$C1172,Resources!$B$3:$G$336,4,FALSE)</f>
        <v xml:space="preserve">hr   </v>
      </c>
      <c r="E1172" s="44" t="str">
        <f>VLOOKUP(Estimate!$C1172,Resources!$B$3:$G$336,3,FALSE)</f>
        <v>L</v>
      </c>
      <c r="F1172" s="52">
        <v>3</v>
      </c>
      <c r="G1172" s="12">
        <f>G1169</f>
        <v>77.778000000000006</v>
      </c>
      <c r="H1172" s="12">
        <f>H1171</f>
        <v>58.75</v>
      </c>
      <c r="I1172" s="12">
        <f>VLOOKUP(C1172,Resources!$B$3:$G$336,6,FALSE)</f>
        <v>38</v>
      </c>
      <c r="J1172" s="12">
        <f>(H1172/(G1172/F1172))*I1172</f>
        <v>86.110468255804975</v>
      </c>
      <c r="K1172" s="90">
        <f>L1172*F1172</f>
        <v>2.266064954100131</v>
      </c>
      <c r="L1172" s="90">
        <f>IF(E1172="M"," ",H1172/G1172)</f>
        <v>0.7553549847000437</v>
      </c>
      <c r="M1172" s="16">
        <f>IF($E1172="L",$J1172,0)</f>
        <v>86.110468255804975</v>
      </c>
      <c r="N1172" s="16">
        <f>IF($E1172="M",$J1172,0)</f>
        <v>0</v>
      </c>
      <c r="O1172" s="16">
        <f>IF($E1172="P",$J1172,0)</f>
        <v>0</v>
      </c>
      <c r="P1172" s="16">
        <f>IF($E1172="S",$J1172,0)</f>
        <v>0</v>
      </c>
      <c r="Q1172" s="16">
        <f t="shared" si="181"/>
        <v>86.110468255804975</v>
      </c>
      <c r="R1172" s="118">
        <v>62</v>
      </c>
    </row>
    <row r="1173" spans="1:18" outlineLevel="1" x14ac:dyDescent="0.5">
      <c r="A1173" s="132" t="s">
        <v>448</v>
      </c>
      <c r="B1173" s="1"/>
      <c r="C1173" s="2"/>
      <c r="D1173" s="1"/>
      <c r="E1173" s="45"/>
      <c r="F1173" s="53"/>
      <c r="G1173" s="11"/>
      <c r="H1173" s="11"/>
      <c r="I1173" s="11"/>
      <c r="J1173" s="11"/>
      <c r="K1173" s="91"/>
      <c r="L1173" s="91"/>
      <c r="M1173" s="13"/>
      <c r="N1173" s="13"/>
      <c r="O1173" s="13"/>
      <c r="P1173" s="13"/>
      <c r="Q1173" s="13"/>
      <c r="R1173" s="119"/>
    </row>
    <row r="1174" spans="1:18" x14ac:dyDescent="0.5">
      <c r="A1174" s="130">
        <v>238</v>
      </c>
      <c r="B1174" s="7" t="s">
        <v>601</v>
      </c>
      <c r="C1174" s="7" t="s">
        <v>602</v>
      </c>
      <c r="D1174" s="8" t="s">
        <v>79</v>
      </c>
      <c r="E1174" s="43"/>
      <c r="F1174" s="51"/>
      <c r="G1174" s="9"/>
      <c r="H1174" s="129">
        <f>VLOOKUP($A1174,'Model Inputs'!$A:$D,4)</f>
        <v>1</v>
      </c>
      <c r="I1174" s="9"/>
      <c r="J1174" s="9">
        <f>SUBTOTAL(9,J1175)</f>
        <v>2323</v>
      </c>
      <c r="K1174" s="89"/>
      <c r="L1174" s="89">
        <v>3</v>
      </c>
      <c r="M1174" s="9"/>
      <c r="N1174" s="9"/>
      <c r="O1174" s="9"/>
      <c r="P1174" s="9"/>
      <c r="Q1174" s="10">
        <v>2323</v>
      </c>
      <c r="R1174" s="117"/>
    </row>
    <row r="1175" spans="1:18" outlineLevel="1" x14ac:dyDescent="0.5">
      <c r="A1175" s="131" t="s">
        <v>448</v>
      </c>
      <c r="B1175" s="14">
        <v>1</v>
      </c>
      <c r="C1175" s="15" t="s">
        <v>860</v>
      </c>
      <c r="D1175" s="44" t="str">
        <f>VLOOKUP(Estimate!$C1175,Resources!$B$3:$G$336,4,FALSE)</f>
        <v xml:space="preserve">LS   </v>
      </c>
      <c r="E1175" s="44" t="str">
        <f>VLOOKUP(Estimate!$C1175,Resources!$B$3:$G$336,3,FALSE)</f>
        <v>S</v>
      </c>
      <c r="F1175" s="52">
        <v>2323</v>
      </c>
      <c r="G1175" s="12">
        <v>1</v>
      </c>
      <c r="H1175" s="12">
        <f>H1174</f>
        <v>1</v>
      </c>
      <c r="I1175" s="12">
        <f>VLOOKUP(C1175,Resources!$B$3:$G$336,6,FALSE)</f>
        <v>1</v>
      </c>
      <c r="J1175" s="12">
        <f>(H1175/(G1175/F1175))*I1175</f>
        <v>2323</v>
      </c>
      <c r="K1175" s="90"/>
      <c r="L1175" s="90">
        <v>1</v>
      </c>
      <c r="M1175" s="16">
        <f>IF($E1175="L",$J1175,0)</f>
        <v>0</v>
      </c>
      <c r="N1175" s="16">
        <f>IF($E1175="M",$J1175,0)</f>
        <v>0</v>
      </c>
      <c r="O1175" s="16">
        <f>IF($E1175="P",$J1175,0)</f>
        <v>0</v>
      </c>
      <c r="P1175" s="16">
        <f>IF($E1175="S",$J1175,0)</f>
        <v>2323</v>
      </c>
      <c r="Q1175" s="16">
        <f>SUM(M1175:P1175)</f>
        <v>2323</v>
      </c>
      <c r="R1175" s="118">
        <v>131</v>
      </c>
    </row>
    <row r="1176" spans="1:18" outlineLevel="1" x14ac:dyDescent="0.5">
      <c r="A1176" s="132" t="s">
        <v>448</v>
      </c>
      <c r="B1176" s="1"/>
      <c r="C1176" s="2"/>
      <c r="D1176" s="1"/>
      <c r="E1176" s="45"/>
      <c r="F1176" s="53"/>
      <c r="G1176" s="11"/>
      <c r="H1176" s="11"/>
      <c r="I1176" s="11"/>
      <c r="J1176" s="11"/>
      <c r="K1176" s="91"/>
      <c r="L1176" s="91"/>
      <c r="M1176" s="13"/>
      <c r="N1176" s="13"/>
      <c r="O1176" s="13"/>
      <c r="P1176" s="13"/>
      <c r="Q1176" s="13"/>
      <c r="R1176" s="119"/>
    </row>
    <row r="1177" spans="1:18" x14ac:dyDescent="0.5">
      <c r="A1177" s="130">
        <v>239</v>
      </c>
      <c r="B1177" s="7" t="s">
        <v>603</v>
      </c>
      <c r="C1177" s="7" t="s">
        <v>604</v>
      </c>
      <c r="D1177" s="8" t="s">
        <v>25</v>
      </c>
      <c r="E1177" s="43"/>
      <c r="F1177" s="51"/>
      <c r="G1177" s="9"/>
      <c r="H1177" s="129">
        <f>VLOOKUP($A1177,'Model Inputs'!$A:$D,4)</f>
        <v>71</v>
      </c>
      <c r="I1177" s="9"/>
      <c r="J1177" s="9">
        <f>SUBTOTAL(9,J1178:J1179)</f>
        <v>2911.5841667635768</v>
      </c>
      <c r="K1177" s="89"/>
      <c r="L1177" s="89">
        <v>1</v>
      </c>
      <c r="M1177" s="9">
        <f>SUBTOTAL(9,M1178:M1179)</f>
        <v>0</v>
      </c>
      <c r="N1177" s="9">
        <f t="shared" ref="N1177" si="182">SUBTOTAL(9,N1178:N1179)</f>
        <v>1473.8341667635771</v>
      </c>
      <c r="O1177" s="9">
        <f t="shared" ref="O1177" si="183">SUBTOTAL(9,O1178:O1179)</f>
        <v>0</v>
      </c>
      <c r="P1177" s="9">
        <f t="shared" ref="P1177" si="184">SUBTOTAL(9,P1178:P1179)</f>
        <v>1437.75</v>
      </c>
      <c r="Q1177" s="9">
        <f t="shared" ref="Q1177" si="185">SUBTOTAL(9,Q1178:Q1179)</f>
        <v>2911.5841667635768</v>
      </c>
      <c r="R1177" s="117"/>
    </row>
    <row r="1178" spans="1:18" outlineLevel="1" x14ac:dyDescent="0.5">
      <c r="A1178" s="131" t="s">
        <v>448</v>
      </c>
      <c r="B1178" s="14">
        <v>1</v>
      </c>
      <c r="C1178" s="15" t="s">
        <v>136</v>
      </c>
      <c r="D1178" s="44" t="str">
        <f>VLOOKUP(Estimate!$C1178,Resources!$B$3:$G$336,4,FALSE)</f>
        <v xml:space="preserve">m³   </v>
      </c>
      <c r="E1178" s="44" t="str">
        <f>VLOOKUP(Estimate!$C1178,Resources!$B$3:$G$336,3,FALSE)</f>
        <v>M</v>
      </c>
      <c r="F1178" s="52">
        <v>1</v>
      </c>
      <c r="G1178" s="12">
        <v>1</v>
      </c>
      <c r="H1178" s="12">
        <f>H1177/8.599</f>
        <v>8.2567740434934294</v>
      </c>
      <c r="I1178" s="12">
        <f>VLOOKUP(C1178,Resources!$B$3:$G$336,6,FALSE)</f>
        <v>178.5</v>
      </c>
      <c r="J1178" s="12">
        <f>(H1178/(G1178/F1178))*I1178</f>
        <v>1473.8341667635771</v>
      </c>
      <c r="K1178" s="90"/>
      <c r="L1178" s="90" t="str">
        <f>IF(E1178="M"," ",H1178/G1178)</f>
        <v xml:space="preserve"> </v>
      </c>
      <c r="M1178" s="16">
        <f>IF($E1178="L",$J1178,0)</f>
        <v>0</v>
      </c>
      <c r="N1178" s="16">
        <f>IF($E1178="M",$J1178,0)</f>
        <v>1473.8341667635771</v>
      </c>
      <c r="O1178" s="16">
        <f>IF($E1178="P",$J1178,0)</f>
        <v>0</v>
      </c>
      <c r="P1178" s="16">
        <f>IF($E1178="S",$J1178,0)</f>
        <v>0</v>
      </c>
      <c r="Q1178" s="16">
        <f>SUM(M1178:P1178)</f>
        <v>1473.8341667635771</v>
      </c>
      <c r="R1178" s="118" t="s">
        <v>949</v>
      </c>
    </row>
    <row r="1179" spans="1:18" outlineLevel="1" x14ac:dyDescent="0.5">
      <c r="A1179" s="131" t="s">
        <v>448</v>
      </c>
      <c r="B1179" s="14">
        <v>2</v>
      </c>
      <c r="C1179" s="15" t="s">
        <v>137</v>
      </c>
      <c r="D1179" s="44" t="str">
        <f>VLOOKUP(Estimate!$C1179,Resources!$B$3:$G$336,4,FALSE)</f>
        <v xml:space="preserve">m    </v>
      </c>
      <c r="E1179" s="44" t="str">
        <f>VLOOKUP(Estimate!$C1179,Resources!$B$3:$G$336,3,FALSE)</f>
        <v>S</v>
      </c>
      <c r="F1179" s="52">
        <v>1</v>
      </c>
      <c r="G1179" s="12">
        <v>1</v>
      </c>
      <c r="H1179" s="12">
        <f>H1177</f>
        <v>71</v>
      </c>
      <c r="I1179" s="12">
        <f>VLOOKUP(C1179,Resources!$B$3:$G$336,6,FALSE)</f>
        <v>20.25</v>
      </c>
      <c r="J1179" s="12">
        <f>(H1179/(G1179/F1179))*I1179</f>
        <v>1437.75</v>
      </c>
      <c r="K1179" s="90">
        <f>L1179*F1179</f>
        <v>71</v>
      </c>
      <c r="L1179" s="90">
        <f>IF(E1179="M"," ",H1179/G1179)</f>
        <v>71</v>
      </c>
      <c r="M1179" s="16">
        <f>IF($E1179="L",$J1179,0)</f>
        <v>0</v>
      </c>
      <c r="N1179" s="16">
        <f>IF($E1179="M",$J1179,0)</f>
        <v>0</v>
      </c>
      <c r="O1179" s="16">
        <f>IF($E1179="P",$J1179,0)</f>
        <v>0</v>
      </c>
      <c r="P1179" s="16">
        <f>IF($E1179="S",$J1179,0)</f>
        <v>1437.75</v>
      </c>
      <c r="Q1179" s="16">
        <f>SUM(M1179:P1179)</f>
        <v>1437.75</v>
      </c>
      <c r="R1179" s="118">
        <v>71</v>
      </c>
    </row>
    <row r="1180" spans="1:18" outlineLevel="1" x14ac:dyDescent="0.5">
      <c r="A1180" s="132" t="s">
        <v>448</v>
      </c>
      <c r="B1180" s="1"/>
      <c r="C1180" s="2"/>
      <c r="D1180" s="1"/>
      <c r="E1180" s="45"/>
      <c r="F1180" s="53"/>
      <c r="G1180" s="11"/>
      <c r="H1180" s="11"/>
      <c r="I1180" s="11"/>
      <c r="J1180" s="11"/>
      <c r="K1180" s="91"/>
      <c r="L1180" s="91"/>
      <c r="M1180" s="13"/>
      <c r="N1180" s="13"/>
      <c r="O1180" s="13"/>
      <c r="P1180" s="13"/>
      <c r="Q1180" s="13"/>
      <c r="R1180" s="119"/>
    </row>
    <row r="1181" spans="1:18" x14ac:dyDescent="0.5">
      <c r="A1181" s="130">
        <v>240</v>
      </c>
      <c r="B1181" s="7" t="s">
        <v>605</v>
      </c>
      <c r="C1181" s="7" t="s">
        <v>606</v>
      </c>
      <c r="D1181" s="8" t="s">
        <v>48</v>
      </c>
      <c r="E1181" s="43"/>
      <c r="F1181" s="51"/>
      <c r="G1181" s="9"/>
      <c r="H1181" s="129">
        <f>VLOOKUP($A1181,'Model Inputs'!$A:$D,4)</f>
        <v>1</v>
      </c>
      <c r="I1181" s="9"/>
      <c r="J1181" s="9">
        <f>SUBTOTAL(9,J1182:J1182)</f>
        <v>1210</v>
      </c>
      <c r="K1181" s="89"/>
      <c r="L1181" s="89">
        <v>1</v>
      </c>
      <c r="M1181" s="9">
        <f>SUBTOTAL(9,M1182:M1182)</f>
        <v>0</v>
      </c>
      <c r="N1181" s="9">
        <f>SUBTOTAL(9,N1182:N1182)</f>
        <v>0</v>
      </c>
      <c r="O1181" s="9">
        <f>SUBTOTAL(9,O1182:O1182)</f>
        <v>0</v>
      </c>
      <c r="P1181" s="9">
        <f>SUBTOTAL(9,P1182:P1182)</f>
        <v>1210</v>
      </c>
      <c r="Q1181" s="9">
        <f>SUBTOTAL(9,Q1182:Q1182)</f>
        <v>1210</v>
      </c>
      <c r="R1181" s="117"/>
    </row>
    <row r="1182" spans="1:18" outlineLevel="1" x14ac:dyDescent="0.5">
      <c r="A1182" s="131" t="s">
        <v>448</v>
      </c>
      <c r="B1182" s="14">
        <v>1</v>
      </c>
      <c r="C1182" s="15" t="s">
        <v>947</v>
      </c>
      <c r="D1182" s="44" t="str">
        <f>VLOOKUP(Estimate!$C1182,Resources!$B$3:$G$336,4,FALSE)</f>
        <v xml:space="preserve">each </v>
      </c>
      <c r="E1182" s="44" t="str">
        <f>VLOOKUP(Estimate!$C1182,Resources!$B$3:$G$336,3,FALSE)</f>
        <v>S</v>
      </c>
      <c r="F1182" s="52">
        <v>1210</v>
      </c>
      <c r="G1182" s="12">
        <v>1</v>
      </c>
      <c r="H1182" s="12">
        <f>H1181</f>
        <v>1</v>
      </c>
      <c r="I1182" s="12">
        <f>VLOOKUP(C1182,Resources!$B$3:$G$336,6,FALSE)</f>
        <v>1</v>
      </c>
      <c r="J1182" s="12">
        <f>(H1182/(G1182/F1182))*I1182</f>
        <v>1210</v>
      </c>
      <c r="K1182" s="90"/>
      <c r="L1182" s="90">
        <v>1</v>
      </c>
      <c r="M1182" s="16">
        <f>IF($E1182="L",$J1182,0)</f>
        <v>0</v>
      </c>
      <c r="N1182" s="16">
        <f>IF($E1182="M",$J1182,0)</f>
        <v>0</v>
      </c>
      <c r="O1182" s="16">
        <f>IF($E1182="P",$J1182,0)</f>
        <v>0</v>
      </c>
      <c r="P1182" s="16">
        <f>IF($E1182="S",$J1182,0)</f>
        <v>1210</v>
      </c>
      <c r="Q1182" s="16">
        <f>SUM(M1182:P1182)</f>
        <v>1210</v>
      </c>
      <c r="R1182" s="118">
        <v>111</v>
      </c>
    </row>
    <row r="1183" spans="1:18" outlineLevel="1" x14ac:dyDescent="0.5">
      <c r="A1183" s="132" t="s">
        <v>448</v>
      </c>
      <c r="B1183" s="1"/>
      <c r="C1183" s="2"/>
      <c r="D1183" s="1"/>
      <c r="E1183" s="45"/>
      <c r="F1183" s="53"/>
      <c r="G1183" s="11"/>
      <c r="H1183" s="11"/>
      <c r="I1183" s="11"/>
      <c r="J1183" s="11"/>
      <c r="K1183" s="91"/>
      <c r="L1183" s="91"/>
      <c r="M1183" s="13"/>
      <c r="N1183" s="13"/>
      <c r="O1183" s="13"/>
      <c r="P1183" s="13"/>
      <c r="Q1183" s="13"/>
      <c r="R1183" s="119"/>
    </row>
    <row r="1184" spans="1:18" x14ac:dyDescent="0.5">
      <c r="A1184" s="130">
        <v>241</v>
      </c>
      <c r="B1184" s="7" t="s">
        <v>607</v>
      </c>
      <c r="C1184" s="7" t="s">
        <v>608</v>
      </c>
      <c r="D1184" s="8" t="s">
        <v>25</v>
      </c>
      <c r="E1184" s="43"/>
      <c r="F1184" s="51"/>
      <c r="G1184" s="9"/>
      <c r="H1184" s="129">
        <f>VLOOKUP($A1184,'Model Inputs'!$A:$D,4)</f>
        <v>58</v>
      </c>
      <c r="I1184" s="9"/>
      <c r="J1184" s="9">
        <f>SUBTOTAL(9,J1185:J1185)</f>
        <v>2146</v>
      </c>
      <c r="K1184" s="89"/>
      <c r="L1184" s="89">
        <v>0</v>
      </c>
      <c r="M1184" s="9">
        <f>SUBTOTAL(9,M1185:M1185)</f>
        <v>0</v>
      </c>
      <c r="N1184" s="9">
        <f>SUBTOTAL(9,N1185:N1185)</f>
        <v>0</v>
      </c>
      <c r="O1184" s="9">
        <f>SUBTOTAL(9,O1185:O1185)</f>
        <v>0</v>
      </c>
      <c r="P1184" s="9">
        <f>SUBTOTAL(9,P1185:P1185)</f>
        <v>2146</v>
      </c>
      <c r="Q1184" s="9">
        <f>SUBTOTAL(9,Q1185:Q1185)</f>
        <v>2146</v>
      </c>
      <c r="R1184" s="117"/>
    </row>
    <row r="1185" spans="1:70" outlineLevel="1" x14ac:dyDescent="0.5">
      <c r="A1185" s="131" t="s">
        <v>448</v>
      </c>
      <c r="B1185" s="14">
        <v>1</v>
      </c>
      <c r="C1185" s="15" t="s">
        <v>860</v>
      </c>
      <c r="D1185" s="44" t="str">
        <f>VLOOKUP(Estimate!$C1185,Resources!$B$3:$G$336,4,FALSE)</f>
        <v xml:space="preserve">LS   </v>
      </c>
      <c r="E1185" s="44" t="str">
        <f>VLOOKUP(Estimate!$C1185,Resources!$B$3:$G$336,3,FALSE)</f>
        <v>S</v>
      </c>
      <c r="F1185" s="52">
        <v>37</v>
      </c>
      <c r="G1185" s="12">
        <v>1</v>
      </c>
      <c r="H1185" s="12">
        <f>H1184</f>
        <v>58</v>
      </c>
      <c r="I1185" s="12">
        <f>VLOOKUP(C1185,Resources!$B$3:$G$336,6,FALSE)</f>
        <v>1</v>
      </c>
      <c r="J1185" s="12">
        <f>(H1185/(G1185/F1185))*I1185</f>
        <v>2146</v>
      </c>
      <c r="K1185" s="90"/>
      <c r="L1185" s="90">
        <v>1</v>
      </c>
      <c r="M1185" s="16">
        <f>IF($E1185="L",$J1185,0)</f>
        <v>0</v>
      </c>
      <c r="N1185" s="16">
        <f>IF($E1185="M",$J1185,0)</f>
        <v>0</v>
      </c>
      <c r="O1185" s="16">
        <f>IF($E1185="P",$J1185,0)</f>
        <v>0</v>
      </c>
      <c r="P1185" s="16">
        <f>IF($E1185="S",$J1185,0)</f>
        <v>2146</v>
      </c>
      <c r="Q1185" s="16">
        <f>SUM(M1185:P1185)</f>
        <v>2146</v>
      </c>
      <c r="R1185" s="118">
        <v>131</v>
      </c>
    </row>
    <row r="1186" spans="1:70" outlineLevel="1" x14ac:dyDescent="0.5">
      <c r="A1186" s="132" t="s">
        <v>448</v>
      </c>
      <c r="B1186" s="1"/>
      <c r="C1186" s="2"/>
      <c r="D1186" s="1"/>
      <c r="E1186" s="45"/>
      <c r="F1186" s="53"/>
      <c r="G1186" s="11"/>
      <c r="H1186" s="11"/>
      <c r="I1186" s="11"/>
      <c r="J1186" s="11"/>
      <c r="K1186" s="91"/>
      <c r="L1186" s="91"/>
      <c r="M1186" s="13"/>
      <c r="N1186" s="13"/>
      <c r="O1186" s="13"/>
      <c r="P1186" s="13"/>
      <c r="Q1186" s="13"/>
      <c r="R1186" s="119"/>
    </row>
    <row r="1187" spans="1:70" x14ac:dyDescent="0.5">
      <c r="A1187" s="130">
        <v>242</v>
      </c>
      <c r="B1187" s="7" t="s">
        <v>609</v>
      </c>
      <c r="C1187" s="7" t="s">
        <v>610</v>
      </c>
      <c r="D1187" s="8" t="s">
        <v>64</v>
      </c>
      <c r="E1187" s="43"/>
      <c r="F1187" s="51"/>
      <c r="G1187" s="9"/>
      <c r="H1187" s="129">
        <f>VLOOKUP($A1187,'Model Inputs'!$A:$D,4)</f>
        <v>70.7</v>
      </c>
      <c r="I1187" s="9"/>
      <c r="J1187" s="9">
        <f>SUBTOTAL(9,J1188:J1188)</f>
        <v>20290.900000000001</v>
      </c>
      <c r="K1187" s="89"/>
      <c r="L1187" s="89">
        <v>1</v>
      </c>
      <c r="M1187" s="9">
        <f>SUBTOTAL(9,M1188:M1188)</f>
        <v>0</v>
      </c>
      <c r="N1187" s="9">
        <f t="shared" ref="N1187" si="186">SUBTOTAL(9,N1188:N1188)</f>
        <v>0</v>
      </c>
      <c r="O1187" s="9">
        <f t="shared" ref="O1187" si="187">SUBTOTAL(9,O1188:O1188)</f>
        <v>0</v>
      </c>
      <c r="P1187" s="9">
        <f t="shared" ref="P1187" si="188">SUBTOTAL(9,P1188:P1188)</f>
        <v>20290.900000000001</v>
      </c>
      <c r="Q1187" s="9">
        <f t="shared" ref="Q1187" si="189">SUBTOTAL(9,Q1188:Q1188)</f>
        <v>20290.900000000001</v>
      </c>
      <c r="R1187" s="117"/>
    </row>
    <row r="1188" spans="1:70" outlineLevel="1" x14ac:dyDescent="0.5">
      <c r="A1188" s="131" t="s">
        <v>448</v>
      </c>
      <c r="B1188" s="14">
        <v>1</v>
      </c>
      <c r="C1188" s="15" t="s">
        <v>908</v>
      </c>
      <c r="D1188" s="44" t="str">
        <f>VLOOKUP(Estimate!$C1188,Resources!$B$3:$G$336,4,FALSE)</f>
        <v>tonne</v>
      </c>
      <c r="E1188" s="44" t="str">
        <f>VLOOKUP(Estimate!$C1188,Resources!$B$3:$G$336,3,FALSE)</f>
        <v>S</v>
      </c>
      <c r="F1188" s="52">
        <v>1</v>
      </c>
      <c r="G1188" s="12">
        <v>1</v>
      </c>
      <c r="H1188" s="12">
        <f>H1187</f>
        <v>70.7</v>
      </c>
      <c r="I1188" s="12">
        <f>VLOOKUP(C1188,Resources!$B$3:$G$336,6,FALSE)</f>
        <v>287</v>
      </c>
      <c r="J1188" s="12">
        <f>(H1188/(G1188/F1188))*I1188</f>
        <v>20290.900000000001</v>
      </c>
      <c r="K1188" s="90"/>
      <c r="L1188" s="90">
        <v>1</v>
      </c>
      <c r="M1188" s="16">
        <f>IF($E1188="L",$J1188,0)</f>
        <v>0</v>
      </c>
      <c r="N1188" s="16">
        <f>IF($E1188="M",$J1188,0)</f>
        <v>0</v>
      </c>
      <c r="O1188" s="16">
        <f>IF($E1188="P",$J1188,0)</f>
        <v>0</v>
      </c>
      <c r="P1188" s="16">
        <f>IF($E1188="S",$J1188,0)</f>
        <v>20290.900000000001</v>
      </c>
      <c r="Q1188" s="16">
        <f>SUM(M1188:P1188)</f>
        <v>20290.900000000001</v>
      </c>
      <c r="R1188" s="118">
        <v>65</v>
      </c>
    </row>
    <row r="1189" spans="1:70" outlineLevel="1" x14ac:dyDescent="0.5">
      <c r="A1189" s="132" t="s">
        <v>448</v>
      </c>
      <c r="B1189" s="1"/>
      <c r="C1189" s="2"/>
      <c r="D1189" s="1"/>
      <c r="E1189" s="45"/>
      <c r="F1189" s="53"/>
      <c r="G1189" s="11"/>
      <c r="H1189" s="11"/>
      <c r="I1189" s="11"/>
      <c r="J1189" s="11"/>
      <c r="K1189" s="91"/>
      <c r="L1189" s="91"/>
      <c r="M1189" s="13"/>
      <c r="N1189" s="13"/>
      <c r="O1189" s="13"/>
      <c r="P1189" s="13"/>
      <c r="Q1189" s="13"/>
      <c r="R1189" s="119"/>
    </row>
    <row r="1190" spans="1:70" x14ac:dyDescent="0.5">
      <c r="A1190" s="130">
        <v>243</v>
      </c>
      <c r="B1190" s="7" t="s">
        <v>611</v>
      </c>
      <c r="C1190" s="7" t="s">
        <v>612</v>
      </c>
      <c r="D1190" s="8" t="s">
        <v>79</v>
      </c>
      <c r="E1190" s="43"/>
      <c r="F1190" s="51"/>
      <c r="G1190" s="9"/>
      <c r="H1190" s="129">
        <f>VLOOKUP($A1190,'Model Inputs'!$A:$D,4)</f>
        <v>1</v>
      </c>
      <c r="I1190" s="9"/>
      <c r="J1190" s="9">
        <f>SUBTOTAL(9,J1192:J1215)</f>
        <v>22691.151631585068</v>
      </c>
      <c r="K1190" s="89"/>
      <c r="L1190" s="89">
        <v>3</v>
      </c>
      <c r="M1190" s="9">
        <f>SUBTOTAL(9,M1192:M1215)</f>
        <v>2407.8500000000004</v>
      </c>
      <c r="N1190" s="9">
        <f t="shared" ref="N1190:Q1190" si="190">SUBTOTAL(9,N1192:N1215)</f>
        <v>2472.4316315850679</v>
      </c>
      <c r="O1190" s="9">
        <f t="shared" si="190"/>
        <v>1445</v>
      </c>
      <c r="P1190" s="9">
        <f t="shared" si="190"/>
        <v>16365.869999999999</v>
      </c>
      <c r="Q1190" s="9">
        <f t="shared" si="190"/>
        <v>22691.151631585068</v>
      </c>
      <c r="R1190" s="117"/>
    </row>
    <row r="1191" spans="1:70" s="24" customFormat="1" outlineLevel="1" x14ac:dyDescent="0.5">
      <c r="A1191" s="42" t="s">
        <v>448</v>
      </c>
      <c r="B1191" s="4"/>
      <c r="C1191" s="5" t="s">
        <v>950</v>
      </c>
      <c r="D1191" s="4"/>
      <c r="E1191" s="125"/>
      <c r="F1191" s="49"/>
      <c r="G1191" s="126"/>
      <c r="H1191" s="126"/>
      <c r="I1191" s="126"/>
      <c r="J1191" s="126"/>
      <c r="K1191" s="87"/>
      <c r="L1191" s="87"/>
      <c r="M1191" s="127"/>
      <c r="N1191" s="127"/>
      <c r="O1191" s="127"/>
      <c r="P1191" s="127"/>
      <c r="Q1191" s="127"/>
      <c r="R1191" s="128"/>
      <c r="BR1191" s="84"/>
    </row>
    <row r="1192" spans="1:70" outlineLevel="1" x14ac:dyDescent="0.5">
      <c r="A1192" s="131"/>
      <c r="B1192" s="14">
        <v>1</v>
      </c>
      <c r="C1192" s="15" t="s">
        <v>136</v>
      </c>
      <c r="D1192" s="44" t="str">
        <f>VLOOKUP(Estimate!$C1192,Resources!$B$3:$G$336,4,FALSE)</f>
        <v xml:space="preserve">m³   </v>
      </c>
      <c r="E1192" s="44" t="str">
        <f>VLOOKUP(Estimate!$C1192,Resources!$B$3:$G$336,3,FALSE)</f>
        <v>M</v>
      </c>
      <c r="F1192" s="52">
        <v>1</v>
      </c>
      <c r="G1192" s="12">
        <v>1</v>
      </c>
      <c r="H1192" s="115">
        <f>H1190*95/8.599</f>
        <v>11.047796255378532</v>
      </c>
      <c r="I1192" s="12">
        <f>VLOOKUP(C1192,Resources!$B$3:$G$336,6,FALSE)</f>
        <v>178.5</v>
      </c>
      <c r="J1192" s="12">
        <f>(H1192/(G1192/F1192))*I1192</f>
        <v>1972.031631585068</v>
      </c>
      <c r="K1192" s="90"/>
      <c r="L1192" s="90" t="str">
        <f>IF(E1192="M"," ",H1192/G1192)</f>
        <v xml:space="preserve"> </v>
      </c>
      <c r="M1192" s="16">
        <f>IF($E1192="L",$J1192,0)</f>
        <v>0</v>
      </c>
      <c r="N1192" s="16">
        <f>IF($E1192="M",$J1192,0)</f>
        <v>1972.031631585068</v>
      </c>
      <c r="O1192" s="16">
        <f>IF($E1192="P",$J1192,0)</f>
        <v>0</v>
      </c>
      <c r="P1192" s="16">
        <f>IF($E1192="S",$J1192,0)</f>
        <v>0</v>
      </c>
      <c r="Q1192" s="16">
        <f>SUM(M1192:P1192)</f>
        <v>1972.031631585068</v>
      </c>
      <c r="R1192" s="118" t="s">
        <v>949</v>
      </c>
    </row>
    <row r="1193" spans="1:70" outlineLevel="1" x14ac:dyDescent="0.5">
      <c r="A1193" s="131"/>
      <c r="B1193" s="14">
        <v>2</v>
      </c>
      <c r="C1193" s="15" t="s">
        <v>137</v>
      </c>
      <c r="D1193" s="44" t="str">
        <f>VLOOKUP(Estimate!$C1193,Resources!$B$3:$G$336,4,FALSE)</f>
        <v xml:space="preserve">m    </v>
      </c>
      <c r="E1193" s="44" t="str">
        <f>VLOOKUP(Estimate!$C1193,Resources!$B$3:$G$336,3,FALSE)</f>
        <v>S</v>
      </c>
      <c r="F1193" s="52">
        <v>1</v>
      </c>
      <c r="G1193" s="12">
        <v>1</v>
      </c>
      <c r="H1193" s="12">
        <f>H1190*95</f>
        <v>95</v>
      </c>
      <c r="I1193" s="12">
        <f>VLOOKUP(C1193,Resources!$B$3:$G$336,6,FALSE)</f>
        <v>20.25</v>
      </c>
      <c r="J1193" s="12">
        <f>(H1193/(G1193/F1193))*I1193</f>
        <v>1923.75</v>
      </c>
      <c r="K1193" s="90">
        <f>L1193*F1193</f>
        <v>95</v>
      </c>
      <c r="L1193" s="90">
        <f>IF(E1193="M"," ",H1193/G1193)</f>
        <v>95</v>
      </c>
      <c r="M1193" s="16">
        <f>IF($E1193="L",$J1193,0)</f>
        <v>0</v>
      </c>
      <c r="N1193" s="16">
        <f>IF($E1193="M",$J1193,0)</f>
        <v>0</v>
      </c>
      <c r="O1193" s="16">
        <f>IF($E1193="P",$J1193,0)</f>
        <v>0</v>
      </c>
      <c r="P1193" s="16">
        <f>IF($E1193="S",$J1193,0)</f>
        <v>1923.75</v>
      </c>
      <c r="Q1193" s="16">
        <f>SUM(M1193:P1193)</f>
        <v>1923.75</v>
      </c>
      <c r="R1193" s="118">
        <v>71</v>
      </c>
    </row>
    <row r="1194" spans="1:70" s="24" customFormat="1" outlineLevel="1" x14ac:dyDescent="0.5">
      <c r="A1194" s="42"/>
      <c r="B1194" s="4"/>
      <c r="C1194" s="5" t="s">
        <v>951</v>
      </c>
      <c r="D1194" s="4"/>
      <c r="E1194" s="125"/>
      <c r="F1194" s="49"/>
      <c r="G1194" s="126"/>
      <c r="H1194" s="126"/>
      <c r="I1194" s="126"/>
      <c r="J1194" s="126"/>
      <c r="K1194" s="87"/>
      <c r="L1194" s="87"/>
      <c r="M1194" s="127"/>
      <c r="N1194" s="127"/>
      <c r="O1194" s="127"/>
      <c r="P1194" s="127"/>
      <c r="Q1194" s="127"/>
      <c r="R1194" s="128"/>
      <c r="BR1194" s="84"/>
    </row>
    <row r="1195" spans="1:70" outlineLevel="1" x14ac:dyDescent="0.5">
      <c r="A1195" s="131"/>
      <c r="B1195" s="14">
        <v>1</v>
      </c>
      <c r="C1195" s="15" t="s">
        <v>172</v>
      </c>
      <c r="D1195" s="44" t="str">
        <f>VLOOKUP(Estimate!$C1195,Resources!$B$3:$G$336,4,FALSE)</f>
        <v xml:space="preserve">m²   </v>
      </c>
      <c r="E1195" s="44" t="str">
        <f>VLOOKUP(Estimate!$C1195,Resources!$B$3:$G$336,3,FALSE)</f>
        <v>S</v>
      </c>
      <c r="F1195" s="52">
        <v>0.432</v>
      </c>
      <c r="G1195" s="12">
        <v>1</v>
      </c>
      <c r="H1195" s="115">
        <f>H1190</f>
        <v>1</v>
      </c>
      <c r="I1195" s="12">
        <f>VLOOKUP(C1195,Resources!$B$3:$G$336,6,FALSE)</f>
        <v>7660</v>
      </c>
      <c r="J1195" s="12">
        <f>(H1195/(G1195/F1195))*I1195</f>
        <v>3309.12</v>
      </c>
      <c r="K1195" s="90"/>
      <c r="L1195" s="90">
        <v>1</v>
      </c>
      <c r="M1195" s="16">
        <f>IF($E1195="L",$J1195,0)</f>
        <v>0</v>
      </c>
      <c r="N1195" s="16">
        <f>IF($E1195="M",$J1195,0)</f>
        <v>0</v>
      </c>
      <c r="O1195" s="16">
        <f>IF($E1195="P",$J1195,0)</f>
        <v>0</v>
      </c>
      <c r="P1195" s="16">
        <f>IF($E1195="S",$J1195,0)</f>
        <v>3309.12</v>
      </c>
      <c r="Q1195" s="16">
        <f>SUM(M1195:P1195)</f>
        <v>3309.12</v>
      </c>
      <c r="R1195" s="118">
        <v>66</v>
      </c>
    </row>
    <row r="1196" spans="1:70" s="24" customFormat="1" outlineLevel="1" x14ac:dyDescent="0.5">
      <c r="A1196" s="42"/>
      <c r="B1196" s="4"/>
      <c r="C1196" s="5" t="s">
        <v>952</v>
      </c>
      <c r="D1196" s="4"/>
      <c r="E1196" s="125"/>
      <c r="F1196" s="49"/>
      <c r="G1196" s="126"/>
      <c r="H1196" s="126"/>
      <c r="I1196" s="126"/>
      <c r="J1196" s="126"/>
      <c r="K1196" s="87"/>
      <c r="L1196" s="87"/>
      <c r="M1196" s="127"/>
      <c r="N1196" s="127"/>
      <c r="O1196" s="127"/>
      <c r="P1196" s="127"/>
      <c r="Q1196" s="127"/>
      <c r="R1196" s="128"/>
      <c r="BR1196" s="84"/>
    </row>
    <row r="1197" spans="1:70" outlineLevel="1" x14ac:dyDescent="0.5">
      <c r="A1197" s="131"/>
      <c r="B1197" s="14">
        <v>1</v>
      </c>
      <c r="C1197" s="15" t="s">
        <v>860</v>
      </c>
      <c r="D1197" s="44" t="str">
        <f>VLOOKUP(Estimate!$C1197,Resources!$B$3:$G$336,4,FALSE)</f>
        <v xml:space="preserve">LS   </v>
      </c>
      <c r="E1197" s="44" t="str">
        <f>VLOOKUP(Estimate!$C1197,Resources!$B$3:$G$336,3,FALSE)</f>
        <v>S</v>
      </c>
      <c r="F1197" s="52">
        <v>4507</v>
      </c>
      <c r="G1197" s="12">
        <v>1</v>
      </c>
      <c r="H1197" s="115">
        <f>H1190</f>
        <v>1</v>
      </c>
      <c r="I1197" s="12">
        <f>VLOOKUP(C1197,Resources!$B$3:$G$336,6,FALSE)</f>
        <v>1</v>
      </c>
      <c r="J1197" s="12">
        <f>(H1197/(G1197/F1197))*I1197</f>
        <v>4507</v>
      </c>
      <c r="K1197" s="90"/>
      <c r="L1197" s="90">
        <v>1</v>
      </c>
      <c r="M1197" s="16">
        <f>IF($E1197="L",$J1197,0)</f>
        <v>0</v>
      </c>
      <c r="N1197" s="16">
        <f>IF($E1197="M",$J1197,0)</f>
        <v>0</v>
      </c>
      <c r="O1197" s="16">
        <f>IF($E1197="P",$J1197,0)</f>
        <v>0</v>
      </c>
      <c r="P1197" s="16">
        <f>IF($E1197="S",$J1197,0)</f>
        <v>4507</v>
      </c>
      <c r="Q1197" s="16">
        <f>SUM(M1197:P1197)</f>
        <v>4507</v>
      </c>
      <c r="R1197" s="118">
        <v>131</v>
      </c>
    </row>
    <row r="1198" spans="1:70" s="24" customFormat="1" outlineLevel="1" x14ac:dyDescent="0.5">
      <c r="A1198" s="42"/>
      <c r="B1198" s="4"/>
      <c r="C1198" s="5" t="s">
        <v>953</v>
      </c>
      <c r="D1198" s="4"/>
      <c r="E1198" s="125"/>
      <c r="F1198" s="49"/>
      <c r="G1198" s="126"/>
      <c r="H1198" s="126"/>
      <c r="I1198" s="126"/>
      <c r="J1198" s="126"/>
      <c r="K1198" s="87"/>
      <c r="L1198" s="87"/>
      <c r="M1198" s="127"/>
      <c r="N1198" s="127"/>
      <c r="O1198" s="127"/>
      <c r="P1198" s="127"/>
      <c r="Q1198" s="127"/>
      <c r="R1198" s="128"/>
      <c r="BR1198" s="84"/>
    </row>
    <row r="1199" spans="1:70" outlineLevel="1" x14ac:dyDescent="0.5">
      <c r="A1199" s="131"/>
      <c r="B1199" s="14">
        <v>1</v>
      </c>
      <c r="C1199" s="15" t="s">
        <v>268</v>
      </c>
      <c r="D1199" s="44" t="str">
        <f>VLOOKUP(Estimate!$C1199,Resources!$B$3:$G$336,4,FALSE)</f>
        <v xml:space="preserve">LS   </v>
      </c>
      <c r="E1199" s="44" t="str">
        <f>VLOOKUP(Estimate!$C1199,Resources!$B$3:$G$336,3,FALSE)</f>
        <v>S</v>
      </c>
      <c r="F1199" s="52">
        <v>6026</v>
      </c>
      <c r="G1199" s="12">
        <v>1</v>
      </c>
      <c r="H1199" s="115">
        <f>H1190</f>
        <v>1</v>
      </c>
      <c r="I1199" s="12">
        <f>VLOOKUP(C1199,Resources!$B$3:$G$336,6,FALSE)</f>
        <v>1</v>
      </c>
      <c r="J1199" s="12">
        <f>F1199*H1199*I1199</f>
        <v>6026</v>
      </c>
      <c r="K1199" s="90"/>
      <c r="L1199" s="90">
        <f>IF(E1199="M"," ",H1199/G1199)</f>
        <v>1</v>
      </c>
      <c r="M1199" s="16">
        <f>IF($E1199="L",$J1199,0)</f>
        <v>0</v>
      </c>
      <c r="N1199" s="16">
        <f>IF($E1199="M",$J1199,0)</f>
        <v>0</v>
      </c>
      <c r="O1199" s="16">
        <f>IF($E1199="P",$J1199,0)</f>
        <v>0</v>
      </c>
      <c r="P1199" s="16">
        <f>IF($E1199="S",$J1199,0)</f>
        <v>6026</v>
      </c>
      <c r="Q1199" s="16">
        <f>SUM(M1199:P1199)</f>
        <v>6026</v>
      </c>
      <c r="R1199" s="118">
        <v>95</v>
      </c>
    </row>
    <row r="1200" spans="1:70" s="24" customFormat="1" outlineLevel="1" x14ac:dyDescent="0.5">
      <c r="A1200" s="42"/>
      <c r="B1200" s="4"/>
      <c r="C1200" s="5" t="s">
        <v>954</v>
      </c>
      <c r="D1200" s="4"/>
      <c r="E1200" s="125"/>
      <c r="F1200" s="49"/>
      <c r="G1200" s="126"/>
      <c r="H1200" s="126"/>
      <c r="I1200" s="126"/>
      <c r="J1200" s="126"/>
      <c r="K1200" s="87"/>
      <c r="L1200" s="87"/>
      <c r="M1200" s="127"/>
      <c r="N1200" s="127"/>
      <c r="O1200" s="127"/>
      <c r="P1200" s="127"/>
      <c r="Q1200" s="127"/>
      <c r="R1200" s="128"/>
      <c r="BR1200" s="84"/>
    </row>
    <row r="1201" spans="1:70" s="22" customFormat="1" outlineLevel="1" x14ac:dyDescent="0.5">
      <c r="A1201" s="133"/>
      <c r="B1201" s="18">
        <v>1</v>
      </c>
      <c r="C1201" s="19" t="s">
        <v>918</v>
      </c>
      <c r="D1201" s="18"/>
      <c r="E1201" s="46"/>
      <c r="F1201" s="54"/>
      <c r="G1201" s="20"/>
      <c r="H1201" s="20"/>
      <c r="I1201" s="20"/>
      <c r="J1201" s="20"/>
      <c r="K1201" s="92"/>
      <c r="L1201" s="92"/>
      <c r="M1201" s="21"/>
      <c r="N1201" s="21"/>
      <c r="O1201" s="21"/>
      <c r="P1201" s="21"/>
      <c r="Q1201" s="21"/>
      <c r="R1201" s="120"/>
      <c r="BR1201" s="83"/>
    </row>
    <row r="1202" spans="1:70" outlineLevel="1" x14ac:dyDescent="0.5">
      <c r="A1202" s="131"/>
      <c r="B1202" s="14">
        <v>2</v>
      </c>
      <c r="C1202" s="15" t="s">
        <v>236</v>
      </c>
      <c r="D1202" s="44" t="str">
        <f>VLOOKUP(Estimate!$C1202,Resources!$B$3:$G$336,4,FALSE)</f>
        <v xml:space="preserve">each </v>
      </c>
      <c r="E1202" s="44" t="str">
        <f>VLOOKUP(Estimate!$C1202,Resources!$B$3:$G$336,3,FALSE)</f>
        <v>M</v>
      </c>
      <c r="F1202" s="52">
        <v>1</v>
      </c>
      <c r="G1202" s="12">
        <v>1</v>
      </c>
      <c r="H1202" s="115">
        <f>H1190</f>
        <v>1</v>
      </c>
      <c r="I1202" s="12">
        <f>VLOOKUP(C1202,Resources!$B$3:$G$336,6,FALSE)</f>
        <v>375</v>
      </c>
      <c r="J1202" s="12">
        <f>(H1202/(G1202/F1202))*I1202</f>
        <v>375</v>
      </c>
      <c r="K1202" s="90"/>
      <c r="L1202" s="90" t="str">
        <f>IF(E1202="M"," ",H1202/G1202)</f>
        <v xml:space="preserve"> </v>
      </c>
      <c r="M1202" s="16">
        <f>IF($E1202="L",$J1202,0)</f>
        <v>0</v>
      </c>
      <c r="N1202" s="16">
        <f>IF($E1202="M",$J1202,0)</f>
        <v>375</v>
      </c>
      <c r="O1202" s="16">
        <f>IF($E1202="P",$J1202,0)</f>
        <v>0</v>
      </c>
      <c r="P1202" s="16">
        <f>IF($E1202="S",$J1202,0)</f>
        <v>0</v>
      </c>
      <c r="Q1202" s="16">
        <f>SUM(M1202:P1202)</f>
        <v>375</v>
      </c>
      <c r="R1202" s="118">
        <v>111</v>
      </c>
    </row>
    <row r="1203" spans="1:70" outlineLevel="1" x14ac:dyDescent="0.5">
      <c r="A1203" s="131" t="s">
        <v>448</v>
      </c>
      <c r="B1203" s="14">
        <v>3</v>
      </c>
      <c r="C1203" s="15" t="s">
        <v>148</v>
      </c>
      <c r="D1203" s="44" t="str">
        <f>VLOOKUP(Estimate!$C1203,Resources!$B$3:$G$336,4,FALSE)</f>
        <v xml:space="preserve">m³   </v>
      </c>
      <c r="E1203" s="44" t="str">
        <f>VLOOKUP(Estimate!$C1203,Resources!$B$3:$G$336,3,FALSE)</f>
        <v>M</v>
      </c>
      <c r="F1203" s="52">
        <v>1</v>
      </c>
      <c r="G1203" s="12">
        <v>1</v>
      </c>
      <c r="H1203" s="12">
        <f>H1199*0.75</f>
        <v>0.75</v>
      </c>
      <c r="I1203" s="12">
        <f>VLOOKUP(C1203,Resources!$B$3:$G$336,6,FALSE)</f>
        <v>167.2</v>
      </c>
      <c r="J1203" s="12">
        <f>(H1203/(G1203/F1203))*I1203</f>
        <v>125.39999999999999</v>
      </c>
      <c r="K1203" s="90"/>
      <c r="L1203" s="90" t="str">
        <f>IF(E1203="M"," ",H1203/G1203)</f>
        <v xml:space="preserve"> </v>
      </c>
      <c r="M1203" s="16">
        <f>IF($E1203="L",$J1203,0)</f>
        <v>0</v>
      </c>
      <c r="N1203" s="16">
        <f>IF($E1203="M",$J1203,0)</f>
        <v>125.39999999999999</v>
      </c>
      <c r="O1203" s="16">
        <f>IF($E1203="P",$J1203,0)</f>
        <v>0</v>
      </c>
      <c r="P1203" s="16">
        <f>IF($E1203="S",$J1203,0)</f>
        <v>0</v>
      </c>
      <c r="Q1203" s="16">
        <f>SUM(M1203:P1203)</f>
        <v>125.39999999999999</v>
      </c>
      <c r="R1203" s="118">
        <v>111</v>
      </c>
    </row>
    <row r="1204" spans="1:70" s="22" customFormat="1" outlineLevel="1" x14ac:dyDescent="0.5">
      <c r="A1204" s="133" t="s">
        <v>448</v>
      </c>
      <c r="B1204" s="18">
        <v>6</v>
      </c>
      <c r="C1204" s="19" t="s">
        <v>919</v>
      </c>
      <c r="D1204" s="18"/>
      <c r="E1204" s="46"/>
      <c r="F1204" s="54"/>
      <c r="G1204" s="20"/>
      <c r="H1204" s="20"/>
      <c r="I1204" s="20"/>
      <c r="J1204" s="20"/>
      <c r="K1204" s="92"/>
      <c r="L1204" s="92"/>
      <c r="M1204" s="21"/>
      <c r="N1204" s="21"/>
      <c r="O1204" s="21"/>
      <c r="P1204" s="21"/>
      <c r="Q1204" s="21"/>
      <c r="R1204" s="120"/>
      <c r="BR1204" s="83"/>
    </row>
    <row r="1205" spans="1:70" outlineLevel="1" x14ac:dyDescent="0.5">
      <c r="A1205" s="131" t="s">
        <v>448</v>
      </c>
      <c r="B1205" s="14">
        <v>7</v>
      </c>
      <c r="C1205" s="15" t="s">
        <v>91</v>
      </c>
      <c r="D1205" s="44" t="str">
        <f>VLOOKUP(Estimate!$C1205,Resources!$B$3:$G$336,4,FALSE)</f>
        <v xml:space="preserve">hr   </v>
      </c>
      <c r="E1205" s="44" t="str">
        <f>VLOOKUP(Estimate!$C1205,Resources!$B$3:$G$336,3,FALSE)</f>
        <v>P</v>
      </c>
      <c r="F1205" s="52">
        <v>1</v>
      </c>
      <c r="G1205" s="12">
        <v>0.5</v>
      </c>
      <c r="H1205" s="12">
        <f>H1199</f>
        <v>1</v>
      </c>
      <c r="I1205" s="12">
        <f>VLOOKUP(C1205,Resources!$B$3:$G$336,6,FALSE)</f>
        <v>100</v>
      </c>
      <c r="J1205" s="12">
        <f>(H1205/(G1205/F1205))*I1205</f>
        <v>200</v>
      </c>
      <c r="K1205" s="90">
        <f>L1205*F1205</f>
        <v>2</v>
      </c>
      <c r="L1205" s="90">
        <f>IF(E1205="M"," ",H1205/G1205)</f>
        <v>2</v>
      </c>
      <c r="M1205" s="16">
        <f>IF($E1205="L",$J1205,0)</f>
        <v>0</v>
      </c>
      <c r="N1205" s="16">
        <f>IF($E1205="M",$J1205,0)</f>
        <v>0</v>
      </c>
      <c r="O1205" s="16">
        <f>IF($E1205="P",$J1205,0)</f>
        <v>200</v>
      </c>
      <c r="P1205" s="16">
        <f>IF($E1205="S",$J1205,0)</f>
        <v>0</v>
      </c>
      <c r="Q1205" s="16">
        <f>SUM(M1205:P1205)</f>
        <v>200</v>
      </c>
      <c r="R1205" s="118">
        <v>111</v>
      </c>
    </row>
    <row r="1206" spans="1:70" outlineLevel="1" x14ac:dyDescent="0.5">
      <c r="A1206" s="131" t="s">
        <v>448</v>
      </c>
      <c r="B1206" s="14">
        <v>8</v>
      </c>
      <c r="C1206" s="15" t="s">
        <v>7</v>
      </c>
      <c r="D1206" s="44" t="str">
        <f>VLOOKUP(Estimate!$C1206,Resources!$B$3:$G$336,4,FALSE)</f>
        <v xml:space="preserve">hr   </v>
      </c>
      <c r="E1206" s="44" t="str">
        <f>VLOOKUP(Estimate!$C1206,Resources!$B$3:$G$336,3,FALSE)</f>
        <v>L</v>
      </c>
      <c r="F1206" s="52">
        <v>2</v>
      </c>
      <c r="G1206" s="12">
        <f>G1205</f>
        <v>0.5</v>
      </c>
      <c r="H1206" s="12">
        <f>H1199</f>
        <v>1</v>
      </c>
      <c r="I1206" s="12">
        <f>VLOOKUP(C1206,Resources!$B$3:$G$336,6,FALSE)</f>
        <v>38</v>
      </c>
      <c r="J1206" s="12">
        <f>(H1206/(G1206/F1206))*I1206</f>
        <v>152</v>
      </c>
      <c r="K1206" s="90">
        <f>L1206*F1206</f>
        <v>4</v>
      </c>
      <c r="L1206" s="90">
        <f>IF(E1206="M"," ",H1206/G1206)</f>
        <v>2</v>
      </c>
      <c r="M1206" s="16">
        <f>IF($E1206="L",$J1206,0)</f>
        <v>152</v>
      </c>
      <c r="N1206" s="16">
        <f>IF($E1206="M",$J1206,0)</f>
        <v>0</v>
      </c>
      <c r="O1206" s="16">
        <f>IF($E1206="P",$J1206,0)</f>
        <v>0</v>
      </c>
      <c r="P1206" s="16">
        <f>IF($E1206="S",$J1206,0)</f>
        <v>0</v>
      </c>
      <c r="Q1206" s="16">
        <f>SUM(M1206:P1206)</f>
        <v>152</v>
      </c>
      <c r="R1206" s="118">
        <v>111</v>
      </c>
    </row>
    <row r="1207" spans="1:70" s="22" customFormat="1" outlineLevel="1" x14ac:dyDescent="0.5">
      <c r="A1207" s="133" t="s">
        <v>448</v>
      </c>
      <c r="B1207" s="18">
        <v>9</v>
      </c>
      <c r="C1207" s="19" t="s">
        <v>920</v>
      </c>
      <c r="D1207" s="18"/>
      <c r="E1207" s="46"/>
      <c r="F1207" s="54"/>
      <c r="G1207" s="20"/>
      <c r="H1207" s="20"/>
      <c r="I1207" s="20"/>
      <c r="J1207" s="20"/>
      <c r="K1207" s="92"/>
      <c r="L1207" s="92"/>
      <c r="M1207" s="21"/>
      <c r="N1207" s="21"/>
      <c r="O1207" s="21"/>
      <c r="P1207" s="21"/>
      <c r="Q1207" s="21"/>
      <c r="R1207" s="120"/>
      <c r="BR1207" s="83"/>
    </row>
    <row r="1208" spans="1:70" outlineLevel="1" x14ac:dyDescent="0.5">
      <c r="A1208" s="131" t="s">
        <v>448</v>
      </c>
      <c r="B1208" s="14">
        <v>10</v>
      </c>
      <c r="C1208" s="15" t="s">
        <v>227</v>
      </c>
      <c r="D1208" s="44" t="str">
        <f>VLOOKUP(Estimate!$C1208,Resources!$B$3:$G$336,4,FALSE)</f>
        <v xml:space="preserve">Item </v>
      </c>
      <c r="E1208" s="44" t="str">
        <f>VLOOKUP(Estimate!$C1208,Resources!$B$3:$G$336,3,FALSE)</f>
        <v>S</v>
      </c>
      <c r="F1208" s="52">
        <f>H1199*10</f>
        <v>10</v>
      </c>
      <c r="G1208" s="12">
        <v>1</v>
      </c>
      <c r="H1208" s="12">
        <v>1</v>
      </c>
      <c r="I1208" s="12">
        <f>VLOOKUP(C1208,Resources!$B$3:$G$336,6,FALSE)</f>
        <v>60</v>
      </c>
      <c r="J1208" s="12">
        <f>(H1208/(G1208/F1208))*I1208</f>
        <v>600</v>
      </c>
      <c r="K1208" s="90"/>
      <c r="L1208" s="90">
        <f>IF(E1208="M"," ",H1208/G1208)</f>
        <v>1</v>
      </c>
      <c r="M1208" s="16">
        <f>IF($E1208="L",$J1208,0)</f>
        <v>0</v>
      </c>
      <c r="N1208" s="16">
        <f>IF($E1208="M",$J1208,0)</f>
        <v>0</v>
      </c>
      <c r="O1208" s="16">
        <f>IF($E1208="P",$J1208,0)</f>
        <v>0</v>
      </c>
      <c r="P1208" s="16">
        <f>IF($E1208="S",$J1208,0)</f>
        <v>600</v>
      </c>
      <c r="Q1208" s="16">
        <f>SUM(M1208:P1208)</f>
        <v>600</v>
      </c>
      <c r="R1208" s="118">
        <v>111</v>
      </c>
    </row>
    <row r="1209" spans="1:70" outlineLevel="1" x14ac:dyDescent="0.5">
      <c r="A1209" s="131" t="s">
        <v>448</v>
      </c>
      <c r="B1209" s="14">
        <v>11</v>
      </c>
      <c r="C1209" s="15" t="s">
        <v>816</v>
      </c>
      <c r="D1209" s="44" t="str">
        <f>VLOOKUP(Estimate!$C1209,Resources!$B$3:$G$336,4,FALSE)</f>
        <v xml:space="preserve">hr   </v>
      </c>
      <c r="E1209" s="44" t="str">
        <f>VLOOKUP(Estimate!$C1209,Resources!$B$3:$G$336,3,FALSE)</f>
        <v>P</v>
      </c>
      <c r="F1209" s="52">
        <v>3</v>
      </c>
      <c r="G1209" s="12">
        <v>1</v>
      </c>
      <c r="H1209" s="12">
        <f>H1199</f>
        <v>1</v>
      </c>
      <c r="I1209" s="12">
        <f>VLOOKUP(C1209,Resources!$B$3:$G$336,6,FALSE)</f>
        <v>165</v>
      </c>
      <c r="J1209" s="12">
        <f>(H1209/(G1209/F1209))*I1209</f>
        <v>495</v>
      </c>
      <c r="K1209" s="90">
        <f>L1209*F1209</f>
        <v>3</v>
      </c>
      <c r="L1209" s="90">
        <f>IF(E1209="M"," ",H1209/G1209)</f>
        <v>1</v>
      </c>
      <c r="M1209" s="16">
        <f>IF($E1209="L",$J1209,0)</f>
        <v>0</v>
      </c>
      <c r="N1209" s="16">
        <f>IF($E1209="M",$J1209,0)</f>
        <v>0</v>
      </c>
      <c r="O1209" s="16">
        <f>IF($E1209="P",$J1209,0)</f>
        <v>495</v>
      </c>
      <c r="P1209" s="16">
        <f>IF($E1209="S",$J1209,0)</f>
        <v>0</v>
      </c>
      <c r="Q1209" s="16">
        <f>SUM(M1209:P1209)</f>
        <v>495</v>
      </c>
      <c r="R1209" s="118">
        <v>111</v>
      </c>
    </row>
    <row r="1210" spans="1:70" outlineLevel="1" x14ac:dyDescent="0.5">
      <c r="A1210" s="131" t="s">
        <v>448</v>
      </c>
      <c r="B1210" s="14">
        <v>12</v>
      </c>
      <c r="C1210" s="15" t="s">
        <v>7</v>
      </c>
      <c r="D1210" s="44" t="str">
        <f>VLOOKUP(Estimate!$C1210,Resources!$B$3:$G$336,4,FALSE)</f>
        <v xml:space="preserve">hr   </v>
      </c>
      <c r="E1210" s="44" t="str">
        <f>VLOOKUP(Estimate!$C1210,Resources!$B$3:$G$336,3,FALSE)</f>
        <v>L</v>
      </c>
      <c r="F1210" s="52">
        <v>2</v>
      </c>
      <c r="G1210" s="12">
        <v>0.5</v>
      </c>
      <c r="H1210" s="12">
        <f>H1199</f>
        <v>1</v>
      </c>
      <c r="I1210" s="12">
        <f>VLOOKUP(C1210,Resources!$B$3:$G$336,6,FALSE)</f>
        <v>38</v>
      </c>
      <c r="J1210" s="12">
        <f>(H1210/(G1210/F1210))*I1210</f>
        <v>152</v>
      </c>
      <c r="K1210" s="90">
        <f>L1210*F1210</f>
        <v>4</v>
      </c>
      <c r="L1210" s="90">
        <f>IF(E1210="M"," ",H1210/G1210)</f>
        <v>2</v>
      </c>
      <c r="M1210" s="16">
        <f>IF($E1210="L",$J1210,0)</f>
        <v>152</v>
      </c>
      <c r="N1210" s="16">
        <f>IF($E1210="M",$J1210,0)</f>
        <v>0</v>
      </c>
      <c r="O1210" s="16">
        <f>IF($E1210="P",$J1210,0)</f>
        <v>0</v>
      </c>
      <c r="P1210" s="16">
        <f>IF($E1210="S",$J1210,0)</f>
        <v>0</v>
      </c>
      <c r="Q1210" s="16">
        <f>SUM(M1210:P1210)</f>
        <v>152</v>
      </c>
      <c r="R1210" s="118">
        <v>111</v>
      </c>
    </row>
    <row r="1211" spans="1:70" outlineLevel="1" x14ac:dyDescent="0.5">
      <c r="A1211" s="131" t="s">
        <v>448</v>
      </c>
      <c r="B1211" s="14">
        <v>13</v>
      </c>
      <c r="C1211" s="15" t="s">
        <v>818</v>
      </c>
      <c r="D1211" s="44" t="str">
        <f>VLOOKUP(Estimate!$C1211,Resources!$B$3:$G$336,4,FALSE)</f>
        <v xml:space="preserve">day  </v>
      </c>
      <c r="E1211" s="44" t="str">
        <f>VLOOKUP(Estimate!$C1211,Resources!$B$3:$G$336,3,FALSE)</f>
        <v>P</v>
      </c>
      <c r="F1211" s="52">
        <v>1</v>
      </c>
      <c r="G1211" s="12">
        <v>1</v>
      </c>
      <c r="H1211" s="12">
        <f>H1199</f>
        <v>1</v>
      </c>
      <c r="I1211" s="12">
        <f>VLOOKUP(C1211,Resources!$B$3:$G$336,6,FALSE)</f>
        <v>750</v>
      </c>
      <c r="J1211" s="12">
        <f>(H1211/(G1211/F1211))*I1211</f>
        <v>750</v>
      </c>
      <c r="K1211" s="90">
        <f>L1211*F1211</f>
        <v>1</v>
      </c>
      <c r="L1211" s="90">
        <f>IF(E1211="M"," ",H1211/G1211)</f>
        <v>1</v>
      </c>
      <c r="M1211" s="16">
        <f>IF($E1211="L",$J1211,0)</f>
        <v>0</v>
      </c>
      <c r="N1211" s="16">
        <f>IF($E1211="M",$J1211,0)</f>
        <v>0</v>
      </c>
      <c r="O1211" s="16">
        <f>IF($E1211="P",$J1211,0)</f>
        <v>750</v>
      </c>
      <c r="P1211" s="16">
        <f>IF($E1211="S",$J1211,0)</f>
        <v>0</v>
      </c>
      <c r="Q1211" s="16">
        <f>SUM(M1211:P1211)</f>
        <v>750</v>
      </c>
      <c r="R1211" s="118">
        <v>111</v>
      </c>
    </row>
    <row r="1212" spans="1:70" s="24" customFormat="1" outlineLevel="1" x14ac:dyDescent="0.5">
      <c r="A1212" s="42" t="s">
        <v>448</v>
      </c>
      <c r="B1212" s="4"/>
      <c r="C1212" s="5" t="s">
        <v>955</v>
      </c>
      <c r="D1212" s="4"/>
      <c r="E1212" s="125"/>
      <c r="F1212" s="49"/>
      <c r="G1212" s="126"/>
      <c r="H1212" s="126"/>
      <c r="I1212" s="126"/>
      <c r="J1212" s="126"/>
      <c r="K1212" s="87"/>
      <c r="L1212" s="87"/>
      <c r="M1212" s="127"/>
      <c r="N1212" s="127"/>
      <c r="O1212" s="127"/>
      <c r="P1212" s="127"/>
      <c r="Q1212" s="127"/>
      <c r="R1212" s="128"/>
      <c r="BR1212" s="84"/>
    </row>
    <row r="1213" spans="1:70" outlineLevel="1" x14ac:dyDescent="0.5">
      <c r="A1213" s="131" t="s">
        <v>448</v>
      </c>
      <c r="B1213" s="14">
        <v>1</v>
      </c>
      <c r="C1213" s="15" t="s">
        <v>21</v>
      </c>
      <c r="D1213" s="44" t="str">
        <f>VLOOKUP(Estimate!$C1213,Resources!$B$3:$G$336,4,FALSE)</f>
        <v xml:space="preserve">week </v>
      </c>
      <c r="E1213" s="44" t="str">
        <f>VLOOKUP(Estimate!$C1213,Resources!$B$3:$G$336,3,FALSE)</f>
        <v>L</v>
      </c>
      <c r="F1213" s="52"/>
      <c r="G1213" s="12">
        <v>1</v>
      </c>
      <c r="H1213" s="36">
        <f>H1174*0.167</f>
        <v>0.16700000000000001</v>
      </c>
      <c r="I1213" s="12">
        <f>VLOOKUP(C1213,Resources!$B$3:$G$336,6,FALSE)</f>
        <v>3250</v>
      </c>
      <c r="J1213" s="12">
        <f>H1213*I1213</f>
        <v>542.75</v>
      </c>
      <c r="K1213" s="90"/>
      <c r="L1213" s="90">
        <f>IF(E1213="M"," ",H1213/G1213)</f>
        <v>0.16700000000000001</v>
      </c>
      <c r="M1213" s="16">
        <f>IF($E1213="L",$J1213,0)</f>
        <v>542.75</v>
      </c>
      <c r="N1213" s="16">
        <f>IF($E1213="M",$J1213,0)</f>
        <v>0</v>
      </c>
      <c r="O1213" s="16">
        <f>IF($E1213="P",$J1213,0)</f>
        <v>0</v>
      </c>
      <c r="P1213" s="16">
        <f>IF($E1213="S",$J1213,0)</f>
        <v>0</v>
      </c>
      <c r="Q1213" s="16">
        <f>SUM(M1213:P1213)</f>
        <v>542.75</v>
      </c>
      <c r="R1213" s="118">
        <v>901</v>
      </c>
    </row>
    <row r="1214" spans="1:70" s="24" customFormat="1" outlineLevel="1" x14ac:dyDescent="0.5">
      <c r="A1214" s="42" t="s">
        <v>448</v>
      </c>
      <c r="B1214" s="4"/>
      <c r="C1214" s="5" t="s">
        <v>956</v>
      </c>
      <c r="D1214" s="4"/>
      <c r="E1214" s="125"/>
      <c r="F1214" s="49"/>
      <c r="G1214" s="126"/>
      <c r="H1214" s="126"/>
      <c r="I1214" s="126"/>
      <c r="J1214" s="126"/>
      <c r="K1214" s="87"/>
      <c r="L1214" s="87"/>
      <c r="M1214" s="127"/>
      <c r="N1214" s="127"/>
      <c r="O1214" s="127"/>
      <c r="P1214" s="127"/>
      <c r="Q1214" s="127"/>
      <c r="R1214" s="128"/>
      <c r="BR1214" s="84"/>
    </row>
    <row r="1215" spans="1:70" outlineLevel="1" x14ac:dyDescent="0.5">
      <c r="A1215" s="131" t="s">
        <v>448</v>
      </c>
      <c r="B1215" s="14">
        <v>1</v>
      </c>
      <c r="C1215" s="15" t="s">
        <v>19</v>
      </c>
      <c r="D1215" s="44" t="str">
        <f>VLOOKUP(Estimate!$C1215,Resources!$B$3:$G$336,4,FALSE)</f>
        <v xml:space="preserve">week </v>
      </c>
      <c r="E1215" s="44" t="str">
        <f>VLOOKUP(Estimate!$C1215,Resources!$B$3:$G$336,3,FALSE)</f>
        <v>L</v>
      </c>
      <c r="F1215" s="52"/>
      <c r="G1215" s="12">
        <v>1</v>
      </c>
      <c r="H1215" s="36">
        <f>H1190*0.466</f>
        <v>0.46600000000000003</v>
      </c>
      <c r="I1215" s="12">
        <f>VLOOKUP(C1215,Resources!$B$3:$G$336,6,FALSE)</f>
        <v>3350</v>
      </c>
      <c r="J1215" s="12">
        <f>H1215*I1215</f>
        <v>1561.1000000000001</v>
      </c>
      <c r="K1215" s="90"/>
      <c r="L1215" s="90">
        <f>IF(E1215="M"," ",H1215/G1215)</f>
        <v>0.46600000000000003</v>
      </c>
      <c r="M1215" s="16">
        <f>IF($E1215="L",$J1215,0)</f>
        <v>1561.1000000000001</v>
      </c>
      <c r="N1215" s="16">
        <f>IF($E1215="M",$J1215,0)</f>
        <v>0</v>
      </c>
      <c r="O1215" s="16">
        <f>IF($E1215="P",$J1215,0)</f>
        <v>0</v>
      </c>
      <c r="P1215" s="16">
        <f>IF($E1215="S",$J1215,0)</f>
        <v>0</v>
      </c>
      <c r="Q1215" s="16">
        <f>SUM(M1215:P1215)</f>
        <v>1561.1000000000001</v>
      </c>
      <c r="R1215" s="118">
        <v>902</v>
      </c>
    </row>
    <row r="1216" spans="1:70" outlineLevel="1" x14ac:dyDescent="0.5">
      <c r="A1216" s="132"/>
      <c r="B1216" s="1"/>
      <c r="C1216" s="2"/>
      <c r="D1216" s="1"/>
      <c r="E1216" s="45"/>
      <c r="F1216" s="53"/>
      <c r="G1216" s="11"/>
      <c r="H1216" s="11"/>
      <c r="I1216" s="11"/>
      <c r="J1216" s="11"/>
      <c r="K1216" s="91"/>
      <c r="L1216" s="91"/>
      <c r="M1216" s="13"/>
      <c r="N1216" s="13"/>
      <c r="O1216" s="13"/>
      <c r="P1216" s="13"/>
      <c r="Q1216" s="13"/>
      <c r="R1216" s="119"/>
    </row>
    <row r="1218" spans="10:10" x14ac:dyDescent="0.5">
      <c r="J1218" s="196">
        <f>SUBTOTAL(9,J725:J1215)</f>
        <v>425618.79000390967</v>
      </c>
    </row>
  </sheetData>
  <autoFilter ref="A2:S12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6"/>
  <sheetViews>
    <sheetView topLeftCell="A206" zoomScale="115" zoomScaleNormal="115" workbookViewId="0">
      <selection activeCell="B224" sqref="B224"/>
    </sheetView>
  </sheetViews>
  <sheetFormatPr baseColWidth="10" defaultColWidth="9.1328125" defaultRowHeight="14.25" x14ac:dyDescent="0.65"/>
  <cols>
    <col min="1" max="1" width="9.1328125" style="135"/>
    <col min="2" max="2" width="25.1328125" style="1" bestFit="1" customWidth="1"/>
    <col min="3" max="3" width="36.40625" style="2" customWidth="1"/>
    <col min="4" max="4" width="5.86328125" style="136" customWidth="1"/>
    <col min="5" max="5" width="5.86328125" style="132" bestFit="1" customWidth="1"/>
    <col min="6" max="6" width="11" style="132" customWidth="1"/>
    <col min="7" max="7" width="10" style="137" bestFit="1" customWidth="1"/>
    <col min="8" max="16384" width="9.1328125" style="3"/>
  </cols>
  <sheetData>
    <row r="1" spans="1:7" ht="10.75" thickBot="1" x14ac:dyDescent="0.55000000000000004"/>
    <row r="2" spans="1:7" ht="10.75" thickBot="1" x14ac:dyDescent="0.55000000000000004">
      <c r="A2" s="235"/>
      <c r="B2" s="236" t="s">
        <v>1</v>
      </c>
      <c r="C2" s="237" t="s">
        <v>315</v>
      </c>
      <c r="D2" s="238" t="s">
        <v>910</v>
      </c>
      <c r="E2" s="239" t="s">
        <v>2</v>
      </c>
      <c r="F2" s="239" t="s">
        <v>1051</v>
      </c>
      <c r="G2" s="240" t="s">
        <v>316</v>
      </c>
    </row>
    <row r="3" spans="1:7" ht="10.5" x14ac:dyDescent="0.5">
      <c r="A3" s="329" t="s">
        <v>1048</v>
      </c>
      <c r="B3" s="241" t="s">
        <v>317</v>
      </c>
      <c r="C3" s="242" t="s">
        <v>317</v>
      </c>
      <c r="D3" s="243" t="s">
        <v>318</v>
      </c>
      <c r="E3" s="241" t="s">
        <v>18</v>
      </c>
      <c r="F3" s="241" t="s">
        <v>319</v>
      </c>
      <c r="G3" s="244">
        <v>50</v>
      </c>
    </row>
    <row r="4" spans="1:7" ht="10.5" x14ac:dyDescent="0.5">
      <c r="A4" s="330"/>
      <c r="B4" s="215" t="s">
        <v>665</v>
      </c>
      <c r="C4" s="216"/>
      <c r="D4" s="217" t="s">
        <v>318</v>
      </c>
      <c r="E4" s="215" t="s">
        <v>18</v>
      </c>
      <c r="F4" s="215" t="s">
        <v>319</v>
      </c>
      <c r="G4" s="218">
        <v>85</v>
      </c>
    </row>
    <row r="5" spans="1:7" ht="10.5" x14ac:dyDescent="0.5">
      <c r="A5" s="330"/>
      <c r="B5" s="215" t="s">
        <v>666</v>
      </c>
      <c r="C5" s="216"/>
      <c r="D5" s="217" t="s">
        <v>318</v>
      </c>
      <c r="E5" s="215" t="s">
        <v>18</v>
      </c>
      <c r="F5" s="215" t="s">
        <v>319</v>
      </c>
      <c r="G5" s="218">
        <v>135</v>
      </c>
    </row>
    <row r="6" spans="1:7" ht="10.5" x14ac:dyDescent="0.5">
      <c r="A6" s="330"/>
      <c r="B6" s="215" t="s">
        <v>667</v>
      </c>
      <c r="C6" s="216"/>
      <c r="D6" s="217" t="s">
        <v>318</v>
      </c>
      <c r="E6" s="215" t="s">
        <v>18</v>
      </c>
      <c r="F6" s="215" t="s">
        <v>319</v>
      </c>
      <c r="G6" s="218">
        <v>125</v>
      </c>
    </row>
    <row r="7" spans="1:7" ht="10.5" x14ac:dyDescent="0.5">
      <c r="A7" s="330"/>
      <c r="B7" s="215" t="s">
        <v>7</v>
      </c>
      <c r="C7" s="216" t="s">
        <v>7</v>
      </c>
      <c r="D7" s="217" t="s">
        <v>318</v>
      </c>
      <c r="E7" s="215" t="s">
        <v>18</v>
      </c>
      <c r="F7" s="215" t="s">
        <v>319</v>
      </c>
      <c r="G7" s="218">
        <v>38</v>
      </c>
    </row>
    <row r="8" spans="1:7" ht="10.5" x14ac:dyDescent="0.5">
      <c r="A8" s="330"/>
      <c r="B8" s="215" t="s">
        <v>668</v>
      </c>
      <c r="C8" s="216"/>
      <c r="D8" s="217" t="s">
        <v>318</v>
      </c>
      <c r="E8" s="215" t="s">
        <v>18</v>
      </c>
      <c r="F8" s="215" t="s">
        <v>319</v>
      </c>
      <c r="G8" s="218">
        <v>58</v>
      </c>
    </row>
    <row r="9" spans="1:7" ht="10.5" x14ac:dyDescent="0.5">
      <c r="A9" s="330"/>
      <c r="B9" s="215" t="s">
        <v>669</v>
      </c>
      <c r="C9" s="216" t="s">
        <v>320</v>
      </c>
      <c r="D9" s="217" t="s">
        <v>318</v>
      </c>
      <c r="E9" s="215"/>
      <c r="F9" s="215" t="s">
        <v>319</v>
      </c>
      <c r="G9" s="218">
        <v>48</v>
      </c>
    </row>
    <row r="10" spans="1:7" ht="10.5" x14ac:dyDescent="0.5">
      <c r="A10" s="330"/>
      <c r="B10" s="215" t="s">
        <v>670</v>
      </c>
      <c r="C10" s="216"/>
      <c r="D10" s="217" t="s">
        <v>318</v>
      </c>
      <c r="E10" s="215" t="s">
        <v>18</v>
      </c>
      <c r="F10" s="215" t="s">
        <v>319</v>
      </c>
      <c r="G10" s="218">
        <v>145</v>
      </c>
    </row>
    <row r="11" spans="1:7" ht="10.5" x14ac:dyDescent="0.5">
      <c r="A11" s="330"/>
      <c r="B11" s="215" t="s">
        <v>321</v>
      </c>
      <c r="C11" s="216" t="s">
        <v>321</v>
      </c>
      <c r="D11" s="217" t="s">
        <v>318</v>
      </c>
      <c r="E11" s="215" t="s">
        <v>18</v>
      </c>
      <c r="F11" s="215" t="s">
        <v>319</v>
      </c>
      <c r="G11" s="218">
        <v>65</v>
      </c>
    </row>
    <row r="12" spans="1:7" ht="10.5" x14ac:dyDescent="0.5">
      <c r="A12" s="330"/>
      <c r="B12" s="215" t="s">
        <v>671</v>
      </c>
      <c r="C12" s="216"/>
      <c r="D12" s="217" t="s">
        <v>318</v>
      </c>
      <c r="E12" s="215" t="s">
        <v>18</v>
      </c>
      <c r="F12" s="215" t="s">
        <v>319</v>
      </c>
      <c r="G12" s="218">
        <v>75</v>
      </c>
    </row>
    <row r="13" spans="1:7" ht="10.5" x14ac:dyDescent="0.5">
      <c r="A13" s="330"/>
      <c r="B13" s="215" t="s">
        <v>21</v>
      </c>
      <c r="C13" s="216" t="s">
        <v>322</v>
      </c>
      <c r="D13" s="217" t="s">
        <v>318</v>
      </c>
      <c r="E13" s="215" t="s">
        <v>20</v>
      </c>
      <c r="F13" s="215" t="s">
        <v>319</v>
      </c>
      <c r="G13" s="218">
        <v>3250</v>
      </c>
    </row>
    <row r="14" spans="1:7" ht="10.5" x14ac:dyDescent="0.5">
      <c r="A14" s="330"/>
      <c r="B14" s="215" t="s">
        <v>672</v>
      </c>
      <c r="C14" s="216" t="s">
        <v>323</v>
      </c>
      <c r="D14" s="217" t="s">
        <v>318</v>
      </c>
      <c r="E14" s="215" t="s">
        <v>20</v>
      </c>
      <c r="F14" s="215" t="s">
        <v>319</v>
      </c>
      <c r="G14" s="218">
        <v>4250</v>
      </c>
    </row>
    <row r="15" spans="1:7" ht="10.5" x14ac:dyDescent="0.5">
      <c r="A15" s="330"/>
      <c r="B15" s="215" t="s">
        <v>19</v>
      </c>
      <c r="C15" s="216" t="s">
        <v>19</v>
      </c>
      <c r="D15" s="217" t="s">
        <v>318</v>
      </c>
      <c r="E15" s="215" t="s">
        <v>20</v>
      </c>
      <c r="F15" s="215" t="s">
        <v>319</v>
      </c>
      <c r="G15" s="218">
        <v>3350</v>
      </c>
    </row>
    <row r="16" spans="1:7" ht="10.5" x14ac:dyDescent="0.5">
      <c r="A16" s="330"/>
      <c r="B16" s="215" t="s">
        <v>29</v>
      </c>
      <c r="C16" s="216" t="s">
        <v>324</v>
      </c>
      <c r="D16" s="217" t="s">
        <v>318</v>
      </c>
      <c r="E16" s="215" t="s">
        <v>18</v>
      </c>
      <c r="F16" s="215" t="s">
        <v>319</v>
      </c>
      <c r="G16" s="218">
        <v>185</v>
      </c>
    </row>
    <row r="17" spans="1:7" ht="10.5" x14ac:dyDescent="0.5">
      <c r="A17" s="330"/>
      <c r="B17" s="215" t="s">
        <v>673</v>
      </c>
      <c r="C17" s="216" t="s">
        <v>325</v>
      </c>
      <c r="D17" s="217" t="s">
        <v>318</v>
      </c>
      <c r="E17" s="215" t="s">
        <v>18</v>
      </c>
      <c r="F17" s="215" t="s">
        <v>319</v>
      </c>
      <c r="G17" s="218">
        <v>38</v>
      </c>
    </row>
    <row r="18" spans="1:7" ht="10.75" thickBot="1" x14ac:dyDescent="0.55000000000000004">
      <c r="A18" s="331"/>
      <c r="B18" s="245" t="s">
        <v>674</v>
      </c>
      <c r="C18" s="246" t="s">
        <v>326</v>
      </c>
      <c r="D18" s="247" t="s">
        <v>318</v>
      </c>
      <c r="E18" s="245" t="s">
        <v>20</v>
      </c>
      <c r="F18" s="245" t="s">
        <v>319</v>
      </c>
      <c r="G18" s="248">
        <v>3200</v>
      </c>
    </row>
    <row r="19" spans="1:7" ht="10.5" x14ac:dyDescent="0.5">
      <c r="A19" s="329" t="s">
        <v>1049</v>
      </c>
      <c r="B19" s="249" t="s">
        <v>675</v>
      </c>
      <c r="C19" s="250"/>
      <c r="D19" s="251" t="s">
        <v>327</v>
      </c>
      <c r="E19" s="249" t="s">
        <v>48</v>
      </c>
      <c r="F19" s="249" t="s">
        <v>319</v>
      </c>
      <c r="G19" s="252">
        <v>58</v>
      </c>
    </row>
    <row r="20" spans="1:7" ht="10.5" x14ac:dyDescent="0.5">
      <c r="A20" s="330"/>
      <c r="B20" s="219" t="s">
        <v>676</v>
      </c>
      <c r="C20" s="220"/>
      <c r="D20" s="221" t="s">
        <v>327</v>
      </c>
      <c r="E20" s="219" t="s">
        <v>48</v>
      </c>
      <c r="F20" s="219" t="s">
        <v>319</v>
      </c>
      <c r="G20" s="222">
        <v>58</v>
      </c>
    </row>
    <row r="21" spans="1:7" ht="10.5" x14ac:dyDescent="0.5">
      <c r="A21" s="330"/>
      <c r="B21" s="219" t="s">
        <v>677</v>
      </c>
      <c r="C21" s="220"/>
      <c r="D21" s="221" t="s">
        <v>327</v>
      </c>
      <c r="E21" s="219" t="s">
        <v>48</v>
      </c>
      <c r="F21" s="219" t="s">
        <v>319</v>
      </c>
      <c r="G21" s="222">
        <v>58</v>
      </c>
    </row>
    <row r="22" spans="1:7" ht="10.5" x14ac:dyDescent="0.5">
      <c r="A22" s="330"/>
      <c r="B22" s="219" t="s">
        <v>230</v>
      </c>
      <c r="C22" s="220" t="s">
        <v>328</v>
      </c>
      <c r="D22" s="221" t="s">
        <v>327</v>
      </c>
      <c r="E22" s="219" t="s">
        <v>48</v>
      </c>
      <c r="F22" s="219" t="s">
        <v>319</v>
      </c>
      <c r="G22" s="222">
        <v>25</v>
      </c>
    </row>
    <row r="23" spans="1:7" ht="10.5" x14ac:dyDescent="0.5">
      <c r="A23" s="330"/>
      <c r="B23" s="219" t="s">
        <v>218</v>
      </c>
      <c r="C23" s="220" t="s">
        <v>329</v>
      </c>
      <c r="D23" s="221" t="s">
        <v>327</v>
      </c>
      <c r="E23" s="219" t="s">
        <v>25</v>
      </c>
      <c r="F23" s="219" t="s">
        <v>319</v>
      </c>
      <c r="G23" s="222">
        <v>5.16</v>
      </c>
    </row>
    <row r="24" spans="1:7" ht="10.5" x14ac:dyDescent="0.5">
      <c r="A24" s="330"/>
      <c r="B24" s="219" t="s">
        <v>678</v>
      </c>
      <c r="C24" s="220"/>
      <c r="D24" s="221" t="s">
        <v>327</v>
      </c>
      <c r="E24" s="219" t="s">
        <v>48</v>
      </c>
      <c r="F24" s="219" t="s">
        <v>319</v>
      </c>
      <c r="G24" s="222">
        <v>39</v>
      </c>
    </row>
    <row r="25" spans="1:7" ht="10.5" x14ac:dyDescent="0.5">
      <c r="A25" s="330"/>
      <c r="B25" s="219" t="s">
        <v>679</v>
      </c>
      <c r="C25" s="220"/>
      <c r="D25" s="221" t="s">
        <v>327</v>
      </c>
      <c r="E25" s="219" t="s">
        <v>48</v>
      </c>
      <c r="F25" s="219" t="s">
        <v>319</v>
      </c>
      <c r="G25" s="222">
        <v>18.5</v>
      </c>
    </row>
    <row r="26" spans="1:7" ht="10.5" x14ac:dyDescent="0.5">
      <c r="A26" s="330"/>
      <c r="B26" s="219" t="s">
        <v>212</v>
      </c>
      <c r="C26" s="220"/>
      <c r="D26" s="221" t="s">
        <v>327</v>
      </c>
      <c r="E26" s="219" t="s">
        <v>25</v>
      </c>
      <c r="F26" s="219" t="s">
        <v>319</v>
      </c>
      <c r="G26" s="222">
        <v>4.45</v>
      </c>
    </row>
    <row r="27" spans="1:7" ht="10.5" x14ac:dyDescent="0.5">
      <c r="A27" s="330"/>
      <c r="B27" s="219" t="s">
        <v>680</v>
      </c>
      <c r="C27" s="220"/>
      <c r="D27" s="221" t="s">
        <v>327</v>
      </c>
      <c r="E27" s="219" t="s">
        <v>48</v>
      </c>
      <c r="F27" s="219" t="s">
        <v>319</v>
      </c>
      <c r="G27" s="222">
        <v>248</v>
      </c>
    </row>
    <row r="28" spans="1:7" ht="10.5" x14ac:dyDescent="0.5">
      <c r="A28" s="330"/>
      <c r="B28" s="219" t="s">
        <v>681</v>
      </c>
      <c r="C28" s="220"/>
      <c r="D28" s="221" t="s">
        <v>327</v>
      </c>
      <c r="E28" s="219" t="s">
        <v>48</v>
      </c>
      <c r="F28" s="219" t="s">
        <v>319</v>
      </c>
      <c r="G28" s="222">
        <v>108.88</v>
      </c>
    </row>
    <row r="29" spans="1:7" ht="10.5" x14ac:dyDescent="0.5">
      <c r="A29" s="330"/>
      <c r="B29" s="219" t="s">
        <v>682</v>
      </c>
      <c r="C29" s="220" t="s">
        <v>330</v>
      </c>
      <c r="D29" s="221" t="s">
        <v>327</v>
      </c>
      <c r="E29" s="219" t="s">
        <v>25</v>
      </c>
      <c r="F29" s="219" t="s">
        <v>319</v>
      </c>
      <c r="G29" s="222">
        <v>434.16</v>
      </c>
    </row>
    <row r="30" spans="1:7" ht="10.5" x14ac:dyDescent="0.5">
      <c r="A30" s="330"/>
      <c r="B30" s="219" t="s">
        <v>683</v>
      </c>
      <c r="C30" s="220" t="s">
        <v>331</v>
      </c>
      <c r="D30" s="221" t="s">
        <v>327</v>
      </c>
      <c r="E30" s="219" t="s">
        <v>48</v>
      </c>
      <c r="F30" s="219" t="s">
        <v>319</v>
      </c>
      <c r="G30" s="222">
        <v>218.86</v>
      </c>
    </row>
    <row r="31" spans="1:7" ht="10.5" x14ac:dyDescent="0.5">
      <c r="A31" s="330"/>
      <c r="B31" s="219" t="s">
        <v>189</v>
      </c>
      <c r="C31" s="220" t="s">
        <v>332</v>
      </c>
      <c r="D31" s="221" t="s">
        <v>327</v>
      </c>
      <c r="E31" s="219" t="s">
        <v>48</v>
      </c>
      <c r="F31" s="219" t="s">
        <v>319</v>
      </c>
      <c r="G31" s="222">
        <v>696</v>
      </c>
    </row>
    <row r="32" spans="1:7" ht="10.5" x14ac:dyDescent="0.5">
      <c r="A32" s="330"/>
      <c r="B32" s="219" t="s">
        <v>684</v>
      </c>
      <c r="C32" s="220"/>
      <c r="D32" s="221" t="s">
        <v>327</v>
      </c>
      <c r="E32" s="219" t="s">
        <v>25</v>
      </c>
      <c r="F32" s="219" t="s">
        <v>319</v>
      </c>
      <c r="G32" s="222">
        <v>429.14</v>
      </c>
    </row>
    <row r="33" spans="1:7" ht="10.5" x14ac:dyDescent="0.5">
      <c r="A33" s="330"/>
      <c r="B33" s="219" t="s">
        <v>685</v>
      </c>
      <c r="C33" s="220"/>
      <c r="D33" s="221" t="s">
        <v>327</v>
      </c>
      <c r="E33" s="219" t="s">
        <v>25</v>
      </c>
      <c r="F33" s="219" t="s">
        <v>319</v>
      </c>
      <c r="G33" s="222">
        <v>8</v>
      </c>
    </row>
    <row r="34" spans="1:7" ht="10.5" x14ac:dyDescent="0.5">
      <c r="A34" s="330"/>
      <c r="B34" s="219" t="s">
        <v>686</v>
      </c>
      <c r="C34" s="220"/>
      <c r="D34" s="221" t="s">
        <v>327</v>
      </c>
      <c r="E34" s="219" t="s">
        <v>48</v>
      </c>
      <c r="F34" s="219" t="s">
        <v>319</v>
      </c>
      <c r="G34" s="222">
        <v>89</v>
      </c>
    </row>
    <row r="35" spans="1:7" ht="10.5" x14ac:dyDescent="0.5">
      <c r="A35" s="330"/>
      <c r="B35" s="219" t="s">
        <v>687</v>
      </c>
      <c r="C35" s="220"/>
      <c r="D35" s="221" t="s">
        <v>327</v>
      </c>
      <c r="E35" s="219" t="s">
        <v>48</v>
      </c>
      <c r="F35" s="219" t="s">
        <v>319</v>
      </c>
      <c r="G35" s="222">
        <v>89</v>
      </c>
    </row>
    <row r="36" spans="1:7" ht="10.5" x14ac:dyDescent="0.5">
      <c r="A36" s="330"/>
      <c r="B36" s="219" t="s">
        <v>688</v>
      </c>
      <c r="C36" s="220"/>
      <c r="D36" s="221" t="s">
        <v>327</v>
      </c>
      <c r="E36" s="219" t="s">
        <v>48</v>
      </c>
      <c r="F36" s="219" t="s">
        <v>319</v>
      </c>
      <c r="G36" s="222">
        <v>89</v>
      </c>
    </row>
    <row r="37" spans="1:7" ht="10.5" x14ac:dyDescent="0.5">
      <c r="A37" s="330"/>
      <c r="B37" s="219" t="s">
        <v>689</v>
      </c>
      <c r="C37" s="220"/>
      <c r="D37" s="221" t="s">
        <v>327</v>
      </c>
      <c r="E37" s="219" t="s">
        <v>48</v>
      </c>
      <c r="F37" s="219" t="s">
        <v>319</v>
      </c>
      <c r="G37" s="222">
        <v>122</v>
      </c>
    </row>
    <row r="38" spans="1:7" ht="10.5" x14ac:dyDescent="0.5">
      <c r="A38" s="330"/>
      <c r="B38" s="219" t="s">
        <v>690</v>
      </c>
      <c r="C38" s="220"/>
      <c r="D38" s="221" t="s">
        <v>327</v>
      </c>
      <c r="E38" s="219" t="s">
        <v>48</v>
      </c>
      <c r="F38" s="219" t="s">
        <v>319</v>
      </c>
      <c r="G38" s="222">
        <v>51</v>
      </c>
    </row>
    <row r="39" spans="1:7" ht="10.5" x14ac:dyDescent="0.5">
      <c r="A39" s="330"/>
      <c r="B39" s="219" t="s">
        <v>691</v>
      </c>
      <c r="C39" s="220"/>
      <c r="D39" s="221" t="s">
        <v>327</v>
      </c>
      <c r="E39" s="219" t="s">
        <v>25</v>
      </c>
      <c r="F39" s="219" t="s">
        <v>319</v>
      </c>
      <c r="G39" s="222">
        <v>34</v>
      </c>
    </row>
    <row r="40" spans="1:7" ht="10.5" x14ac:dyDescent="0.5">
      <c r="A40" s="330"/>
      <c r="B40" s="219" t="s">
        <v>692</v>
      </c>
      <c r="C40" s="220"/>
      <c r="D40" s="221" t="s">
        <v>327</v>
      </c>
      <c r="E40" s="219" t="s">
        <v>25</v>
      </c>
      <c r="F40" s="219" t="s">
        <v>319</v>
      </c>
      <c r="G40" s="222">
        <v>25</v>
      </c>
    </row>
    <row r="41" spans="1:7" ht="10.5" x14ac:dyDescent="0.5">
      <c r="A41" s="330"/>
      <c r="B41" s="219" t="s">
        <v>287</v>
      </c>
      <c r="C41" s="220"/>
      <c r="D41" s="221" t="s">
        <v>327</v>
      </c>
      <c r="E41" s="219" t="s">
        <v>48</v>
      </c>
      <c r="F41" s="219" t="s">
        <v>319</v>
      </c>
      <c r="G41" s="222">
        <v>420</v>
      </c>
    </row>
    <row r="42" spans="1:7" ht="10.5" x14ac:dyDescent="0.5">
      <c r="A42" s="330"/>
      <c r="B42" s="219" t="s">
        <v>294</v>
      </c>
      <c r="C42" s="220"/>
      <c r="D42" s="221" t="s">
        <v>327</v>
      </c>
      <c r="E42" s="219" t="s">
        <v>48</v>
      </c>
      <c r="F42" s="219" t="s">
        <v>319</v>
      </c>
      <c r="G42" s="222">
        <v>112</v>
      </c>
    </row>
    <row r="43" spans="1:7" ht="10.5" x14ac:dyDescent="0.5">
      <c r="A43" s="330"/>
      <c r="B43" s="219" t="s">
        <v>693</v>
      </c>
      <c r="C43" s="220"/>
      <c r="D43" s="221" t="s">
        <v>327</v>
      </c>
      <c r="E43" s="219" t="s">
        <v>48</v>
      </c>
      <c r="F43" s="219" t="s">
        <v>319</v>
      </c>
      <c r="G43" s="222">
        <v>1449.3</v>
      </c>
    </row>
    <row r="44" spans="1:7" ht="10.5" x14ac:dyDescent="0.5">
      <c r="A44" s="330"/>
      <c r="B44" s="219" t="s">
        <v>694</v>
      </c>
      <c r="C44" s="220"/>
      <c r="D44" s="221" t="s">
        <v>327</v>
      </c>
      <c r="E44" s="219" t="s">
        <v>48</v>
      </c>
      <c r="F44" s="219" t="s">
        <v>319</v>
      </c>
      <c r="G44" s="222">
        <v>257.32</v>
      </c>
    </row>
    <row r="45" spans="1:7" ht="10.5" x14ac:dyDescent="0.5">
      <c r="A45" s="330"/>
      <c r="B45" s="219" t="s">
        <v>286</v>
      </c>
      <c r="C45" s="220"/>
      <c r="D45" s="221" t="s">
        <v>327</v>
      </c>
      <c r="E45" s="219" t="s">
        <v>48</v>
      </c>
      <c r="F45" s="219" t="s">
        <v>319</v>
      </c>
      <c r="G45" s="222">
        <v>318.8</v>
      </c>
    </row>
    <row r="46" spans="1:7" ht="10.5" x14ac:dyDescent="0.5">
      <c r="A46" s="330"/>
      <c r="B46" s="219" t="s">
        <v>198</v>
      </c>
      <c r="C46" s="220" t="s">
        <v>333</v>
      </c>
      <c r="D46" s="221" t="s">
        <v>327</v>
      </c>
      <c r="E46" s="219" t="s">
        <v>14</v>
      </c>
      <c r="F46" s="219" t="s">
        <v>319</v>
      </c>
      <c r="G46" s="222">
        <v>1484</v>
      </c>
    </row>
    <row r="47" spans="1:7" ht="10.5" x14ac:dyDescent="0.5">
      <c r="A47" s="330"/>
      <c r="B47" s="219" t="s">
        <v>695</v>
      </c>
      <c r="C47" s="220"/>
      <c r="D47" s="221" t="s">
        <v>327</v>
      </c>
      <c r="E47" s="219" t="s">
        <v>334</v>
      </c>
      <c r="F47" s="219" t="s">
        <v>319</v>
      </c>
      <c r="G47" s="222">
        <v>33.5</v>
      </c>
    </row>
    <row r="48" spans="1:7" ht="10.5" x14ac:dyDescent="0.5">
      <c r="A48" s="330"/>
      <c r="B48" s="219" t="s">
        <v>696</v>
      </c>
      <c r="C48" s="220"/>
      <c r="D48" s="221" t="s">
        <v>327</v>
      </c>
      <c r="E48" s="219" t="s">
        <v>25</v>
      </c>
      <c r="F48" s="219" t="s">
        <v>319</v>
      </c>
      <c r="G48" s="222">
        <v>55</v>
      </c>
    </row>
    <row r="49" spans="1:7" ht="10.5" x14ac:dyDescent="0.5">
      <c r="A49" s="330"/>
      <c r="B49" s="219" t="s">
        <v>697</v>
      </c>
      <c r="C49" s="220"/>
      <c r="D49" s="221" t="s">
        <v>327</v>
      </c>
      <c r="E49" s="219" t="s">
        <v>25</v>
      </c>
      <c r="F49" s="219" t="s">
        <v>319</v>
      </c>
      <c r="G49" s="222">
        <v>48.72</v>
      </c>
    </row>
    <row r="50" spans="1:7" ht="10.5" x14ac:dyDescent="0.5">
      <c r="A50" s="330"/>
      <c r="B50" s="219" t="s">
        <v>178</v>
      </c>
      <c r="C50" s="220"/>
      <c r="D50" s="221" t="s">
        <v>327</v>
      </c>
      <c r="E50" s="219" t="s">
        <v>25</v>
      </c>
      <c r="F50" s="219" t="s">
        <v>319</v>
      </c>
      <c r="G50" s="222">
        <v>58.55</v>
      </c>
    </row>
    <row r="51" spans="1:7" ht="10.5" x14ac:dyDescent="0.5">
      <c r="A51" s="330"/>
      <c r="B51" s="219" t="s">
        <v>698</v>
      </c>
      <c r="C51" s="220"/>
      <c r="D51" s="221" t="s">
        <v>327</v>
      </c>
      <c r="E51" s="219" t="s">
        <v>25</v>
      </c>
      <c r="F51" s="219" t="s">
        <v>319</v>
      </c>
      <c r="G51" s="222">
        <v>71.92</v>
      </c>
    </row>
    <row r="52" spans="1:7" ht="10.5" x14ac:dyDescent="0.5">
      <c r="A52" s="330"/>
      <c r="B52" s="219" t="s">
        <v>699</v>
      </c>
      <c r="C52" s="220"/>
      <c r="D52" s="221" t="s">
        <v>327</v>
      </c>
      <c r="E52" s="219" t="s">
        <v>48</v>
      </c>
      <c r="F52" s="219" t="s">
        <v>319</v>
      </c>
      <c r="G52" s="222">
        <v>609.67999999999995</v>
      </c>
    </row>
    <row r="53" spans="1:7" ht="10.5" x14ac:dyDescent="0.5">
      <c r="A53" s="330"/>
      <c r="B53" s="219" t="s">
        <v>231</v>
      </c>
      <c r="C53" s="220"/>
      <c r="D53" s="221" t="s">
        <v>327</v>
      </c>
      <c r="E53" s="219" t="s">
        <v>48</v>
      </c>
      <c r="F53" s="219" t="s">
        <v>319</v>
      </c>
      <c r="G53" s="222">
        <v>3.91</v>
      </c>
    </row>
    <row r="54" spans="1:7" ht="10.5" x14ac:dyDescent="0.5">
      <c r="A54" s="330"/>
      <c r="B54" s="219" t="s">
        <v>216</v>
      </c>
      <c r="C54" s="220"/>
      <c r="D54" s="221" t="s">
        <v>327</v>
      </c>
      <c r="E54" s="219" t="s">
        <v>25</v>
      </c>
      <c r="F54" s="219" t="s">
        <v>319</v>
      </c>
      <c r="G54" s="222">
        <v>2.04</v>
      </c>
    </row>
    <row r="55" spans="1:7" ht="10.5" x14ac:dyDescent="0.5">
      <c r="A55" s="330"/>
      <c r="B55" s="219" t="s">
        <v>700</v>
      </c>
      <c r="C55" s="220"/>
      <c r="D55" s="221" t="s">
        <v>327</v>
      </c>
      <c r="E55" s="219" t="s">
        <v>334</v>
      </c>
      <c r="F55" s="219" t="s">
        <v>319</v>
      </c>
      <c r="G55" s="222">
        <v>27.5</v>
      </c>
    </row>
    <row r="56" spans="1:7" ht="10.5" x14ac:dyDescent="0.5">
      <c r="A56" s="330"/>
      <c r="B56" s="219" t="s">
        <v>184</v>
      </c>
      <c r="C56" s="220"/>
      <c r="D56" s="221" t="s">
        <v>327</v>
      </c>
      <c r="E56" s="219" t="s">
        <v>25</v>
      </c>
      <c r="F56" s="219" t="s">
        <v>319</v>
      </c>
      <c r="G56" s="222">
        <v>76.930000000000007</v>
      </c>
    </row>
    <row r="57" spans="1:7" ht="10.5" x14ac:dyDescent="0.5">
      <c r="A57" s="330"/>
      <c r="B57" s="219" t="s">
        <v>701</v>
      </c>
      <c r="C57" s="220"/>
      <c r="D57" s="221" t="s">
        <v>327</v>
      </c>
      <c r="E57" s="219" t="s">
        <v>25</v>
      </c>
      <c r="F57" s="219" t="s">
        <v>319</v>
      </c>
      <c r="G57" s="222">
        <v>115.06</v>
      </c>
    </row>
    <row r="58" spans="1:7" ht="10.5" x14ac:dyDescent="0.5">
      <c r="A58" s="330"/>
      <c r="B58" s="219" t="s">
        <v>702</v>
      </c>
      <c r="C58" s="220"/>
      <c r="D58" s="221" t="s">
        <v>327</v>
      </c>
      <c r="E58" s="219" t="s">
        <v>25</v>
      </c>
      <c r="F58" s="219" t="s">
        <v>319</v>
      </c>
      <c r="G58" s="222">
        <v>3</v>
      </c>
    </row>
    <row r="59" spans="1:7" ht="10.5" x14ac:dyDescent="0.5">
      <c r="A59" s="330"/>
      <c r="B59" s="219" t="s">
        <v>703</v>
      </c>
      <c r="C59" s="220"/>
      <c r="D59" s="221" t="s">
        <v>327</v>
      </c>
      <c r="E59" s="219" t="s">
        <v>25</v>
      </c>
      <c r="F59" s="219" t="s">
        <v>319</v>
      </c>
      <c r="G59" s="222">
        <v>2.3199999999999998</v>
      </c>
    </row>
    <row r="60" spans="1:7" ht="10.5" x14ac:dyDescent="0.5">
      <c r="A60" s="330"/>
      <c r="B60" s="219" t="s">
        <v>704</v>
      </c>
      <c r="C60" s="220"/>
      <c r="D60" s="221" t="s">
        <v>327</v>
      </c>
      <c r="E60" s="219" t="s">
        <v>25</v>
      </c>
      <c r="F60" s="219" t="s">
        <v>319</v>
      </c>
      <c r="G60" s="222">
        <v>105.79</v>
      </c>
    </row>
    <row r="61" spans="1:7" ht="10.5" x14ac:dyDescent="0.5">
      <c r="A61" s="330"/>
      <c r="B61" s="219" t="s">
        <v>705</v>
      </c>
      <c r="C61" s="220"/>
      <c r="D61" s="221" t="s">
        <v>327</v>
      </c>
      <c r="E61" s="219" t="s">
        <v>25</v>
      </c>
      <c r="F61" s="219" t="s">
        <v>319</v>
      </c>
      <c r="G61" s="222">
        <v>3.85</v>
      </c>
    </row>
    <row r="62" spans="1:7" ht="10.5" x14ac:dyDescent="0.5">
      <c r="A62" s="330"/>
      <c r="B62" s="219" t="s">
        <v>706</v>
      </c>
      <c r="C62" s="220"/>
      <c r="D62" s="221" t="s">
        <v>327</v>
      </c>
      <c r="E62" s="219" t="s">
        <v>25</v>
      </c>
      <c r="F62" s="219" t="s">
        <v>319</v>
      </c>
      <c r="G62" s="222">
        <v>203.21</v>
      </c>
    </row>
    <row r="63" spans="1:7" ht="10.5" x14ac:dyDescent="0.5">
      <c r="A63" s="330"/>
      <c r="B63" s="219" t="s">
        <v>707</v>
      </c>
      <c r="C63" s="220"/>
      <c r="D63" s="221" t="s">
        <v>327</v>
      </c>
      <c r="E63" s="219" t="s">
        <v>48</v>
      </c>
      <c r="F63" s="219" t="s">
        <v>319</v>
      </c>
      <c r="G63" s="222">
        <v>873.47</v>
      </c>
    </row>
    <row r="64" spans="1:7" ht="10.5" x14ac:dyDescent="0.5">
      <c r="A64" s="330"/>
      <c r="B64" s="219" t="s">
        <v>708</v>
      </c>
      <c r="C64" s="220"/>
      <c r="D64" s="221" t="s">
        <v>327</v>
      </c>
      <c r="E64" s="219" t="s">
        <v>25</v>
      </c>
      <c r="F64" s="219" t="s">
        <v>319</v>
      </c>
      <c r="G64" s="222">
        <v>305.54000000000002</v>
      </c>
    </row>
    <row r="65" spans="1:7" ht="10.5" x14ac:dyDescent="0.5">
      <c r="A65" s="330"/>
      <c r="B65" s="219" t="s">
        <v>709</v>
      </c>
      <c r="C65" s="220"/>
      <c r="D65" s="221" t="s">
        <v>327</v>
      </c>
      <c r="E65" s="219" t="s">
        <v>25</v>
      </c>
      <c r="F65" s="219" t="s">
        <v>319</v>
      </c>
      <c r="G65" s="222">
        <v>4.62</v>
      </c>
    </row>
    <row r="66" spans="1:7" ht="10.5" x14ac:dyDescent="0.5">
      <c r="A66" s="330"/>
      <c r="B66" s="219" t="s">
        <v>710</v>
      </c>
      <c r="C66" s="220"/>
      <c r="D66" s="221" t="s">
        <v>327</v>
      </c>
      <c r="E66" s="219" t="s">
        <v>25</v>
      </c>
      <c r="F66" s="219" t="s">
        <v>319</v>
      </c>
      <c r="G66" s="222">
        <v>259.81</v>
      </c>
    </row>
    <row r="67" spans="1:7" ht="10.5" x14ac:dyDescent="0.5">
      <c r="A67" s="330"/>
      <c r="B67" s="219" t="s">
        <v>711</v>
      </c>
      <c r="C67" s="220" t="s">
        <v>335</v>
      </c>
      <c r="D67" s="221" t="s">
        <v>327</v>
      </c>
      <c r="E67" s="219" t="s">
        <v>83</v>
      </c>
      <c r="F67" s="219" t="s">
        <v>319</v>
      </c>
      <c r="G67" s="222">
        <v>1.03</v>
      </c>
    </row>
    <row r="68" spans="1:7" ht="10.5" x14ac:dyDescent="0.5">
      <c r="A68" s="330"/>
      <c r="B68" s="219" t="s">
        <v>712</v>
      </c>
      <c r="C68" s="220"/>
      <c r="D68" s="221" t="s">
        <v>327</v>
      </c>
      <c r="E68" s="219" t="s">
        <v>83</v>
      </c>
      <c r="F68" s="219" t="s">
        <v>319</v>
      </c>
      <c r="G68" s="222">
        <v>2.5</v>
      </c>
    </row>
    <row r="69" spans="1:7" ht="10.5" x14ac:dyDescent="0.5">
      <c r="A69" s="330"/>
      <c r="B69" s="219" t="s">
        <v>713</v>
      </c>
      <c r="C69" s="220" t="s">
        <v>336</v>
      </c>
      <c r="D69" s="221" t="s">
        <v>327</v>
      </c>
      <c r="E69" s="219" t="s">
        <v>83</v>
      </c>
      <c r="F69" s="219" t="s">
        <v>319</v>
      </c>
      <c r="G69" s="222">
        <v>2.4900000000000002</v>
      </c>
    </row>
    <row r="70" spans="1:7" ht="10.5" x14ac:dyDescent="0.5">
      <c r="A70" s="330"/>
      <c r="B70" s="219" t="s">
        <v>714</v>
      </c>
      <c r="C70" s="220"/>
      <c r="D70" s="221" t="s">
        <v>327</v>
      </c>
      <c r="E70" s="219" t="s">
        <v>25</v>
      </c>
      <c r="F70" s="219" t="s">
        <v>319</v>
      </c>
      <c r="G70" s="222">
        <v>3</v>
      </c>
    </row>
    <row r="71" spans="1:7" ht="10.5" x14ac:dyDescent="0.5">
      <c r="A71" s="330"/>
      <c r="B71" s="219" t="s">
        <v>715</v>
      </c>
      <c r="C71" s="220"/>
      <c r="D71" s="221" t="s">
        <v>327</v>
      </c>
      <c r="E71" s="219" t="s">
        <v>48</v>
      </c>
      <c r="F71" s="219" t="s">
        <v>319</v>
      </c>
      <c r="G71" s="222">
        <v>0.8</v>
      </c>
    </row>
    <row r="72" spans="1:7" ht="10.5" x14ac:dyDescent="0.5">
      <c r="A72" s="330"/>
      <c r="B72" s="219" t="s">
        <v>716</v>
      </c>
      <c r="C72" s="220"/>
      <c r="D72" s="221" t="s">
        <v>327</v>
      </c>
      <c r="E72" s="219" t="s">
        <v>48</v>
      </c>
      <c r="F72" s="219" t="s">
        <v>319</v>
      </c>
      <c r="G72" s="222">
        <v>250</v>
      </c>
    </row>
    <row r="73" spans="1:7" ht="10.5" x14ac:dyDescent="0.5">
      <c r="A73" s="330"/>
      <c r="B73" s="219" t="s">
        <v>717</v>
      </c>
      <c r="C73" s="220"/>
      <c r="D73" s="221" t="s">
        <v>327</v>
      </c>
      <c r="E73" s="219" t="s">
        <v>48</v>
      </c>
      <c r="F73" s="219" t="s">
        <v>319</v>
      </c>
      <c r="G73" s="222">
        <v>7.5</v>
      </c>
    </row>
    <row r="74" spans="1:7" ht="10.5" x14ac:dyDescent="0.5">
      <c r="A74" s="330"/>
      <c r="B74" s="219" t="s">
        <v>718</v>
      </c>
      <c r="C74" s="220" t="s">
        <v>337</v>
      </c>
      <c r="D74" s="221" t="s">
        <v>327</v>
      </c>
      <c r="E74" s="219" t="s">
        <v>48</v>
      </c>
      <c r="F74" s="219" t="s">
        <v>319</v>
      </c>
      <c r="G74" s="222">
        <v>1346.26</v>
      </c>
    </row>
    <row r="75" spans="1:7" ht="10.5" x14ac:dyDescent="0.5">
      <c r="A75" s="330"/>
      <c r="B75" s="219" t="s">
        <v>719</v>
      </c>
      <c r="C75" s="220" t="s">
        <v>338</v>
      </c>
      <c r="D75" s="221" t="s">
        <v>327</v>
      </c>
      <c r="E75" s="219" t="s">
        <v>48</v>
      </c>
      <c r="F75" s="219" t="s">
        <v>319</v>
      </c>
      <c r="G75" s="222">
        <v>1709.44</v>
      </c>
    </row>
    <row r="76" spans="1:7" ht="10.5" x14ac:dyDescent="0.5">
      <c r="A76" s="330"/>
      <c r="B76" s="219" t="s">
        <v>720</v>
      </c>
      <c r="C76" s="220" t="s">
        <v>339</v>
      </c>
      <c r="D76" s="221" t="s">
        <v>327</v>
      </c>
      <c r="E76" s="219" t="s">
        <v>64</v>
      </c>
      <c r="F76" s="219" t="s">
        <v>319</v>
      </c>
      <c r="G76" s="222">
        <v>33.630000000000003</v>
      </c>
    </row>
    <row r="77" spans="1:7" ht="10.5" x14ac:dyDescent="0.5">
      <c r="A77" s="330"/>
      <c r="B77" s="219" t="s">
        <v>115</v>
      </c>
      <c r="C77" s="220" t="s">
        <v>340</v>
      </c>
      <c r="D77" s="221" t="s">
        <v>327</v>
      </c>
      <c r="E77" s="219" t="s">
        <v>64</v>
      </c>
      <c r="F77" s="219" t="s">
        <v>319</v>
      </c>
      <c r="G77" s="222">
        <v>20.95</v>
      </c>
    </row>
    <row r="78" spans="1:7" ht="10.5" x14ac:dyDescent="0.5">
      <c r="A78" s="330"/>
      <c r="B78" s="219" t="s">
        <v>721</v>
      </c>
      <c r="C78" s="220" t="s">
        <v>341</v>
      </c>
      <c r="D78" s="221" t="s">
        <v>327</v>
      </c>
      <c r="E78" s="219" t="s">
        <v>64</v>
      </c>
      <c r="F78" s="219" t="s">
        <v>319</v>
      </c>
      <c r="G78" s="222">
        <v>21.7</v>
      </c>
    </row>
    <row r="79" spans="1:7" ht="10.5" x14ac:dyDescent="0.5">
      <c r="A79" s="330"/>
      <c r="B79" s="219" t="s">
        <v>722</v>
      </c>
      <c r="C79" s="220" t="s">
        <v>342</v>
      </c>
      <c r="D79" s="221" t="s">
        <v>327</v>
      </c>
      <c r="E79" s="219" t="s">
        <v>48</v>
      </c>
      <c r="F79" s="219" t="s">
        <v>319</v>
      </c>
      <c r="G79" s="222">
        <v>419.97</v>
      </c>
    </row>
    <row r="80" spans="1:7" ht="10.5" x14ac:dyDescent="0.5">
      <c r="A80" s="330"/>
      <c r="B80" s="219" t="s">
        <v>723</v>
      </c>
      <c r="C80" s="220" t="s">
        <v>343</v>
      </c>
      <c r="D80" s="221" t="s">
        <v>327</v>
      </c>
      <c r="E80" s="219" t="s">
        <v>64</v>
      </c>
      <c r="F80" s="219" t="s">
        <v>319</v>
      </c>
      <c r="G80" s="222">
        <v>332</v>
      </c>
    </row>
    <row r="81" spans="1:7" ht="10.5" x14ac:dyDescent="0.5">
      <c r="A81" s="330"/>
      <c r="B81" s="219" t="s">
        <v>724</v>
      </c>
      <c r="C81" s="220" t="s">
        <v>344</v>
      </c>
      <c r="D81" s="221" t="s">
        <v>327</v>
      </c>
      <c r="E81" s="219" t="s">
        <v>64</v>
      </c>
      <c r="F81" s="219" t="s">
        <v>319</v>
      </c>
      <c r="G81" s="222">
        <v>240</v>
      </c>
    </row>
    <row r="82" spans="1:7" ht="10.5" x14ac:dyDescent="0.5">
      <c r="A82" s="330"/>
      <c r="B82" s="219" t="s">
        <v>725</v>
      </c>
      <c r="C82" s="220"/>
      <c r="D82" s="221" t="s">
        <v>327</v>
      </c>
      <c r="E82" s="219" t="s">
        <v>64</v>
      </c>
      <c r="F82" s="219" t="s">
        <v>319</v>
      </c>
      <c r="G82" s="222">
        <v>293</v>
      </c>
    </row>
    <row r="83" spans="1:7" ht="10.5" x14ac:dyDescent="0.5">
      <c r="A83" s="330"/>
      <c r="B83" s="219" t="s">
        <v>726</v>
      </c>
      <c r="C83" s="220"/>
      <c r="D83" s="221" t="s">
        <v>327</v>
      </c>
      <c r="E83" s="219" t="s">
        <v>64</v>
      </c>
      <c r="F83" s="219" t="s">
        <v>319</v>
      </c>
      <c r="G83" s="222">
        <v>180</v>
      </c>
    </row>
    <row r="84" spans="1:7" ht="10.5" x14ac:dyDescent="0.5">
      <c r="A84" s="330"/>
      <c r="B84" s="219" t="s">
        <v>224</v>
      </c>
      <c r="C84" s="220" t="s">
        <v>345</v>
      </c>
      <c r="D84" s="221" t="s">
        <v>327</v>
      </c>
      <c r="E84" s="219" t="s">
        <v>48</v>
      </c>
      <c r="F84" s="219" t="s">
        <v>319</v>
      </c>
      <c r="G84" s="222">
        <v>1026.55</v>
      </c>
    </row>
    <row r="85" spans="1:7" ht="10.5" x14ac:dyDescent="0.5">
      <c r="A85" s="330"/>
      <c r="B85" s="219" t="s">
        <v>727</v>
      </c>
      <c r="C85" s="220"/>
      <c r="D85" s="221" t="s">
        <v>327</v>
      </c>
      <c r="E85" s="219" t="s">
        <v>64</v>
      </c>
      <c r="F85" s="219" t="s">
        <v>319</v>
      </c>
      <c r="G85" s="222">
        <v>21.8</v>
      </c>
    </row>
    <row r="86" spans="1:7" ht="10.5" x14ac:dyDescent="0.5">
      <c r="A86" s="330"/>
      <c r="B86" s="219" t="s">
        <v>728</v>
      </c>
      <c r="C86" s="220"/>
      <c r="D86" s="221" t="s">
        <v>327</v>
      </c>
      <c r="E86" s="219" t="s">
        <v>25</v>
      </c>
      <c r="F86" s="219" t="s">
        <v>319</v>
      </c>
      <c r="G86" s="222">
        <v>13.67</v>
      </c>
    </row>
    <row r="87" spans="1:7" ht="10.5" x14ac:dyDescent="0.5">
      <c r="A87" s="330"/>
      <c r="B87" s="219" t="s">
        <v>729</v>
      </c>
      <c r="C87" s="220"/>
      <c r="D87" s="221" t="s">
        <v>327</v>
      </c>
      <c r="E87" s="219" t="s">
        <v>25</v>
      </c>
      <c r="F87" s="219" t="s">
        <v>319</v>
      </c>
      <c r="G87" s="222">
        <v>4.3499999999999996</v>
      </c>
    </row>
    <row r="88" spans="1:7" ht="10.5" x14ac:dyDescent="0.5">
      <c r="A88" s="330"/>
      <c r="B88" s="219" t="s">
        <v>730</v>
      </c>
      <c r="C88" s="220"/>
      <c r="D88" s="221" t="s">
        <v>327</v>
      </c>
      <c r="E88" s="219" t="s">
        <v>25</v>
      </c>
      <c r="F88" s="219" t="s">
        <v>319</v>
      </c>
      <c r="G88" s="222">
        <v>9.09</v>
      </c>
    </row>
    <row r="89" spans="1:7" ht="10.5" x14ac:dyDescent="0.5">
      <c r="A89" s="330"/>
      <c r="B89" s="219" t="s">
        <v>731</v>
      </c>
      <c r="C89" s="220"/>
      <c r="D89" s="221" t="s">
        <v>327</v>
      </c>
      <c r="E89" s="219" t="s">
        <v>25</v>
      </c>
      <c r="F89" s="219" t="s">
        <v>319</v>
      </c>
      <c r="G89" s="222">
        <v>19.170000000000002</v>
      </c>
    </row>
    <row r="90" spans="1:7" ht="10.5" x14ac:dyDescent="0.5">
      <c r="A90" s="330"/>
      <c r="B90" s="219" t="s">
        <v>732</v>
      </c>
      <c r="C90" s="220"/>
      <c r="D90" s="221" t="s">
        <v>327</v>
      </c>
      <c r="E90" s="219" t="s">
        <v>25</v>
      </c>
      <c r="F90" s="219" t="s">
        <v>319</v>
      </c>
      <c r="G90" s="222">
        <v>26.67</v>
      </c>
    </row>
    <row r="91" spans="1:7" ht="10.5" x14ac:dyDescent="0.5">
      <c r="A91" s="330"/>
      <c r="B91" s="219" t="s">
        <v>733</v>
      </c>
      <c r="C91" s="220"/>
      <c r="D91" s="221" t="s">
        <v>327</v>
      </c>
      <c r="E91" s="219" t="s">
        <v>25</v>
      </c>
      <c r="F91" s="219" t="s">
        <v>319</v>
      </c>
      <c r="G91" s="222">
        <v>9.09</v>
      </c>
    </row>
    <row r="92" spans="1:7" ht="10.5" x14ac:dyDescent="0.5">
      <c r="A92" s="330"/>
      <c r="B92" s="219" t="s">
        <v>734</v>
      </c>
      <c r="C92" s="220" t="s">
        <v>346</v>
      </c>
      <c r="D92" s="221" t="s">
        <v>327</v>
      </c>
      <c r="E92" s="219" t="s">
        <v>14</v>
      </c>
      <c r="F92" s="219" t="s">
        <v>319</v>
      </c>
      <c r="G92" s="222">
        <v>30</v>
      </c>
    </row>
    <row r="93" spans="1:7" ht="10.5" x14ac:dyDescent="0.5">
      <c r="A93" s="330"/>
      <c r="B93" s="219" t="s">
        <v>735</v>
      </c>
      <c r="C93" s="220" t="s">
        <v>346</v>
      </c>
      <c r="D93" s="221" t="s">
        <v>327</v>
      </c>
      <c r="E93" s="219" t="s">
        <v>25</v>
      </c>
      <c r="F93" s="219" t="s">
        <v>319</v>
      </c>
      <c r="G93" s="222">
        <v>50</v>
      </c>
    </row>
    <row r="94" spans="1:7" ht="10.5" x14ac:dyDescent="0.5">
      <c r="A94" s="330"/>
      <c r="B94" s="219" t="s">
        <v>736</v>
      </c>
      <c r="C94" s="220" t="s">
        <v>346</v>
      </c>
      <c r="D94" s="221" t="s">
        <v>327</v>
      </c>
      <c r="E94" s="219" t="s">
        <v>14</v>
      </c>
      <c r="F94" s="219" t="s">
        <v>319</v>
      </c>
      <c r="G94" s="222">
        <v>71.739999999999995</v>
      </c>
    </row>
    <row r="95" spans="1:7" ht="10.5" x14ac:dyDescent="0.5">
      <c r="A95" s="330"/>
      <c r="B95" s="219" t="s">
        <v>737</v>
      </c>
      <c r="C95" s="220" t="s">
        <v>346</v>
      </c>
      <c r="D95" s="221" t="s">
        <v>327</v>
      </c>
      <c r="E95" s="219" t="s">
        <v>14</v>
      </c>
      <c r="F95" s="219" t="s">
        <v>319</v>
      </c>
      <c r="G95" s="222">
        <v>120.5</v>
      </c>
    </row>
    <row r="96" spans="1:7" ht="10.5" x14ac:dyDescent="0.5">
      <c r="A96" s="330"/>
      <c r="B96" s="219" t="s">
        <v>738</v>
      </c>
      <c r="C96" s="220" t="s">
        <v>347</v>
      </c>
      <c r="D96" s="221" t="s">
        <v>327</v>
      </c>
      <c r="E96" s="219" t="s">
        <v>14</v>
      </c>
      <c r="F96" s="219" t="s">
        <v>319</v>
      </c>
      <c r="G96" s="222">
        <v>184.29</v>
      </c>
    </row>
    <row r="97" spans="1:7" ht="10.5" x14ac:dyDescent="0.5">
      <c r="A97" s="330"/>
      <c r="B97" s="219" t="s">
        <v>739</v>
      </c>
      <c r="C97" s="220" t="s">
        <v>348</v>
      </c>
      <c r="D97" s="221" t="s">
        <v>327</v>
      </c>
      <c r="E97" s="219" t="s">
        <v>14</v>
      </c>
      <c r="F97" s="219" t="s">
        <v>319</v>
      </c>
      <c r="G97" s="222">
        <v>518.45000000000005</v>
      </c>
    </row>
    <row r="98" spans="1:7" ht="10.5" x14ac:dyDescent="0.5">
      <c r="A98" s="330"/>
      <c r="B98" s="219" t="s">
        <v>740</v>
      </c>
      <c r="C98" s="220" t="s">
        <v>349</v>
      </c>
      <c r="D98" s="221" t="s">
        <v>327</v>
      </c>
      <c r="E98" s="219" t="s">
        <v>14</v>
      </c>
      <c r="F98" s="219" t="s">
        <v>319</v>
      </c>
      <c r="G98" s="222">
        <v>633.14</v>
      </c>
    </row>
    <row r="99" spans="1:7" ht="10.5" x14ac:dyDescent="0.5">
      <c r="A99" s="330"/>
      <c r="B99" s="219" t="s">
        <v>741</v>
      </c>
      <c r="C99" s="220"/>
      <c r="D99" s="221" t="s">
        <v>327</v>
      </c>
      <c r="E99" s="219" t="s">
        <v>48</v>
      </c>
      <c r="F99" s="219" t="s">
        <v>319</v>
      </c>
      <c r="G99" s="222">
        <v>65</v>
      </c>
    </row>
    <row r="100" spans="1:7" ht="10.5" x14ac:dyDescent="0.5">
      <c r="A100" s="330"/>
      <c r="B100" s="219" t="s">
        <v>742</v>
      </c>
      <c r="C100" s="220"/>
      <c r="D100" s="221" t="s">
        <v>327</v>
      </c>
      <c r="E100" s="219" t="s">
        <v>14</v>
      </c>
      <c r="F100" s="219" t="s">
        <v>319</v>
      </c>
      <c r="G100" s="222">
        <v>12000</v>
      </c>
    </row>
    <row r="101" spans="1:7" ht="10.5" x14ac:dyDescent="0.5">
      <c r="A101" s="330"/>
      <c r="B101" s="219" t="s">
        <v>350</v>
      </c>
      <c r="C101" s="220" t="s">
        <v>350</v>
      </c>
      <c r="D101" s="221" t="s">
        <v>327</v>
      </c>
      <c r="E101" s="219" t="s">
        <v>25</v>
      </c>
      <c r="F101" s="219" t="s">
        <v>319</v>
      </c>
      <c r="G101" s="222">
        <v>5</v>
      </c>
    </row>
    <row r="102" spans="1:7" ht="10.5" x14ac:dyDescent="0.5">
      <c r="A102" s="330"/>
      <c r="B102" s="219" t="s">
        <v>150</v>
      </c>
      <c r="C102" s="220"/>
      <c r="D102" s="221" t="s">
        <v>327</v>
      </c>
      <c r="E102" s="219" t="s">
        <v>48</v>
      </c>
      <c r="F102" s="219" t="s">
        <v>319</v>
      </c>
      <c r="G102" s="222">
        <v>2</v>
      </c>
    </row>
    <row r="103" spans="1:7" ht="10.5" x14ac:dyDescent="0.5">
      <c r="A103" s="330"/>
      <c r="B103" s="219" t="s">
        <v>743</v>
      </c>
      <c r="C103" s="220" t="s">
        <v>351</v>
      </c>
      <c r="D103" s="221" t="s">
        <v>327</v>
      </c>
      <c r="E103" s="219" t="s">
        <v>64</v>
      </c>
      <c r="F103" s="219" t="s">
        <v>319</v>
      </c>
      <c r="G103" s="222">
        <v>37.5</v>
      </c>
    </row>
    <row r="104" spans="1:7" ht="10.5" x14ac:dyDescent="0.5">
      <c r="A104" s="330"/>
      <c r="B104" s="219" t="s">
        <v>213</v>
      </c>
      <c r="C104" s="220"/>
      <c r="D104" s="221" t="s">
        <v>327</v>
      </c>
      <c r="E104" s="219" t="s">
        <v>25</v>
      </c>
      <c r="F104" s="219" t="s">
        <v>319</v>
      </c>
      <c r="G104" s="222">
        <v>0.11</v>
      </c>
    </row>
    <row r="105" spans="1:7" ht="10.5" x14ac:dyDescent="0.5">
      <c r="A105" s="330"/>
      <c r="B105" s="219" t="s">
        <v>744</v>
      </c>
      <c r="C105" s="220"/>
      <c r="D105" s="221" t="s">
        <v>327</v>
      </c>
      <c r="E105" s="219" t="s">
        <v>48</v>
      </c>
      <c r="F105" s="219" t="s">
        <v>319</v>
      </c>
      <c r="G105" s="222">
        <v>1800</v>
      </c>
    </row>
    <row r="106" spans="1:7" ht="10.5" x14ac:dyDescent="0.5">
      <c r="A106" s="330"/>
      <c r="B106" s="219" t="s">
        <v>221</v>
      </c>
      <c r="C106" s="220" t="s">
        <v>352</v>
      </c>
      <c r="D106" s="221" t="s">
        <v>327</v>
      </c>
      <c r="E106" s="219" t="s">
        <v>48</v>
      </c>
      <c r="F106" s="219" t="s">
        <v>319</v>
      </c>
      <c r="G106" s="222">
        <v>737.8</v>
      </c>
    </row>
    <row r="107" spans="1:7" ht="10.5" x14ac:dyDescent="0.5">
      <c r="A107" s="330"/>
      <c r="B107" s="219" t="s">
        <v>745</v>
      </c>
      <c r="C107" s="220"/>
      <c r="D107" s="221" t="s">
        <v>327</v>
      </c>
      <c r="E107" s="219" t="s">
        <v>48</v>
      </c>
      <c r="F107" s="219" t="s">
        <v>319</v>
      </c>
      <c r="G107" s="222">
        <v>73.97</v>
      </c>
    </row>
    <row r="108" spans="1:7" ht="10.5" x14ac:dyDescent="0.5">
      <c r="A108" s="330"/>
      <c r="B108" s="219" t="s">
        <v>746</v>
      </c>
      <c r="C108" s="220"/>
      <c r="D108" s="221" t="s">
        <v>327</v>
      </c>
      <c r="E108" s="219" t="s">
        <v>48</v>
      </c>
      <c r="F108" s="219" t="s">
        <v>319</v>
      </c>
      <c r="G108" s="222">
        <v>164.31</v>
      </c>
    </row>
    <row r="109" spans="1:7" ht="10.5" x14ac:dyDescent="0.5">
      <c r="A109" s="330"/>
      <c r="B109" s="219" t="s">
        <v>747</v>
      </c>
      <c r="C109" s="220"/>
      <c r="D109" s="221" t="s">
        <v>327</v>
      </c>
      <c r="E109" s="219" t="s">
        <v>48</v>
      </c>
      <c r="F109" s="219" t="s">
        <v>319</v>
      </c>
      <c r="G109" s="222">
        <v>220.46</v>
      </c>
    </row>
    <row r="110" spans="1:7" ht="10.5" x14ac:dyDescent="0.5">
      <c r="A110" s="330"/>
      <c r="B110" s="219" t="s">
        <v>748</v>
      </c>
      <c r="C110" s="220"/>
      <c r="D110" s="221" t="s">
        <v>327</v>
      </c>
      <c r="E110" s="219" t="s">
        <v>48</v>
      </c>
      <c r="F110" s="219" t="s">
        <v>319</v>
      </c>
      <c r="G110" s="222">
        <v>3640.84</v>
      </c>
    </row>
    <row r="111" spans="1:7" ht="10.5" x14ac:dyDescent="0.5">
      <c r="A111" s="330"/>
      <c r="B111" s="219" t="s">
        <v>749</v>
      </c>
      <c r="C111" s="220"/>
      <c r="D111" s="221" t="s">
        <v>327</v>
      </c>
      <c r="E111" s="219" t="s">
        <v>48</v>
      </c>
      <c r="F111" s="219" t="s">
        <v>319</v>
      </c>
      <c r="G111" s="222">
        <v>1597.57</v>
      </c>
    </row>
    <row r="112" spans="1:7" ht="10.5" x14ac:dyDescent="0.5">
      <c r="A112" s="330"/>
      <c r="B112" s="219" t="s">
        <v>750</v>
      </c>
      <c r="C112" s="220"/>
      <c r="D112" s="221" t="s">
        <v>327</v>
      </c>
      <c r="E112" s="219" t="s">
        <v>25</v>
      </c>
      <c r="F112" s="219" t="s">
        <v>319</v>
      </c>
      <c r="G112" s="222">
        <v>5</v>
      </c>
    </row>
    <row r="113" spans="1:7" ht="10.5" x14ac:dyDescent="0.5">
      <c r="A113" s="330"/>
      <c r="B113" s="219" t="s">
        <v>193</v>
      </c>
      <c r="C113" s="220"/>
      <c r="D113" s="221" t="s">
        <v>327</v>
      </c>
      <c r="E113" s="219" t="s">
        <v>83</v>
      </c>
      <c r="F113" s="219" t="s">
        <v>319</v>
      </c>
      <c r="G113" s="222">
        <v>10</v>
      </c>
    </row>
    <row r="114" spans="1:7" ht="10.5" x14ac:dyDescent="0.5">
      <c r="A114" s="330"/>
      <c r="B114" s="219" t="s">
        <v>751</v>
      </c>
      <c r="C114" s="220"/>
      <c r="D114" s="221" t="s">
        <v>327</v>
      </c>
      <c r="E114" s="219" t="s">
        <v>83</v>
      </c>
      <c r="F114" s="219" t="s">
        <v>319</v>
      </c>
      <c r="G114" s="222">
        <v>7.2</v>
      </c>
    </row>
    <row r="115" spans="1:7" ht="10.5" x14ac:dyDescent="0.5">
      <c r="A115" s="330"/>
      <c r="B115" s="219" t="s">
        <v>208</v>
      </c>
      <c r="C115" s="220" t="s">
        <v>353</v>
      </c>
      <c r="D115" s="221" t="s">
        <v>327</v>
      </c>
      <c r="E115" s="219" t="s">
        <v>64</v>
      </c>
      <c r="F115" s="219" t="s">
        <v>319</v>
      </c>
      <c r="G115" s="222">
        <v>41</v>
      </c>
    </row>
    <row r="116" spans="1:7" ht="10.5" x14ac:dyDescent="0.5">
      <c r="A116" s="330"/>
      <c r="B116" s="219" t="s">
        <v>752</v>
      </c>
      <c r="C116" s="220"/>
      <c r="D116" s="221" t="s">
        <v>327</v>
      </c>
      <c r="E116" s="219" t="s">
        <v>48</v>
      </c>
      <c r="F116" s="219" t="s">
        <v>319</v>
      </c>
      <c r="G116" s="222">
        <v>900</v>
      </c>
    </row>
    <row r="117" spans="1:7" ht="10.5" x14ac:dyDescent="0.5">
      <c r="A117" s="330"/>
      <c r="B117" s="219" t="s">
        <v>354</v>
      </c>
      <c r="C117" s="220" t="s">
        <v>354</v>
      </c>
      <c r="D117" s="221" t="s">
        <v>327</v>
      </c>
      <c r="E117" s="219" t="s">
        <v>64</v>
      </c>
      <c r="F117" s="219" t="s">
        <v>319</v>
      </c>
      <c r="G117" s="222">
        <v>13.97</v>
      </c>
    </row>
    <row r="118" spans="1:7" ht="10.5" x14ac:dyDescent="0.5">
      <c r="A118" s="330"/>
      <c r="B118" s="219" t="s">
        <v>753</v>
      </c>
      <c r="C118" s="220" t="s">
        <v>355</v>
      </c>
      <c r="D118" s="221" t="s">
        <v>327</v>
      </c>
      <c r="E118" s="219" t="s">
        <v>64</v>
      </c>
      <c r="F118" s="219" t="s">
        <v>319</v>
      </c>
      <c r="G118" s="222">
        <v>13.97</v>
      </c>
    </row>
    <row r="119" spans="1:7" ht="10.5" x14ac:dyDescent="0.5">
      <c r="A119" s="330"/>
      <c r="B119" s="219" t="s">
        <v>754</v>
      </c>
      <c r="C119" s="220"/>
      <c r="D119" s="221" t="s">
        <v>327</v>
      </c>
      <c r="E119" s="219" t="s">
        <v>48</v>
      </c>
      <c r="F119" s="219" t="s">
        <v>319</v>
      </c>
      <c r="G119" s="222">
        <v>1000</v>
      </c>
    </row>
    <row r="120" spans="1:7" ht="10.5" x14ac:dyDescent="0.5">
      <c r="A120" s="330"/>
      <c r="B120" s="219" t="s">
        <v>755</v>
      </c>
      <c r="C120" s="220"/>
      <c r="D120" s="221" t="s">
        <v>327</v>
      </c>
      <c r="E120" s="219" t="s">
        <v>48</v>
      </c>
      <c r="F120" s="219" t="s">
        <v>319</v>
      </c>
      <c r="G120" s="222">
        <v>50</v>
      </c>
    </row>
    <row r="121" spans="1:7" ht="10.5" x14ac:dyDescent="0.5">
      <c r="A121" s="330"/>
      <c r="B121" s="219" t="s">
        <v>756</v>
      </c>
      <c r="C121" s="220"/>
      <c r="D121" s="221" t="s">
        <v>327</v>
      </c>
      <c r="E121" s="219" t="s">
        <v>48</v>
      </c>
      <c r="F121" s="219" t="s">
        <v>319</v>
      </c>
      <c r="G121" s="222">
        <v>2342.34</v>
      </c>
    </row>
    <row r="122" spans="1:7" ht="10.5" x14ac:dyDescent="0.5">
      <c r="A122" s="330"/>
      <c r="B122" s="219" t="s">
        <v>757</v>
      </c>
      <c r="C122" s="220"/>
      <c r="D122" s="221" t="s">
        <v>327</v>
      </c>
      <c r="E122" s="219" t="s">
        <v>14</v>
      </c>
      <c r="F122" s="219" t="s">
        <v>319</v>
      </c>
      <c r="G122" s="222">
        <v>1918.8</v>
      </c>
    </row>
    <row r="123" spans="1:7" ht="10.5" x14ac:dyDescent="0.5">
      <c r="A123" s="330"/>
      <c r="B123" s="219" t="s">
        <v>758</v>
      </c>
      <c r="C123" s="220"/>
      <c r="D123" s="221" t="s">
        <v>327</v>
      </c>
      <c r="E123" s="219" t="s">
        <v>48</v>
      </c>
      <c r="F123" s="219" t="s">
        <v>319</v>
      </c>
      <c r="G123" s="222">
        <v>5347.16</v>
      </c>
    </row>
    <row r="124" spans="1:7" ht="10.5" x14ac:dyDescent="0.5">
      <c r="A124" s="330"/>
      <c r="B124" s="219" t="s">
        <v>759</v>
      </c>
      <c r="C124" s="220"/>
      <c r="D124" s="221" t="s">
        <v>327</v>
      </c>
      <c r="E124" s="219" t="s">
        <v>48</v>
      </c>
      <c r="F124" s="219" t="s">
        <v>319</v>
      </c>
      <c r="G124" s="222">
        <v>2484.3000000000002</v>
      </c>
    </row>
    <row r="125" spans="1:7" ht="10.5" x14ac:dyDescent="0.5">
      <c r="A125" s="330"/>
      <c r="B125" s="219" t="s">
        <v>760</v>
      </c>
      <c r="C125" s="220"/>
      <c r="D125" s="221" t="s">
        <v>327</v>
      </c>
      <c r="E125" s="219" t="s">
        <v>48</v>
      </c>
      <c r="F125" s="219" t="s">
        <v>319</v>
      </c>
      <c r="G125" s="222">
        <v>320</v>
      </c>
    </row>
    <row r="126" spans="1:7" ht="10.5" x14ac:dyDescent="0.5">
      <c r="A126" s="330"/>
      <c r="B126" s="219" t="s">
        <v>202</v>
      </c>
      <c r="C126" s="220" t="s">
        <v>356</v>
      </c>
      <c r="D126" s="221" t="s">
        <v>327</v>
      </c>
      <c r="E126" s="219" t="s">
        <v>48</v>
      </c>
      <c r="F126" s="219" t="s">
        <v>319</v>
      </c>
      <c r="G126" s="222">
        <v>273</v>
      </c>
    </row>
    <row r="127" spans="1:7" ht="10.5" x14ac:dyDescent="0.5">
      <c r="A127" s="330"/>
      <c r="B127" s="219" t="s">
        <v>205</v>
      </c>
      <c r="C127" s="220"/>
      <c r="D127" s="221" t="s">
        <v>327</v>
      </c>
      <c r="E127" s="219" t="s">
        <v>48</v>
      </c>
      <c r="F127" s="219" t="s">
        <v>319</v>
      </c>
      <c r="G127" s="222">
        <v>416</v>
      </c>
    </row>
    <row r="128" spans="1:7" ht="10.5" x14ac:dyDescent="0.5">
      <c r="A128" s="330"/>
      <c r="B128" s="219" t="s">
        <v>761</v>
      </c>
      <c r="C128" s="220"/>
      <c r="D128" s="221" t="s">
        <v>327</v>
      </c>
      <c r="E128" s="219" t="s">
        <v>48</v>
      </c>
      <c r="F128" s="219" t="s">
        <v>319</v>
      </c>
      <c r="G128" s="222">
        <v>1088.3599999999999</v>
      </c>
    </row>
    <row r="129" spans="1:7" ht="10.5" x14ac:dyDescent="0.5">
      <c r="A129" s="330"/>
      <c r="B129" s="219" t="s">
        <v>762</v>
      </c>
      <c r="C129" s="220"/>
      <c r="D129" s="221" t="s">
        <v>327</v>
      </c>
      <c r="E129" s="219" t="s">
        <v>48</v>
      </c>
      <c r="F129" s="219" t="s">
        <v>319</v>
      </c>
      <c r="G129" s="222">
        <v>804.44</v>
      </c>
    </row>
    <row r="130" spans="1:7" ht="10.5" x14ac:dyDescent="0.5">
      <c r="A130" s="330"/>
      <c r="B130" s="219" t="s">
        <v>763</v>
      </c>
      <c r="C130" s="220"/>
      <c r="D130" s="221" t="s">
        <v>327</v>
      </c>
      <c r="E130" s="219" t="s">
        <v>48</v>
      </c>
      <c r="F130" s="219" t="s">
        <v>319</v>
      </c>
      <c r="G130" s="222">
        <v>396.31</v>
      </c>
    </row>
    <row r="131" spans="1:7" ht="10.5" x14ac:dyDescent="0.5">
      <c r="A131" s="330"/>
      <c r="B131" s="219" t="s">
        <v>764</v>
      </c>
      <c r="C131" s="220"/>
      <c r="D131" s="221" t="s">
        <v>327</v>
      </c>
      <c r="E131" s="219" t="s">
        <v>48</v>
      </c>
      <c r="F131" s="219" t="s">
        <v>319</v>
      </c>
      <c r="G131" s="222">
        <v>946.4</v>
      </c>
    </row>
    <row r="132" spans="1:7" ht="10.5" x14ac:dyDescent="0.5">
      <c r="A132" s="330"/>
      <c r="B132" s="219" t="s">
        <v>765</v>
      </c>
      <c r="C132" s="220"/>
      <c r="D132" s="221" t="s">
        <v>327</v>
      </c>
      <c r="E132" s="219" t="s">
        <v>48</v>
      </c>
      <c r="F132" s="219" t="s">
        <v>319</v>
      </c>
      <c r="G132" s="222">
        <v>2277.6</v>
      </c>
    </row>
    <row r="133" spans="1:7" ht="10.5" x14ac:dyDescent="0.5">
      <c r="A133" s="330"/>
      <c r="B133" s="219" t="s">
        <v>766</v>
      </c>
      <c r="C133" s="220"/>
      <c r="D133" s="221" t="s">
        <v>327</v>
      </c>
      <c r="E133" s="219" t="s">
        <v>25</v>
      </c>
      <c r="F133" s="219" t="s">
        <v>319</v>
      </c>
      <c r="G133" s="222">
        <v>2.7</v>
      </c>
    </row>
    <row r="134" spans="1:7" ht="10.5" x14ac:dyDescent="0.5">
      <c r="A134" s="330"/>
      <c r="B134" s="219" t="s">
        <v>767</v>
      </c>
      <c r="C134" s="220"/>
      <c r="D134" s="221" t="s">
        <v>327</v>
      </c>
      <c r="E134" s="219" t="s">
        <v>48</v>
      </c>
      <c r="F134" s="219" t="s">
        <v>319</v>
      </c>
      <c r="G134" s="222">
        <v>20</v>
      </c>
    </row>
    <row r="135" spans="1:7" ht="10.5" x14ac:dyDescent="0.5">
      <c r="A135" s="330"/>
      <c r="B135" s="219" t="s">
        <v>768</v>
      </c>
      <c r="C135" s="220"/>
      <c r="D135" s="221" t="s">
        <v>327</v>
      </c>
      <c r="E135" s="219" t="s">
        <v>48</v>
      </c>
      <c r="F135" s="219" t="s">
        <v>319</v>
      </c>
      <c r="G135" s="222">
        <v>750</v>
      </c>
    </row>
    <row r="136" spans="1:7" ht="10.5" x14ac:dyDescent="0.5">
      <c r="A136" s="330"/>
      <c r="B136" s="219" t="s">
        <v>297</v>
      </c>
      <c r="C136" s="220"/>
      <c r="D136" s="221" t="s">
        <v>327</v>
      </c>
      <c r="E136" s="219" t="s">
        <v>48</v>
      </c>
      <c r="F136" s="219" t="s">
        <v>319</v>
      </c>
      <c r="G136" s="222">
        <v>75</v>
      </c>
    </row>
    <row r="137" spans="1:7" ht="10.5" x14ac:dyDescent="0.5">
      <c r="A137" s="330"/>
      <c r="B137" s="219" t="s">
        <v>769</v>
      </c>
      <c r="C137" s="220"/>
      <c r="D137" s="221" t="s">
        <v>327</v>
      </c>
      <c r="E137" s="219" t="s">
        <v>48</v>
      </c>
      <c r="F137" s="219" t="s">
        <v>319</v>
      </c>
      <c r="G137" s="222">
        <v>230</v>
      </c>
    </row>
    <row r="138" spans="1:7" ht="10.5" x14ac:dyDescent="0.5">
      <c r="A138" s="330"/>
      <c r="B138" s="219" t="s">
        <v>770</v>
      </c>
      <c r="C138" s="220"/>
      <c r="D138" s="221" t="s">
        <v>327</v>
      </c>
      <c r="E138" s="219" t="s">
        <v>48</v>
      </c>
      <c r="F138" s="219" t="s">
        <v>319</v>
      </c>
      <c r="G138" s="222">
        <v>614.29999999999995</v>
      </c>
    </row>
    <row r="139" spans="1:7" ht="10.5" x14ac:dyDescent="0.5">
      <c r="A139" s="330"/>
      <c r="B139" s="219" t="s">
        <v>771</v>
      </c>
      <c r="C139" s="220"/>
      <c r="D139" s="221" t="s">
        <v>327</v>
      </c>
      <c r="E139" s="219" t="s">
        <v>48</v>
      </c>
      <c r="F139" s="219" t="s">
        <v>319</v>
      </c>
      <c r="G139" s="222">
        <v>1046.5999999999999</v>
      </c>
    </row>
    <row r="140" spans="1:7" ht="10.5" x14ac:dyDescent="0.5">
      <c r="A140" s="330"/>
      <c r="B140" s="219" t="s">
        <v>772</v>
      </c>
      <c r="C140" s="220"/>
      <c r="D140" s="221" t="s">
        <v>327</v>
      </c>
      <c r="E140" s="219" t="s">
        <v>48</v>
      </c>
      <c r="F140" s="219" t="s">
        <v>319</v>
      </c>
      <c r="G140" s="222">
        <v>75</v>
      </c>
    </row>
    <row r="141" spans="1:7" ht="10.5" x14ac:dyDescent="0.5">
      <c r="A141" s="330"/>
      <c r="B141" s="219" t="s">
        <v>237</v>
      </c>
      <c r="C141" s="220" t="s">
        <v>357</v>
      </c>
      <c r="D141" s="221" t="s">
        <v>327</v>
      </c>
      <c r="E141" s="219" t="s">
        <v>48</v>
      </c>
      <c r="F141" s="219" t="s">
        <v>319</v>
      </c>
      <c r="G141" s="222">
        <v>1391</v>
      </c>
    </row>
    <row r="142" spans="1:7" ht="10.5" x14ac:dyDescent="0.5">
      <c r="A142" s="330"/>
      <c r="B142" s="219" t="s">
        <v>773</v>
      </c>
      <c r="C142" s="220" t="s">
        <v>358</v>
      </c>
      <c r="D142" s="221" t="s">
        <v>327</v>
      </c>
      <c r="E142" s="219" t="s">
        <v>48</v>
      </c>
      <c r="F142" s="219" t="s">
        <v>319</v>
      </c>
      <c r="G142" s="222">
        <v>330</v>
      </c>
    </row>
    <row r="143" spans="1:7" ht="10.5" x14ac:dyDescent="0.5">
      <c r="A143" s="330"/>
      <c r="B143" s="219" t="s">
        <v>774</v>
      </c>
      <c r="C143" s="220"/>
      <c r="D143" s="221" t="s">
        <v>327</v>
      </c>
      <c r="E143" s="219" t="s">
        <v>48</v>
      </c>
      <c r="F143" s="219" t="s">
        <v>319</v>
      </c>
      <c r="G143" s="222">
        <v>391.4</v>
      </c>
    </row>
    <row r="144" spans="1:7" ht="10.5" x14ac:dyDescent="0.5">
      <c r="A144" s="330"/>
      <c r="B144" s="219" t="s">
        <v>775</v>
      </c>
      <c r="C144" s="220"/>
      <c r="D144" s="221" t="s">
        <v>327</v>
      </c>
      <c r="E144" s="219" t="s">
        <v>48</v>
      </c>
      <c r="F144" s="219" t="s">
        <v>319</v>
      </c>
      <c r="G144" s="222">
        <v>35</v>
      </c>
    </row>
    <row r="145" spans="1:7" ht="10.5" x14ac:dyDescent="0.5">
      <c r="A145" s="330"/>
      <c r="B145" s="219" t="s">
        <v>776</v>
      </c>
      <c r="C145" s="220" t="s">
        <v>359</v>
      </c>
      <c r="D145" s="221" t="s">
        <v>327</v>
      </c>
      <c r="E145" s="219"/>
      <c r="F145" s="219" t="s">
        <v>319</v>
      </c>
      <c r="G145" s="222">
        <v>180</v>
      </c>
    </row>
    <row r="146" spans="1:7" ht="10.5" x14ac:dyDescent="0.5">
      <c r="A146" s="330"/>
      <c r="B146" s="219" t="s">
        <v>145</v>
      </c>
      <c r="C146" s="220" t="s">
        <v>360</v>
      </c>
      <c r="D146" s="221" t="s">
        <v>327</v>
      </c>
      <c r="E146" s="219" t="s">
        <v>72</v>
      </c>
      <c r="F146" s="219" t="s">
        <v>319</v>
      </c>
      <c r="G146" s="222">
        <v>158.19999999999999</v>
      </c>
    </row>
    <row r="147" spans="1:7" ht="10.5" x14ac:dyDescent="0.5">
      <c r="A147" s="330"/>
      <c r="B147" s="219" t="s">
        <v>148</v>
      </c>
      <c r="C147" s="220" t="s">
        <v>361</v>
      </c>
      <c r="D147" s="221" t="s">
        <v>327</v>
      </c>
      <c r="E147" s="219" t="s">
        <v>72</v>
      </c>
      <c r="F147" s="219" t="s">
        <v>319</v>
      </c>
      <c r="G147" s="222">
        <v>167.2</v>
      </c>
    </row>
    <row r="148" spans="1:7" ht="10.5" x14ac:dyDescent="0.5">
      <c r="A148" s="330"/>
      <c r="B148" s="219" t="s">
        <v>777</v>
      </c>
      <c r="C148" s="220" t="s">
        <v>362</v>
      </c>
      <c r="D148" s="221" t="s">
        <v>327</v>
      </c>
      <c r="E148" s="219" t="s">
        <v>25</v>
      </c>
      <c r="F148" s="219" t="s">
        <v>319</v>
      </c>
      <c r="G148" s="222">
        <v>22.9</v>
      </c>
    </row>
    <row r="149" spans="1:7" ht="10.5" x14ac:dyDescent="0.5">
      <c r="A149" s="330"/>
      <c r="B149" s="219" t="s">
        <v>778</v>
      </c>
      <c r="C149" s="220"/>
      <c r="D149" s="221" t="s">
        <v>327</v>
      </c>
      <c r="E149" s="219" t="s">
        <v>48</v>
      </c>
      <c r="F149" s="219" t="s">
        <v>319</v>
      </c>
      <c r="G149" s="222">
        <v>3.5</v>
      </c>
    </row>
    <row r="150" spans="1:7" ht="10.5" x14ac:dyDescent="0.5">
      <c r="A150" s="330"/>
      <c r="B150" s="219" t="s">
        <v>47</v>
      </c>
      <c r="C150" s="220" t="s">
        <v>363</v>
      </c>
      <c r="D150" s="221" t="s">
        <v>327</v>
      </c>
      <c r="E150" s="219" t="s">
        <v>48</v>
      </c>
      <c r="F150" s="219" t="s">
        <v>319</v>
      </c>
      <c r="G150" s="222">
        <v>6</v>
      </c>
    </row>
    <row r="151" spans="1:7" ht="10.5" x14ac:dyDescent="0.5">
      <c r="A151" s="330"/>
      <c r="B151" s="219" t="s">
        <v>779</v>
      </c>
      <c r="C151" s="220"/>
      <c r="D151" s="221" t="s">
        <v>327</v>
      </c>
      <c r="E151" s="219" t="s">
        <v>64</v>
      </c>
      <c r="F151" s="219" t="s">
        <v>319</v>
      </c>
      <c r="G151" s="222">
        <v>2.5</v>
      </c>
    </row>
    <row r="152" spans="1:7" ht="10.5" x14ac:dyDescent="0.5">
      <c r="A152" s="330"/>
      <c r="B152" s="219" t="s">
        <v>780</v>
      </c>
      <c r="C152" s="220"/>
      <c r="D152" s="221" t="s">
        <v>327</v>
      </c>
      <c r="E152" s="219" t="s">
        <v>25</v>
      </c>
      <c r="F152" s="219" t="s">
        <v>319</v>
      </c>
      <c r="G152" s="222">
        <v>250</v>
      </c>
    </row>
    <row r="153" spans="1:7" ht="10.5" x14ac:dyDescent="0.5">
      <c r="A153" s="330"/>
      <c r="B153" s="219" t="s">
        <v>781</v>
      </c>
      <c r="C153" s="220"/>
      <c r="D153" s="221" t="s">
        <v>327</v>
      </c>
      <c r="E153" s="219" t="s">
        <v>25</v>
      </c>
      <c r="F153" s="219" t="s">
        <v>319</v>
      </c>
      <c r="G153" s="222">
        <v>287.72000000000003</v>
      </c>
    </row>
    <row r="154" spans="1:7" ht="10.5" x14ac:dyDescent="0.5">
      <c r="A154" s="330"/>
      <c r="B154" s="219" t="s">
        <v>782</v>
      </c>
      <c r="C154" s="220"/>
      <c r="D154" s="221" t="s">
        <v>327</v>
      </c>
      <c r="E154" s="219" t="s">
        <v>25</v>
      </c>
      <c r="F154" s="219" t="s">
        <v>319</v>
      </c>
      <c r="G154" s="222">
        <v>311.3</v>
      </c>
    </row>
    <row r="155" spans="1:7" ht="10.5" x14ac:dyDescent="0.5">
      <c r="A155" s="330"/>
      <c r="B155" s="219" t="s">
        <v>783</v>
      </c>
      <c r="C155" s="220"/>
      <c r="D155" s="221" t="s">
        <v>327</v>
      </c>
      <c r="E155" s="219" t="s">
        <v>25</v>
      </c>
      <c r="F155" s="219" t="s">
        <v>319</v>
      </c>
      <c r="G155" s="222">
        <v>835.5</v>
      </c>
    </row>
    <row r="156" spans="1:7" ht="10.5" x14ac:dyDescent="0.5">
      <c r="A156" s="330"/>
      <c r="B156" s="219" t="s">
        <v>784</v>
      </c>
      <c r="C156" s="220"/>
      <c r="D156" s="221" t="s">
        <v>327</v>
      </c>
      <c r="E156" s="219" t="s">
        <v>25</v>
      </c>
      <c r="F156" s="219" t="s">
        <v>319</v>
      </c>
      <c r="G156" s="222">
        <v>1008</v>
      </c>
    </row>
    <row r="157" spans="1:7" ht="10.5" x14ac:dyDescent="0.5">
      <c r="A157" s="330"/>
      <c r="B157" s="219" t="s">
        <v>785</v>
      </c>
      <c r="C157" s="220"/>
      <c r="D157" s="221" t="s">
        <v>327</v>
      </c>
      <c r="E157" s="219" t="s">
        <v>25</v>
      </c>
      <c r="F157" s="219" t="s">
        <v>319</v>
      </c>
      <c r="G157" s="222">
        <v>1176.3399999999999</v>
      </c>
    </row>
    <row r="158" spans="1:7" ht="10.5" x14ac:dyDescent="0.5">
      <c r="A158" s="330"/>
      <c r="B158" s="219" t="s">
        <v>786</v>
      </c>
      <c r="C158" s="220" t="s">
        <v>364</v>
      </c>
      <c r="D158" s="221" t="s">
        <v>327</v>
      </c>
      <c r="E158" s="219" t="s">
        <v>48</v>
      </c>
      <c r="F158" s="219" t="s">
        <v>319</v>
      </c>
      <c r="G158" s="222">
        <v>1755.6</v>
      </c>
    </row>
    <row r="159" spans="1:7" ht="10.5" x14ac:dyDescent="0.5">
      <c r="A159" s="330"/>
      <c r="B159" s="219" t="s">
        <v>787</v>
      </c>
      <c r="C159" s="220"/>
      <c r="D159" s="221" t="s">
        <v>327</v>
      </c>
      <c r="E159" s="219" t="s">
        <v>25</v>
      </c>
      <c r="F159" s="219" t="s">
        <v>319</v>
      </c>
      <c r="G159" s="222">
        <v>159.43</v>
      </c>
    </row>
    <row r="160" spans="1:7" ht="10.5" x14ac:dyDescent="0.5">
      <c r="A160" s="330"/>
      <c r="B160" s="219" t="s">
        <v>788</v>
      </c>
      <c r="C160" s="220"/>
      <c r="D160" s="221" t="s">
        <v>327</v>
      </c>
      <c r="E160" s="219" t="s">
        <v>25</v>
      </c>
      <c r="F160" s="219" t="s">
        <v>319</v>
      </c>
      <c r="G160" s="222">
        <v>152.82</v>
      </c>
    </row>
    <row r="161" spans="1:7" ht="10.5" x14ac:dyDescent="0.5">
      <c r="A161" s="330"/>
      <c r="B161" s="219" t="s">
        <v>365</v>
      </c>
      <c r="C161" s="220"/>
      <c r="D161" s="221" t="s">
        <v>327</v>
      </c>
      <c r="E161" s="219" t="s">
        <v>25</v>
      </c>
      <c r="F161" s="219" t="s">
        <v>319</v>
      </c>
      <c r="G161" s="222">
        <v>546</v>
      </c>
    </row>
    <row r="162" spans="1:7" ht="10.5" x14ac:dyDescent="0.5">
      <c r="A162" s="330"/>
      <c r="B162" s="219" t="s">
        <v>366</v>
      </c>
      <c r="C162" s="220"/>
      <c r="D162" s="221" t="s">
        <v>327</v>
      </c>
      <c r="E162" s="219" t="s">
        <v>25</v>
      </c>
      <c r="F162" s="219" t="s">
        <v>319</v>
      </c>
      <c r="G162" s="222">
        <v>698</v>
      </c>
    </row>
    <row r="163" spans="1:7" ht="10.5" x14ac:dyDescent="0.5">
      <c r="A163" s="330"/>
      <c r="B163" s="219" t="s">
        <v>236</v>
      </c>
      <c r="C163" s="220"/>
      <c r="D163" s="221" t="s">
        <v>327</v>
      </c>
      <c r="E163" s="219" t="s">
        <v>48</v>
      </c>
      <c r="F163" s="219" t="s">
        <v>319</v>
      </c>
      <c r="G163" s="222">
        <v>375</v>
      </c>
    </row>
    <row r="164" spans="1:7" ht="10.5" x14ac:dyDescent="0.5">
      <c r="A164" s="330"/>
      <c r="B164" s="219" t="s">
        <v>789</v>
      </c>
      <c r="C164" s="220"/>
      <c r="D164" s="221" t="s">
        <v>327</v>
      </c>
      <c r="E164" s="219" t="s">
        <v>48</v>
      </c>
      <c r="F164" s="219" t="s">
        <v>319</v>
      </c>
      <c r="G164" s="222">
        <v>300</v>
      </c>
    </row>
    <row r="165" spans="1:7" ht="10.5" x14ac:dyDescent="0.5">
      <c r="A165" s="330"/>
      <c r="B165" s="219" t="s">
        <v>790</v>
      </c>
      <c r="C165" s="220"/>
      <c r="D165" s="221" t="s">
        <v>327</v>
      </c>
      <c r="E165" s="219" t="s">
        <v>64</v>
      </c>
      <c r="F165" s="219" t="s">
        <v>319</v>
      </c>
      <c r="G165" s="222">
        <v>2200</v>
      </c>
    </row>
    <row r="166" spans="1:7" ht="10.5" x14ac:dyDescent="0.5">
      <c r="A166" s="330"/>
      <c r="B166" s="219" t="s">
        <v>791</v>
      </c>
      <c r="C166" s="220"/>
      <c r="D166" s="221" t="s">
        <v>327</v>
      </c>
      <c r="E166" s="219" t="s">
        <v>72</v>
      </c>
      <c r="F166" s="219" t="s">
        <v>319</v>
      </c>
      <c r="G166" s="222">
        <v>260</v>
      </c>
    </row>
    <row r="167" spans="1:7" ht="10.5" x14ac:dyDescent="0.5">
      <c r="A167" s="330"/>
      <c r="B167" s="219" t="s">
        <v>136</v>
      </c>
      <c r="C167" s="220" t="s">
        <v>136</v>
      </c>
      <c r="D167" s="221" t="s">
        <v>327</v>
      </c>
      <c r="E167" s="219" t="s">
        <v>72</v>
      </c>
      <c r="F167" s="219" t="s">
        <v>319</v>
      </c>
      <c r="G167" s="222">
        <v>178.5</v>
      </c>
    </row>
    <row r="168" spans="1:7" ht="10.5" x14ac:dyDescent="0.5">
      <c r="A168" s="330"/>
      <c r="B168" s="219" t="s">
        <v>149</v>
      </c>
      <c r="C168" s="220" t="s">
        <v>367</v>
      </c>
      <c r="D168" s="221" t="s">
        <v>327</v>
      </c>
      <c r="E168" s="219" t="s">
        <v>83</v>
      </c>
      <c r="F168" s="219" t="s">
        <v>319</v>
      </c>
      <c r="G168" s="222">
        <v>5.76</v>
      </c>
    </row>
    <row r="169" spans="1:7" ht="10.5" x14ac:dyDescent="0.5">
      <c r="A169" s="330"/>
      <c r="B169" s="219" t="s">
        <v>792</v>
      </c>
      <c r="C169" s="220" t="s">
        <v>368</v>
      </c>
      <c r="D169" s="221" t="s">
        <v>327</v>
      </c>
      <c r="E169" s="219" t="s">
        <v>83</v>
      </c>
      <c r="F169" s="219" t="s">
        <v>319</v>
      </c>
      <c r="G169" s="222">
        <v>7.5</v>
      </c>
    </row>
    <row r="170" spans="1:7" ht="10.5" x14ac:dyDescent="0.5">
      <c r="A170" s="330"/>
      <c r="B170" s="219" t="s">
        <v>73</v>
      </c>
      <c r="C170" s="220" t="s">
        <v>369</v>
      </c>
      <c r="D170" s="221" t="s">
        <v>327</v>
      </c>
      <c r="E170" s="219" t="s">
        <v>64</v>
      </c>
      <c r="F170" s="219" t="s">
        <v>319</v>
      </c>
      <c r="G170" s="222">
        <v>17.95</v>
      </c>
    </row>
    <row r="171" spans="1:7" ht="10.5" x14ac:dyDescent="0.5">
      <c r="A171" s="330"/>
      <c r="B171" s="219" t="s">
        <v>793</v>
      </c>
      <c r="C171" s="220"/>
      <c r="D171" s="221" t="s">
        <v>327</v>
      </c>
      <c r="E171" s="219" t="s">
        <v>48</v>
      </c>
      <c r="F171" s="219" t="s">
        <v>319</v>
      </c>
      <c r="G171" s="222">
        <v>1</v>
      </c>
    </row>
    <row r="172" spans="1:7" ht="10.5" x14ac:dyDescent="0.5">
      <c r="A172" s="330"/>
      <c r="B172" s="219" t="s">
        <v>76</v>
      </c>
      <c r="C172" s="220" t="s">
        <v>370</v>
      </c>
      <c r="D172" s="221" t="s">
        <v>327</v>
      </c>
      <c r="E172" s="219" t="s">
        <v>14</v>
      </c>
      <c r="F172" s="219" t="s">
        <v>319</v>
      </c>
      <c r="G172" s="222">
        <v>1</v>
      </c>
    </row>
    <row r="173" spans="1:7" ht="10.5" x14ac:dyDescent="0.5">
      <c r="A173" s="330"/>
      <c r="B173" s="219" t="s">
        <v>175</v>
      </c>
      <c r="C173" s="220"/>
      <c r="D173" s="221" t="s">
        <v>327</v>
      </c>
      <c r="E173" s="219" t="s">
        <v>48</v>
      </c>
      <c r="F173" s="219" t="s">
        <v>319</v>
      </c>
      <c r="G173" s="222">
        <v>140</v>
      </c>
    </row>
    <row r="174" spans="1:7" ht="10.5" x14ac:dyDescent="0.5">
      <c r="A174" s="330"/>
      <c r="B174" s="219" t="s">
        <v>46</v>
      </c>
      <c r="C174" s="220" t="s">
        <v>46</v>
      </c>
      <c r="D174" s="221" t="s">
        <v>327</v>
      </c>
      <c r="E174" s="219" t="s">
        <v>25</v>
      </c>
      <c r="F174" s="219" t="s">
        <v>319</v>
      </c>
      <c r="G174" s="222">
        <v>2</v>
      </c>
    </row>
    <row r="175" spans="1:7" ht="10.5" x14ac:dyDescent="0.5">
      <c r="A175" s="330"/>
      <c r="B175" s="219" t="s">
        <v>794</v>
      </c>
      <c r="C175" s="220"/>
      <c r="D175" s="221" t="s">
        <v>327</v>
      </c>
      <c r="E175" s="219" t="s">
        <v>48</v>
      </c>
      <c r="F175" s="219" t="s">
        <v>319</v>
      </c>
      <c r="G175" s="222">
        <v>3630.96</v>
      </c>
    </row>
    <row r="176" spans="1:7" ht="10.5" x14ac:dyDescent="0.5">
      <c r="A176" s="330"/>
      <c r="B176" s="219" t="s">
        <v>795</v>
      </c>
      <c r="C176" s="220"/>
      <c r="D176" s="221" t="s">
        <v>327</v>
      </c>
      <c r="E176" s="219" t="s">
        <v>48</v>
      </c>
      <c r="F176" s="219" t="s">
        <v>319</v>
      </c>
      <c r="G176" s="222">
        <v>350</v>
      </c>
    </row>
    <row r="177" spans="1:7" ht="10.5" x14ac:dyDescent="0.5">
      <c r="A177" s="330"/>
      <c r="B177" s="219" t="s">
        <v>796</v>
      </c>
      <c r="C177" s="220"/>
      <c r="D177" s="221" t="s">
        <v>327</v>
      </c>
      <c r="E177" s="219" t="s">
        <v>14</v>
      </c>
      <c r="F177" s="219" t="s">
        <v>319</v>
      </c>
      <c r="G177" s="222">
        <v>1</v>
      </c>
    </row>
    <row r="178" spans="1:7" ht="10.5" x14ac:dyDescent="0.5">
      <c r="A178" s="330"/>
      <c r="B178" s="219" t="s">
        <v>71</v>
      </c>
      <c r="C178" s="220" t="s">
        <v>71</v>
      </c>
      <c r="D178" s="221" t="s">
        <v>327</v>
      </c>
      <c r="E178" s="219" t="s">
        <v>72</v>
      </c>
      <c r="F178" s="219" t="s">
        <v>319</v>
      </c>
      <c r="G178" s="222">
        <v>258.5</v>
      </c>
    </row>
    <row r="179" spans="1:7" ht="10.5" x14ac:dyDescent="0.5">
      <c r="A179" s="330"/>
      <c r="B179" s="219" t="s">
        <v>797</v>
      </c>
      <c r="C179" s="220"/>
      <c r="D179" s="221" t="s">
        <v>327</v>
      </c>
      <c r="E179" s="219" t="s">
        <v>25</v>
      </c>
      <c r="F179" s="219" t="s">
        <v>319</v>
      </c>
      <c r="G179" s="222">
        <v>2.08</v>
      </c>
    </row>
    <row r="180" spans="1:7" ht="10.5" x14ac:dyDescent="0.5">
      <c r="A180" s="330"/>
      <c r="B180" s="219" t="s">
        <v>798</v>
      </c>
      <c r="C180" s="220"/>
      <c r="D180" s="221" t="s">
        <v>327</v>
      </c>
      <c r="E180" s="219" t="s">
        <v>83</v>
      </c>
      <c r="F180" s="219" t="s">
        <v>319</v>
      </c>
      <c r="G180" s="222">
        <v>1.5</v>
      </c>
    </row>
    <row r="181" spans="1:7" ht="10.5" x14ac:dyDescent="0.5">
      <c r="A181" s="330"/>
      <c r="B181" s="219" t="s">
        <v>799</v>
      </c>
      <c r="C181" s="220"/>
      <c r="D181" s="221" t="s">
        <v>327</v>
      </c>
      <c r="E181" s="219" t="s">
        <v>48</v>
      </c>
      <c r="F181" s="219" t="s">
        <v>319</v>
      </c>
      <c r="G181" s="222">
        <v>36.299999999999997</v>
      </c>
    </row>
    <row r="182" spans="1:7" ht="10.5" x14ac:dyDescent="0.5">
      <c r="A182" s="330"/>
      <c r="B182" s="219" t="s">
        <v>800</v>
      </c>
      <c r="C182" s="220"/>
      <c r="D182" s="221" t="s">
        <v>327</v>
      </c>
      <c r="E182" s="219" t="s">
        <v>48</v>
      </c>
      <c r="F182" s="219" t="s">
        <v>319</v>
      </c>
      <c r="G182" s="222">
        <v>57.62</v>
      </c>
    </row>
    <row r="183" spans="1:7" ht="10.5" x14ac:dyDescent="0.5">
      <c r="A183" s="330"/>
      <c r="B183" s="219" t="s">
        <v>801</v>
      </c>
      <c r="C183" s="220"/>
      <c r="D183" s="221" t="s">
        <v>327</v>
      </c>
      <c r="E183" s="219" t="s">
        <v>48</v>
      </c>
      <c r="F183" s="219" t="s">
        <v>319</v>
      </c>
      <c r="G183" s="222">
        <v>57.62</v>
      </c>
    </row>
    <row r="184" spans="1:7" ht="10.5" x14ac:dyDescent="0.5">
      <c r="A184" s="330"/>
      <c r="B184" s="219" t="s">
        <v>802</v>
      </c>
      <c r="C184" s="220"/>
      <c r="D184" s="221" t="s">
        <v>327</v>
      </c>
      <c r="E184" s="219" t="s">
        <v>48</v>
      </c>
      <c r="F184" s="219" t="s">
        <v>319</v>
      </c>
      <c r="G184" s="222">
        <v>625</v>
      </c>
    </row>
    <row r="185" spans="1:7" ht="10.5" x14ac:dyDescent="0.5">
      <c r="A185" s="330"/>
      <c r="B185" s="219" t="s">
        <v>803</v>
      </c>
      <c r="C185" s="220"/>
      <c r="D185" s="221" t="s">
        <v>327</v>
      </c>
      <c r="E185" s="219" t="s">
        <v>48</v>
      </c>
      <c r="F185" s="219" t="s">
        <v>319</v>
      </c>
      <c r="G185" s="222">
        <v>780</v>
      </c>
    </row>
    <row r="186" spans="1:7" ht="10.5" x14ac:dyDescent="0.5">
      <c r="A186" s="330"/>
      <c r="B186" s="219" t="s">
        <v>804</v>
      </c>
      <c r="C186" s="220"/>
      <c r="D186" s="221" t="s">
        <v>327</v>
      </c>
      <c r="E186" s="219" t="s">
        <v>48</v>
      </c>
      <c r="F186" s="219" t="s">
        <v>319</v>
      </c>
      <c r="G186" s="222">
        <v>110</v>
      </c>
    </row>
    <row r="187" spans="1:7" ht="10.5" x14ac:dyDescent="0.5">
      <c r="A187" s="330"/>
      <c r="B187" s="219" t="s">
        <v>285</v>
      </c>
      <c r="C187" s="220"/>
      <c r="D187" s="221" t="s">
        <v>327</v>
      </c>
      <c r="E187" s="219" t="s">
        <v>48</v>
      </c>
      <c r="F187" s="219" t="s">
        <v>319</v>
      </c>
      <c r="G187" s="222">
        <v>150</v>
      </c>
    </row>
    <row r="188" spans="1:7" ht="10.5" x14ac:dyDescent="0.5">
      <c r="A188" s="330"/>
      <c r="B188" s="219" t="s">
        <v>214</v>
      </c>
      <c r="C188" s="220" t="s">
        <v>371</v>
      </c>
      <c r="D188" s="221" t="s">
        <v>327</v>
      </c>
      <c r="E188" s="219" t="s">
        <v>25</v>
      </c>
      <c r="F188" s="219" t="s">
        <v>319</v>
      </c>
      <c r="G188" s="222">
        <v>0.33</v>
      </c>
    </row>
    <row r="189" spans="1:7" ht="10.5" x14ac:dyDescent="0.5">
      <c r="A189" s="330"/>
      <c r="B189" s="219" t="s">
        <v>805</v>
      </c>
      <c r="C189" s="220" t="s">
        <v>372</v>
      </c>
      <c r="D189" s="221" t="s">
        <v>327</v>
      </c>
      <c r="E189" s="219" t="s">
        <v>43</v>
      </c>
      <c r="F189" s="219" t="s">
        <v>319</v>
      </c>
      <c r="G189" s="222">
        <v>2.4500000000000002</v>
      </c>
    </row>
    <row r="190" spans="1:7" ht="10.5" x14ac:dyDescent="0.5">
      <c r="A190" s="330"/>
      <c r="B190" s="219" t="s">
        <v>806</v>
      </c>
      <c r="C190" s="220"/>
      <c r="D190" s="221" t="s">
        <v>327</v>
      </c>
      <c r="E190" s="219" t="s">
        <v>48</v>
      </c>
      <c r="F190" s="219" t="s">
        <v>319</v>
      </c>
      <c r="G190" s="222">
        <v>378.47</v>
      </c>
    </row>
    <row r="191" spans="1:7" ht="10.5" x14ac:dyDescent="0.5">
      <c r="A191" s="330"/>
      <c r="B191" s="219" t="s">
        <v>807</v>
      </c>
      <c r="C191" s="220" t="s">
        <v>373</v>
      </c>
      <c r="D191" s="221" t="s">
        <v>327</v>
      </c>
      <c r="E191" s="219" t="s">
        <v>48</v>
      </c>
      <c r="F191" s="219" t="s">
        <v>319</v>
      </c>
      <c r="G191" s="222">
        <v>68.83</v>
      </c>
    </row>
    <row r="192" spans="1:7" ht="10.5" x14ac:dyDescent="0.5">
      <c r="A192" s="330"/>
      <c r="B192" s="219" t="s">
        <v>162</v>
      </c>
      <c r="C192" s="220" t="s">
        <v>374</v>
      </c>
      <c r="D192" s="221" t="s">
        <v>327</v>
      </c>
      <c r="E192" s="219" t="s">
        <v>48</v>
      </c>
      <c r="F192" s="219" t="s">
        <v>319</v>
      </c>
      <c r="G192" s="222">
        <v>85</v>
      </c>
    </row>
    <row r="193" spans="1:7" ht="10.75" thickBot="1" x14ac:dyDescent="0.55000000000000004">
      <c r="A193" s="331"/>
      <c r="B193" s="253" t="s">
        <v>192</v>
      </c>
      <c r="C193" s="254" t="s">
        <v>375</v>
      </c>
      <c r="D193" s="255" t="s">
        <v>327</v>
      </c>
      <c r="E193" s="253" t="s">
        <v>25</v>
      </c>
      <c r="F193" s="253" t="s">
        <v>319</v>
      </c>
      <c r="G193" s="256">
        <v>1.87</v>
      </c>
    </row>
    <row r="194" spans="1:7" ht="10.5" x14ac:dyDescent="0.5">
      <c r="A194" s="329" t="s">
        <v>1050</v>
      </c>
      <c r="B194" s="257" t="s">
        <v>808</v>
      </c>
      <c r="C194" s="258"/>
      <c r="D194" s="259" t="s">
        <v>376</v>
      </c>
      <c r="E194" s="257" t="s">
        <v>18</v>
      </c>
      <c r="F194" s="257" t="s">
        <v>319</v>
      </c>
      <c r="G194" s="260">
        <v>185</v>
      </c>
    </row>
    <row r="195" spans="1:7" ht="10.5" x14ac:dyDescent="0.5">
      <c r="A195" s="330"/>
      <c r="B195" s="223" t="s">
        <v>809</v>
      </c>
      <c r="C195" s="224" t="s">
        <v>377</v>
      </c>
      <c r="D195" s="225" t="s">
        <v>376</v>
      </c>
      <c r="E195" s="223" t="s">
        <v>18</v>
      </c>
      <c r="F195" s="223" t="s">
        <v>319</v>
      </c>
      <c r="G195" s="226">
        <v>110</v>
      </c>
    </row>
    <row r="196" spans="1:7" ht="10.5" x14ac:dyDescent="0.5">
      <c r="A196" s="330"/>
      <c r="B196" s="223" t="s">
        <v>91</v>
      </c>
      <c r="C196" s="224"/>
      <c r="D196" s="225" t="s">
        <v>376</v>
      </c>
      <c r="E196" s="223" t="s">
        <v>18</v>
      </c>
      <c r="F196" s="223" t="s">
        <v>319</v>
      </c>
      <c r="G196" s="226">
        <v>100</v>
      </c>
    </row>
    <row r="197" spans="1:7" ht="10.5" x14ac:dyDescent="0.5">
      <c r="A197" s="330"/>
      <c r="B197" s="223" t="s">
        <v>49</v>
      </c>
      <c r="C197" s="224" t="s">
        <v>378</v>
      </c>
      <c r="D197" s="225" t="s">
        <v>376</v>
      </c>
      <c r="E197" s="223" t="s">
        <v>18</v>
      </c>
      <c r="F197" s="223" t="s">
        <v>319</v>
      </c>
      <c r="G197" s="226">
        <v>95</v>
      </c>
    </row>
    <row r="198" spans="1:7" ht="10.5" x14ac:dyDescent="0.5">
      <c r="A198" s="330"/>
      <c r="B198" s="223" t="s">
        <v>810</v>
      </c>
      <c r="C198" s="224"/>
      <c r="D198" s="225" t="s">
        <v>376</v>
      </c>
      <c r="E198" s="223" t="s">
        <v>18</v>
      </c>
      <c r="F198" s="223" t="s">
        <v>319</v>
      </c>
      <c r="G198" s="226">
        <v>115</v>
      </c>
    </row>
    <row r="199" spans="1:7" ht="10.5" x14ac:dyDescent="0.5">
      <c r="A199" s="330"/>
      <c r="B199" s="223" t="s">
        <v>811</v>
      </c>
      <c r="C199" s="224" t="s">
        <v>379</v>
      </c>
      <c r="D199" s="225" t="s">
        <v>376</v>
      </c>
      <c r="E199" s="223" t="s">
        <v>18</v>
      </c>
      <c r="F199" s="223" t="s">
        <v>319</v>
      </c>
      <c r="G199" s="226">
        <v>26.46</v>
      </c>
    </row>
    <row r="200" spans="1:7" ht="10.5" x14ac:dyDescent="0.5">
      <c r="A200" s="330"/>
      <c r="B200" s="223" t="s">
        <v>812</v>
      </c>
      <c r="C200" s="224" t="s">
        <v>380</v>
      </c>
      <c r="D200" s="225" t="s">
        <v>376</v>
      </c>
      <c r="E200" s="223" t="s">
        <v>18</v>
      </c>
      <c r="F200" s="223" t="s">
        <v>319</v>
      </c>
      <c r="G200" s="226">
        <v>10.75</v>
      </c>
    </row>
    <row r="201" spans="1:7" ht="10.5" x14ac:dyDescent="0.5">
      <c r="A201" s="330"/>
      <c r="B201" s="223" t="s">
        <v>59</v>
      </c>
      <c r="C201" s="224" t="s">
        <v>381</v>
      </c>
      <c r="D201" s="225" t="s">
        <v>376</v>
      </c>
      <c r="E201" s="223" t="s">
        <v>18</v>
      </c>
      <c r="F201" s="223" t="s">
        <v>319</v>
      </c>
      <c r="G201" s="226">
        <v>46.5</v>
      </c>
    </row>
    <row r="202" spans="1:7" ht="10.5" x14ac:dyDescent="0.5">
      <c r="A202" s="330"/>
      <c r="B202" s="223" t="s">
        <v>813</v>
      </c>
      <c r="C202" s="224" t="s">
        <v>382</v>
      </c>
      <c r="D202" s="225" t="s">
        <v>376</v>
      </c>
      <c r="E202" s="223" t="s">
        <v>18</v>
      </c>
      <c r="F202" s="223" t="s">
        <v>319</v>
      </c>
      <c r="G202" s="226">
        <v>66.069999999999993</v>
      </c>
    </row>
    <row r="203" spans="1:7" ht="10.5" x14ac:dyDescent="0.5">
      <c r="A203" s="330"/>
      <c r="B203" s="223" t="s">
        <v>814</v>
      </c>
      <c r="C203" s="224" t="s">
        <v>383</v>
      </c>
      <c r="D203" s="225" t="s">
        <v>376</v>
      </c>
      <c r="E203" s="223" t="s">
        <v>18</v>
      </c>
      <c r="F203" s="223" t="s">
        <v>319</v>
      </c>
      <c r="G203" s="226">
        <v>48</v>
      </c>
    </row>
    <row r="204" spans="1:7" ht="10.5" x14ac:dyDescent="0.5">
      <c r="A204" s="330"/>
      <c r="B204" s="223" t="s">
        <v>815</v>
      </c>
      <c r="C204" s="224"/>
      <c r="D204" s="225" t="s">
        <v>376</v>
      </c>
      <c r="E204" s="223" t="s">
        <v>20</v>
      </c>
      <c r="F204" s="223" t="s">
        <v>319</v>
      </c>
      <c r="G204" s="226">
        <v>40</v>
      </c>
    </row>
    <row r="205" spans="1:7" ht="10.5" x14ac:dyDescent="0.5">
      <c r="A205" s="330"/>
      <c r="B205" s="223" t="s">
        <v>816</v>
      </c>
      <c r="C205" s="224"/>
      <c r="D205" s="225" t="s">
        <v>376</v>
      </c>
      <c r="E205" s="223" t="s">
        <v>18</v>
      </c>
      <c r="F205" s="223" t="s">
        <v>319</v>
      </c>
      <c r="G205" s="226">
        <v>165</v>
      </c>
    </row>
    <row r="206" spans="1:7" ht="10.5" x14ac:dyDescent="0.5">
      <c r="A206" s="330"/>
      <c r="B206" s="223" t="s">
        <v>817</v>
      </c>
      <c r="C206" s="224"/>
      <c r="D206" s="225" t="s">
        <v>376</v>
      </c>
      <c r="E206" s="223" t="s">
        <v>98</v>
      </c>
      <c r="F206" s="223" t="s">
        <v>319</v>
      </c>
      <c r="G206" s="226">
        <v>360</v>
      </c>
    </row>
    <row r="207" spans="1:7" ht="10.5" x14ac:dyDescent="0.5">
      <c r="A207" s="330"/>
      <c r="B207" s="223" t="s">
        <v>312</v>
      </c>
      <c r="C207" s="224" t="s">
        <v>384</v>
      </c>
      <c r="D207" s="225" t="s">
        <v>376</v>
      </c>
      <c r="E207" s="223" t="s">
        <v>20</v>
      </c>
      <c r="F207" s="223" t="s">
        <v>319</v>
      </c>
      <c r="G207" s="226">
        <v>1121</v>
      </c>
    </row>
    <row r="208" spans="1:7" ht="10.5" x14ac:dyDescent="0.5">
      <c r="A208" s="330"/>
      <c r="B208" s="223" t="s">
        <v>101</v>
      </c>
      <c r="C208" s="224" t="s">
        <v>385</v>
      </c>
      <c r="D208" s="225" t="s">
        <v>376</v>
      </c>
      <c r="E208" s="223" t="s">
        <v>18</v>
      </c>
      <c r="F208" s="223" t="s">
        <v>319</v>
      </c>
      <c r="G208" s="226">
        <v>185</v>
      </c>
    </row>
    <row r="209" spans="1:7" ht="10.5" x14ac:dyDescent="0.5">
      <c r="A209" s="330"/>
      <c r="B209" s="223" t="s">
        <v>309</v>
      </c>
      <c r="C209" s="224"/>
      <c r="D209" s="225" t="s">
        <v>376</v>
      </c>
      <c r="E209" s="223" t="s">
        <v>20</v>
      </c>
      <c r="F209" s="223" t="s">
        <v>319</v>
      </c>
      <c r="G209" s="226">
        <v>277</v>
      </c>
    </row>
    <row r="210" spans="1:7" ht="10.5" x14ac:dyDescent="0.5">
      <c r="A210" s="330"/>
      <c r="B210" s="223" t="s">
        <v>818</v>
      </c>
      <c r="C210" s="224"/>
      <c r="D210" s="225" t="s">
        <v>376</v>
      </c>
      <c r="E210" s="223" t="s">
        <v>98</v>
      </c>
      <c r="F210" s="223" t="s">
        <v>319</v>
      </c>
      <c r="G210" s="226">
        <v>750</v>
      </c>
    </row>
    <row r="211" spans="1:7" ht="10.5" x14ac:dyDescent="0.5">
      <c r="A211" s="330"/>
      <c r="B211" s="223" t="s">
        <v>819</v>
      </c>
      <c r="C211" s="224" t="s">
        <v>386</v>
      </c>
      <c r="D211" s="225" t="s">
        <v>376</v>
      </c>
      <c r="E211" s="223" t="s">
        <v>18</v>
      </c>
      <c r="F211" s="223" t="s">
        <v>319</v>
      </c>
      <c r="G211" s="226">
        <v>115</v>
      </c>
    </row>
    <row r="212" spans="1:7" ht="10.5" x14ac:dyDescent="0.5">
      <c r="A212" s="330"/>
      <c r="B212" s="223" t="s">
        <v>55</v>
      </c>
      <c r="C212" s="224" t="s">
        <v>387</v>
      </c>
      <c r="D212" s="225" t="s">
        <v>376</v>
      </c>
      <c r="E212" s="223" t="s">
        <v>18</v>
      </c>
      <c r="F212" s="223" t="s">
        <v>319</v>
      </c>
      <c r="G212" s="226">
        <v>135</v>
      </c>
    </row>
    <row r="213" spans="1:7" ht="10.5" x14ac:dyDescent="0.5">
      <c r="A213" s="330"/>
      <c r="B213" s="223" t="s">
        <v>65</v>
      </c>
      <c r="C213" s="224" t="s">
        <v>388</v>
      </c>
      <c r="D213" s="225" t="s">
        <v>376</v>
      </c>
      <c r="E213" s="223" t="s">
        <v>18</v>
      </c>
      <c r="F213" s="223" t="s">
        <v>319</v>
      </c>
      <c r="G213" s="226">
        <v>135</v>
      </c>
    </row>
    <row r="214" spans="1:7" ht="10.5" x14ac:dyDescent="0.5">
      <c r="A214" s="330"/>
      <c r="B214" s="223" t="s">
        <v>820</v>
      </c>
      <c r="C214" s="224" t="s">
        <v>389</v>
      </c>
      <c r="D214" s="225" t="s">
        <v>376</v>
      </c>
      <c r="E214" s="223" t="s">
        <v>18</v>
      </c>
      <c r="F214" s="223" t="s">
        <v>319</v>
      </c>
      <c r="G214" s="226">
        <v>100</v>
      </c>
    </row>
    <row r="215" spans="1:7" ht="10.5" x14ac:dyDescent="0.5">
      <c r="A215" s="330"/>
      <c r="B215" s="223" t="s">
        <v>390</v>
      </c>
      <c r="C215" s="224"/>
      <c r="D215" s="225" t="s">
        <v>376</v>
      </c>
      <c r="E215" s="223" t="s">
        <v>18</v>
      </c>
      <c r="F215" s="223" t="s">
        <v>319</v>
      </c>
      <c r="G215" s="226">
        <v>162.5</v>
      </c>
    </row>
    <row r="216" spans="1:7" ht="10.5" x14ac:dyDescent="0.5">
      <c r="A216" s="330"/>
      <c r="B216" s="223" t="s">
        <v>821</v>
      </c>
      <c r="C216" s="224"/>
      <c r="D216" s="225" t="s">
        <v>376</v>
      </c>
      <c r="E216" s="223" t="s">
        <v>18</v>
      </c>
      <c r="F216" s="223" t="s">
        <v>319</v>
      </c>
      <c r="G216" s="226">
        <v>143.75</v>
      </c>
    </row>
    <row r="217" spans="1:7" ht="10.5" x14ac:dyDescent="0.5">
      <c r="A217" s="330"/>
      <c r="B217" s="223" t="s">
        <v>822</v>
      </c>
      <c r="C217" s="224" t="s">
        <v>391</v>
      </c>
      <c r="D217" s="225" t="s">
        <v>376</v>
      </c>
      <c r="E217" s="223" t="s">
        <v>98</v>
      </c>
      <c r="F217" s="223" t="s">
        <v>319</v>
      </c>
      <c r="G217" s="226">
        <v>2800</v>
      </c>
    </row>
    <row r="218" spans="1:7" ht="10.5" x14ac:dyDescent="0.5">
      <c r="A218" s="330"/>
      <c r="B218" s="223" t="s">
        <v>16</v>
      </c>
      <c r="C218" s="224"/>
      <c r="D218" s="225" t="s">
        <v>376</v>
      </c>
      <c r="E218" s="223" t="s">
        <v>17</v>
      </c>
      <c r="F218" s="223" t="s">
        <v>319</v>
      </c>
      <c r="G218" s="226">
        <v>1</v>
      </c>
    </row>
    <row r="219" spans="1:7" ht="10.5" x14ac:dyDescent="0.5">
      <c r="A219" s="330"/>
      <c r="B219" s="223" t="s">
        <v>823</v>
      </c>
      <c r="C219" s="224" t="s">
        <v>392</v>
      </c>
      <c r="D219" s="225" t="s">
        <v>376</v>
      </c>
      <c r="E219" s="223" t="s">
        <v>18</v>
      </c>
      <c r="F219" s="223" t="s">
        <v>319</v>
      </c>
      <c r="G219" s="226">
        <v>11.67</v>
      </c>
    </row>
    <row r="220" spans="1:7" ht="10.5" x14ac:dyDescent="0.5">
      <c r="A220" s="330"/>
      <c r="B220" s="223" t="s">
        <v>824</v>
      </c>
      <c r="C220" s="224"/>
      <c r="D220" s="225" t="s">
        <v>376</v>
      </c>
      <c r="E220" s="223" t="s">
        <v>20</v>
      </c>
      <c r="F220" s="223" t="s">
        <v>319</v>
      </c>
      <c r="G220" s="226">
        <v>350</v>
      </c>
    </row>
    <row r="221" spans="1:7" ht="10.5" x14ac:dyDescent="0.5">
      <c r="A221" s="330"/>
      <c r="B221" s="223" t="s">
        <v>96</v>
      </c>
      <c r="C221" s="224" t="s">
        <v>393</v>
      </c>
      <c r="D221" s="225" t="s">
        <v>376</v>
      </c>
      <c r="E221" s="223" t="s">
        <v>18</v>
      </c>
      <c r="F221" s="223" t="s">
        <v>319</v>
      </c>
      <c r="G221" s="226">
        <v>145</v>
      </c>
    </row>
    <row r="222" spans="1:7" ht="10.5" x14ac:dyDescent="0.5">
      <c r="A222" s="330"/>
      <c r="B222" s="223" t="s">
        <v>825</v>
      </c>
      <c r="C222" s="224"/>
      <c r="D222" s="225" t="s">
        <v>376</v>
      </c>
      <c r="E222" s="223" t="s">
        <v>18</v>
      </c>
      <c r="F222" s="223" t="s">
        <v>319</v>
      </c>
      <c r="G222" s="226">
        <v>168.75</v>
      </c>
    </row>
    <row r="223" spans="1:7" ht="10.5" x14ac:dyDescent="0.5">
      <c r="A223" s="330"/>
      <c r="B223" s="223" t="s">
        <v>826</v>
      </c>
      <c r="C223" s="224" t="s">
        <v>394</v>
      </c>
      <c r="D223" s="225" t="s">
        <v>376</v>
      </c>
      <c r="E223" s="223" t="s">
        <v>18</v>
      </c>
      <c r="F223" s="223" t="s">
        <v>319</v>
      </c>
      <c r="G223" s="226">
        <v>275</v>
      </c>
    </row>
    <row r="224" spans="1:7" ht="10.5" x14ac:dyDescent="0.5">
      <c r="A224" s="330"/>
      <c r="B224" s="223" t="s">
        <v>827</v>
      </c>
      <c r="C224" s="224" t="s">
        <v>395</v>
      </c>
      <c r="D224" s="225" t="s">
        <v>376</v>
      </c>
      <c r="E224" s="223" t="s">
        <v>98</v>
      </c>
      <c r="F224" s="223" t="s">
        <v>319</v>
      </c>
      <c r="G224" s="226">
        <v>480</v>
      </c>
    </row>
    <row r="225" spans="1:7" ht="10.5" x14ac:dyDescent="0.5">
      <c r="A225" s="330"/>
      <c r="B225" s="223" t="s">
        <v>828</v>
      </c>
      <c r="C225" s="224" t="s">
        <v>396</v>
      </c>
      <c r="D225" s="225" t="s">
        <v>376</v>
      </c>
      <c r="E225" s="223" t="s">
        <v>98</v>
      </c>
      <c r="F225" s="223" t="s">
        <v>319</v>
      </c>
      <c r="G225" s="226">
        <v>75</v>
      </c>
    </row>
    <row r="226" spans="1:7" ht="10.5" x14ac:dyDescent="0.5">
      <c r="A226" s="330"/>
      <c r="B226" s="223" t="s">
        <v>829</v>
      </c>
      <c r="C226" s="224" t="s">
        <v>397</v>
      </c>
      <c r="D226" s="225" t="s">
        <v>376</v>
      </c>
      <c r="E226" s="223" t="s">
        <v>18</v>
      </c>
      <c r="F226" s="223" t="s">
        <v>319</v>
      </c>
      <c r="G226" s="226">
        <v>25.78</v>
      </c>
    </row>
    <row r="227" spans="1:7" ht="10.5" x14ac:dyDescent="0.5">
      <c r="A227" s="330"/>
      <c r="B227" s="223" t="s">
        <v>97</v>
      </c>
      <c r="C227" s="224" t="s">
        <v>398</v>
      </c>
      <c r="D227" s="225" t="s">
        <v>376</v>
      </c>
      <c r="E227" s="223" t="s">
        <v>98</v>
      </c>
      <c r="F227" s="223" t="s">
        <v>319</v>
      </c>
      <c r="G227" s="226">
        <v>365</v>
      </c>
    </row>
    <row r="228" spans="1:7" ht="10.5" x14ac:dyDescent="0.5">
      <c r="A228" s="330"/>
      <c r="B228" s="223" t="s">
        <v>830</v>
      </c>
      <c r="C228" s="224"/>
      <c r="D228" s="225" t="s">
        <v>376</v>
      </c>
      <c r="E228" s="223" t="s">
        <v>18</v>
      </c>
      <c r="F228" s="223" t="s">
        <v>319</v>
      </c>
      <c r="G228" s="226">
        <v>58</v>
      </c>
    </row>
    <row r="229" spans="1:7" ht="10.5" x14ac:dyDescent="0.5">
      <c r="A229" s="330"/>
      <c r="B229" s="223" t="s">
        <v>831</v>
      </c>
      <c r="C229" s="224"/>
      <c r="D229" s="225" t="s">
        <v>376</v>
      </c>
      <c r="E229" s="223" t="s">
        <v>18</v>
      </c>
      <c r="F229" s="223" t="s">
        <v>319</v>
      </c>
      <c r="G229" s="226">
        <v>7</v>
      </c>
    </row>
    <row r="230" spans="1:7" ht="10.5" x14ac:dyDescent="0.5">
      <c r="A230" s="330"/>
      <c r="B230" s="223" t="s">
        <v>832</v>
      </c>
      <c r="C230" s="224" t="s">
        <v>399</v>
      </c>
      <c r="D230" s="225" t="s">
        <v>376</v>
      </c>
      <c r="E230" s="223" t="s">
        <v>18</v>
      </c>
      <c r="F230" s="223" t="s">
        <v>319</v>
      </c>
      <c r="G230" s="226">
        <v>3.5</v>
      </c>
    </row>
    <row r="231" spans="1:7" ht="10.5" x14ac:dyDescent="0.5">
      <c r="A231" s="330"/>
      <c r="B231" s="223" t="s">
        <v>833</v>
      </c>
      <c r="C231" s="224" t="s">
        <v>400</v>
      </c>
      <c r="D231" s="225" t="s">
        <v>376</v>
      </c>
      <c r="E231" s="223" t="s">
        <v>18</v>
      </c>
      <c r="F231" s="223" t="s">
        <v>319</v>
      </c>
      <c r="G231" s="226">
        <v>195</v>
      </c>
    </row>
    <row r="232" spans="1:7" ht="10.5" x14ac:dyDescent="0.5">
      <c r="A232" s="330"/>
      <c r="B232" s="223" t="s">
        <v>110</v>
      </c>
      <c r="C232" s="224" t="s">
        <v>401</v>
      </c>
      <c r="D232" s="225" t="s">
        <v>376</v>
      </c>
      <c r="E232" s="223" t="s">
        <v>98</v>
      </c>
      <c r="F232" s="223" t="s">
        <v>319</v>
      </c>
      <c r="G232" s="226">
        <v>365</v>
      </c>
    </row>
    <row r="233" spans="1:7" ht="10.5" x14ac:dyDescent="0.5">
      <c r="A233" s="330"/>
      <c r="B233" s="223" t="s">
        <v>834</v>
      </c>
      <c r="C233" s="224"/>
      <c r="D233" s="225" t="s">
        <v>376</v>
      </c>
      <c r="E233" s="223" t="s">
        <v>18</v>
      </c>
      <c r="F233" s="223" t="s">
        <v>319</v>
      </c>
      <c r="G233" s="226">
        <v>95</v>
      </c>
    </row>
    <row r="234" spans="1:7" ht="10.5" x14ac:dyDescent="0.5">
      <c r="A234" s="330"/>
      <c r="B234" s="223" t="s">
        <v>835</v>
      </c>
      <c r="C234" s="224" t="s">
        <v>402</v>
      </c>
      <c r="D234" s="225" t="s">
        <v>376</v>
      </c>
      <c r="E234" s="223" t="s">
        <v>18</v>
      </c>
      <c r="F234" s="223" t="s">
        <v>319</v>
      </c>
      <c r="G234" s="226">
        <v>55</v>
      </c>
    </row>
    <row r="235" spans="1:7" ht="10.5" x14ac:dyDescent="0.5">
      <c r="A235" s="330"/>
      <c r="B235" s="223" t="s">
        <v>836</v>
      </c>
      <c r="C235" s="224"/>
      <c r="D235" s="225" t="s">
        <v>376</v>
      </c>
      <c r="E235" s="223" t="s">
        <v>18</v>
      </c>
      <c r="F235" s="223" t="s">
        <v>319</v>
      </c>
      <c r="G235" s="226">
        <v>406.25</v>
      </c>
    </row>
    <row r="236" spans="1:7" ht="10.5" x14ac:dyDescent="0.5">
      <c r="A236" s="330"/>
      <c r="B236" s="223" t="s">
        <v>837</v>
      </c>
      <c r="C236" s="224" t="s">
        <v>403</v>
      </c>
      <c r="D236" s="225" t="s">
        <v>376</v>
      </c>
      <c r="E236" s="223" t="s">
        <v>14</v>
      </c>
      <c r="F236" s="223" t="s">
        <v>319</v>
      </c>
      <c r="G236" s="226">
        <v>1000</v>
      </c>
    </row>
    <row r="237" spans="1:7" ht="10.5" x14ac:dyDescent="0.5">
      <c r="A237" s="330"/>
      <c r="B237" s="223" t="s">
        <v>404</v>
      </c>
      <c r="C237" s="224" t="s">
        <v>404</v>
      </c>
      <c r="D237" s="225" t="s">
        <v>376</v>
      </c>
      <c r="E237" s="223" t="s">
        <v>98</v>
      </c>
      <c r="F237" s="223" t="s">
        <v>319</v>
      </c>
      <c r="G237" s="226">
        <v>1250</v>
      </c>
    </row>
    <row r="238" spans="1:7" ht="10.5" x14ac:dyDescent="0.5">
      <c r="A238" s="330"/>
      <c r="B238" s="223" t="s">
        <v>838</v>
      </c>
      <c r="C238" s="224"/>
      <c r="D238" s="225" t="s">
        <v>376</v>
      </c>
      <c r="E238" s="223" t="s">
        <v>18</v>
      </c>
      <c r="F238" s="223" t="s">
        <v>319</v>
      </c>
      <c r="G238" s="226">
        <v>181.25</v>
      </c>
    </row>
    <row r="239" spans="1:7" ht="10.5" x14ac:dyDescent="0.5">
      <c r="A239" s="330"/>
      <c r="B239" s="223" t="s">
        <v>66</v>
      </c>
      <c r="C239" s="224" t="s">
        <v>405</v>
      </c>
      <c r="D239" s="225" t="s">
        <v>376</v>
      </c>
      <c r="E239" s="223" t="s">
        <v>18</v>
      </c>
      <c r="F239" s="223" t="s">
        <v>319</v>
      </c>
      <c r="G239" s="226">
        <v>85</v>
      </c>
    </row>
    <row r="240" spans="1:7" ht="10.5" x14ac:dyDescent="0.5">
      <c r="A240" s="330"/>
      <c r="B240" s="223" t="s">
        <v>839</v>
      </c>
      <c r="C240" s="224" t="s">
        <v>406</v>
      </c>
      <c r="D240" s="225" t="s">
        <v>376</v>
      </c>
      <c r="E240" s="223" t="s">
        <v>18</v>
      </c>
      <c r="F240" s="223" t="s">
        <v>319</v>
      </c>
      <c r="G240" s="226">
        <v>42.79</v>
      </c>
    </row>
    <row r="241" spans="1:7" ht="10.5" x14ac:dyDescent="0.5">
      <c r="A241" s="330"/>
      <c r="B241" s="223" t="s">
        <v>840</v>
      </c>
      <c r="C241" s="224" t="s">
        <v>407</v>
      </c>
      <c r="D241" s="225" t="s">
        <v>376</v>
      </c>
      <c r="E241" s="223" t="s">
        <v>18</v>
      </c>
      <c r="F241" s="223" t="s">
        <v>319</v>
      </c>
      <c r="G241" s="226">
        <v>17</v>
      </c>
    </row>
    <row r="242" spans="1:7" ht="10.5" x14ac:dyDescent="0.5">
      <c r="A242" s="330"/>
      <c r="B242" s="223" t="s">
        <v>179</v>
      </c>
      <c r="C242" s="224"/>
      <c r="D242" s="225" t="s">
        <v>376</v>
      </c>
      <c r="E242" s="223" t="s">
        <v>18</v>
      </c>
      <c r="F242" s="223" t="s">
        <v>319</v>
      </c>
      <c r="G242" s="226">
        <v>15</v>
      </c>
    </row>
    <row r="243" spans="1:7" ht="10.5" x14ac:dyDescent="0.5">
      <c r="A243" s="330"/>
      <c r="B243" s="223" t="s">
        <v>102</v>
      </c>
      <c r="C243" s="224" t="s">
        <v>408</v>
      </c>
      <c r="D243" s="225" t="s">
        <v>376</v>
      </c>
      <c r="E243" s="223" t="s">
        <v>18</v>
      </c>
      <c r="F243" s="223" t="s">
        <v>319</v>
      </c>
      <c r="G243" s="226">
        <v>145</v>
      </c>
    </row>
    <row r="244" spans="1:7" ht="10.5" x14ac:dyDescent="0.5">
      <c r="A244" s="330"/>
      <c r="B244" s="223" t="s">
        <v>841</v>
      </c>
      <c r="C244" s="224"/>
      <c r="D244" s="225" t="s">
        <v>376</v>
      </c>
      <c r="E244" s="223" t="s">
        <v>18</v>
      </c>
      <c r="F244" s="223" t="s">
        <v>319</v>
      </c>
      <c r="G244" s="226">
        <v>106.25</v>
      </c>
    </row>
    <row r="245" spans="1:7" ht="10.5" x14ac:dyDescent="0.5">
      <c r="A245" s="330"/>
      <c r="B245" s="223" t="s">
        <v>842</v>
      </c>
      <c r="C245" s="224" t="s">
        <v>409</v>
      </c>
      <c r="D245" s="225" t="s">
        <v>376</v>
      </c>
      <c r="E245" s="223" t="s">
        <v>18</v>
      </c>
      <c r="F245" s="223" t="s">
        <v>319</v>
      </c>
      <c r="G245" s="226">
        <v>21.61</v>
      </c>
    </row>
    <row r="246" spans="1:7" ht="10.5" x14ac:dyDescent="0.5">
      <c r="A246" s="330"/>
      <c r="B246" s="223" t="s">
        <v>843</v>
      </c>
      <c r="C246" s="224"/>
      <c r="D246" s="225" t="s">
        <v>376</v>
      </c>
      <c r="E246" s="223" t="s">
        <v>98</v>
      </c>
      <c r="F246" s="223" t="s">
        <v>319</v>
      </c>
      <c r="G246" s="226">
        <v>198</v>
      </c>
    </row>
    <row r="247" spans="1:7" ht="10.5" x14ac:dyDescent="0.5">
      <c r="A247" s="330"/>
      <c r="B247" s="223" t="s">
        <v>410</v>
      </c>
      <c r="C247" s="224" t="s">
        <v>410</v>
      </c>
      <c r="D247" s="225" t="s">
        <v>376</v>
      </c>
      <c r="E247" s="223" t="s">
        <v>98</v>
      </c>
      <c r="F247" s="223" t="s">
        <v>319</v>
      </c>
      <c r="G247" s="226">
        <v>100</v>
      </c>
    </row>
    <row r="248" spans="1:7" ht="10.5" x14ac:dyDescent="0.5">
      <c r="A248" s="330"/>
      <c r="B248" s="223" t="s">
        <v>844</v>
      </c>
      <c r="C248" s="224" t="s">
        <v>411</v>
      </c>
      <c r="D248" s="225" t="s">
        <v>376</v>
      </c>
      <c r="E248" s="223" t="s">
        <v>18</v>
      </c>
      <c r="F248" s="223" t="s">
        <v>319</v>
      </c>
      <c r="G248" s="226">
        <v>42.79</v>
      </c>
    </row>
    <row r="249" spans="1:7" ht="10.5" x14ac:dyDescent="0.5">
      <c r="A249" s="330"/>
      <c r="B249" s="223" t="s">
        <v>60</v>
      </c>
      <c r="C249" s="224" t="s">
        <v>412</v>
      </c>
      <c r="D249" s="225" t="s">
        <v>376</v>
      </c>
      <c r="E249" s="223" t="s">
        <v>18</v>
      </c>
      <c r="F249" s="223" t="s">
        <v>319</v>
      </c>
      <c r="G249" s="226">
        <v>95</v>
      </c>
    </row>
    <row r="250" spans="1:7" ht="10.75" thickBot="1" x14ac:dyDescent="0.55000000000000004">
      <c r="A250" s="331"/>
      <c r="B250" s="261" t="s">
        <v>845</v>
      </c>
      <c r="C250" s="262"/>
      <c r="D250" s="263" t="s">
        <v>376</v>
      </c>
      <c r="E250" s="261" t="s">
        <v>18</v>
      </c>
      <c r="F250" s="261" t="s">
        <v>319</v>
      </c>
      <c r="G250" s="264">
        <v>118.75</v>
      </c>
    </row>
    <row r="251" spans="1:7" ht="10.5" x14ac:dyDescent="0.5">
      <c r="A251" s="329" t="s">
        <v>1047</v>
      </c>
      <c r="B251" s="265" t="s">
        <v>846</v>
      </c>
      <c r="C251" s="266" t="s">
        <v>413</v>
      </c>
      <c r="D251" s="267" t="s">
        <v>414</v>
      </c>
      <c r="E251" s="265" t="s">
        <v>83</v>
      </c>
      <c r="F251" s="265" t="s">
        <v>319</v>
      </c>
      <c r="G251" s="268">
        <v>3.19</v>
      </c>
    </row>
    <row r="252" spans="1:7" ht="10.5" x14ac:dyDescent="0.5">
      <c r="A252" s="330"/>
      <c r="B252" s="227" t="s">
        <v>415</v>
      </c>
      <c r="C252" s="228" t="s">
        <v>415</v>
      </c>
      <c r="D252" s="229" t="s">
        <v>414</v>
      </c>
      <c r="E252" s="227" t="s">
        <v>83</v>
      </c>
      <c r="F252" s="227" t="s">
        <v>319</v>
      </c>
      <c r="G252" s="230">
        <v>6.78</v>
      </c>
    </row>
    <row r="253" spans="1:7" ht="10.5" x14ac:dyDescent="0.5">
      <c r="A253" s="330"/>
      <c r="B253" s="227" t="s">
        <v>847</v>
      </c>
      <c r="C253" s="228"/>
      <c r="D253" s="229" t="s">
        <v>414</v>
      </c>
      <c r="E253" s="227" t="s">
        <v>83</v>
      </c>
      <c r="F253" s="227" t="s">
        <v>319</v>
      </c>
      <c r="G253" s="230">
        <v>20.350000000000001</v>
      </c>
    </row>
    <row r="254" spans="1:7" ht="10.5" x14ac:dyDescent="0.5">
      <c r="A254" s="330"/>
      <c r="B254" s="227" t="s">
        <v>416</v>
      </c>
      <c r="C254" s="228" t="s">
        <v>416</v>
      </c>
      <c r="D254" s="229" t="s">
        <v>414</v>
      </c>
      <c r="E254" s="227" t="s">
        <v>83</v>
      </c>
      <c r="F254" s="227" t="s">
        <v>319</v>
      </c>
      <c r="G254" s="230">
        <v>4.3</v>
      </c>
    </row>
    <row r="255" spans="1:7" ht="10.5" x14ac:dyDescent="0.5">
      <c r="A255" s="330"/>
      <c r="B255" s="227" t="s">
        <v>848</v>
      </c>
      <c r="C255" s="228"/>
      <c r="D255" s="229" t="s">
        <v>414</v>
      </c>
      <c r="E255" s="227" t="s">
        <v>83</v>
      </c>
      <c r="F255" s="227" t="s">
        <v>319</v>
      </c>
      <c r="G255" s="230">
        <v>1.5</v>
      </c>
    </row>
    <row r="256" spans="1:7" ht="10.5" x14ac:dyDescent="0.5">
      <c r="A256" s="330"/>
      <c r="B256" s="227" t="s">
        <v>849</v>
      </c>
      <c r="C256" s="228" t="s">
        <v>417</v>
      </c>
      <c r="D256" s="229" t="s">
        <v>414</v>
      </c>
      <c r="E256" s="227" t="s">
        <v>98</v>
      </c>
      <c r="F256" s="227" t="s">
        <v>319</v>
      </c>
      <c r="G256" s="230">
        <v>125</v>
      </c>
    </row>
    <row r="257" spans="1:7" ht="10.5" x14ac:dyDescent="0.5">
      <c r="A257" s="330"/>
      <c r="B257" s="227" t="s">
        <v>850</v>
      </c>
      <c r="C257" s="228"/>
      <c r="D257" s="229" t="s">
        <v>414</v>
      </c>
      <c r="E257" s="227" t="s">
        <v>48</v>
      </c>
      <c r="F257" s="227" t="s">
        <v>319</v>
      </c>
      <c r="G257" s="230">
        <v>50</v>
      </c>
    </row>
    <row r="258" spans="1:7" ht="10.5" x14ac:dyDescent="0.5">
      <c r="A258" s="330"/>
      <c r="B258" s="227" t="s">
        <v>851</v>
      </c>
      <c r="C258" s="228" t="s">
        <v>418</v>
      </c>
      <c r="D258" s="229" t="s">
        <v>414</v>
      </c>
      <c r="E258" s="227" t="s">
        <v>98</v>
      </c>
      <c r="F258" s="227" t="s">
        <v>319</v>
      </c>
      <c r="G258" s="230">
        <v>15400</v>
      </c>
    </row>
    <row r="259" spans="1:7" ht="10.5" x14ac:dyDescent="0.5">
      <c r="A259" s="330"/>
      <c r="B259" s="227" t="s">
        <v>852</v>
      </c>
      <c r="C259" s="228" t="s">
        <v>419</v>
      </c>
      <c r="D259" s="229" t="s">
        <v>414</v>
      </c>
      <c r="E259" s="227" t="s">
        <v>98</v>
      </c>
      <c r="F259" s="227" t="s">
        <v>319</v>
      </c>
      <c r="G259" s="230">
        <v>5240</v>
      </c>
    </row>
    <row r="260" spans="1:7" ht="10.5" x14ac:dyDescent="0.5">
      <c r="A260" s="330"/>
      <c r="B260" s="227" t="s">
        <v>15</v>
      </c>
      <c r="C260" s="228" t="s">
        <v>420</v>
      </c>
      <c r="D260" s="229" t="s">
        <v>414</v>
      </c>
      <c r="E260" s="227" t="s">
        <v>14</v>
      </c>
      <c r="F260" s="227" t="s">
        <v>319</v>
      </c>
      <c r="G260" s="230">
        <v>1</v>
      </c>
    </row>
    <row r="261" spans="1:7" ht="10.5" x14ac:dyDescent="0.5">
      <c r="A261" s="330"/>
      <c r="B261" s="227" t="s">
        <v>853</v>
      </c>
      <c r="C261" s="228"/>
      <c r="D261" s="229" t="s">
        <v>414</v>
      </c>
      <c r="E261" s="227" t="s">
        <v>48</v>
      </c>
      <c r="F261" s="227" t="s">
        <v>319</v>
      </c>
      <c r="G261" s="230">
        <v>400</v>
      </c>
    </row>
    <row r="262" spans="1:7" ht="10.5" x14ac:dyDescent="0.5">
      <c r="A262" s="330"/>
      <c r="B262" s="227" t="s">
        <v>854</v>
      </c>
      <c r="C262" s="228"/>
      <c r="D262" s="229" t="s">
        <v>414</v>
      </c>
      <c r="E262" s="227" t="s">
        <v>14</v>
      </c>
      <c r="F262" s="227" t="s">
        <v>319</v>
      </c>
      <c r="G262" s="230">
        <v>1</v>
      </c>
    </row>
    <row r="263" spans="1:7" ht="10.5" x14ac:dyDescent="0.5">
      <c r="A263" s="330"/>
      <c r="B263" s="227" t="s">
        <v>855</v>
      </c>
      <c r="C263" s="228" t="s">
        <v>421</v>
      </c>
      <c r="D263" s="229" t="s">
        <v>414</v>
      </c>
      <c r="E263" s="227" t="s">
        <v>48</v>
      </c>
      <c r="F263" s="227" t="s">
        <v>319</v>
      </c>
      <c r="G263" s="230">
        <v>200</v>
      </c>
    </row>
    <row r="264" spans="1:7" ht="10.5" x14ac:dyDescent="0.5">
      <c r="A264" s="330"/>
      <c r="B264" s="227" t="s">
        <v>856</v>
      </c>
      <c r="C264" s="228" t="s">
        <v>422</v>
      </c>
      <c r="D264" s="229" t="s">
        <v>414</v>
      </c>
      <c r="E264" s="227" t="s">
        <v>83</v>
      </c>
      <c r="F264" s="227" t="s">
        <v>319</v>
      </c>
      <c r="G264" s="230">
        <v>35</v>
      </c>
    </row>
    <row r="265" spans="1:7" ht="10.5" x14ac:dyDescent="0.5">
      <c r="A265" s="330"/>
      <c r="B265" s="227" t="s">
        <v>151</v>
      </c>
      <c r="C265" s="228" t="s">
        <v>423</v>
      </c>
      <c r="D265" s="229" t="s">
        <v>414</v>
      </c>
      <c r="E265" s="227" t="s">
        <v>83</v>
      </c>
      <c r="F265" s="227" t="s">
        <v>319</v>
      </c>
      <c r="G265" s="230">
        <v>25</v>
      </c>
    </row>
    <row r="266" spans="1:7" ht="10.5" x14ac:dyDescent="0.5">
      <c r="A266" s="330"/>
      <c r="B266" s="227" t="s">
        <v>857</v>
      </c>
      <c r="C266" s="228"/>
      <c r="D266" s="229" t="s">
        <v>414</v>
      </c>
      <c r="E266" s="227" t="s">
        <v>17</v>
      </c>
      <c r="F266" s="227" t="s">
        <v>319</v>
      </c>
      <c r="G266" s="230">
        <v>1</v>
      </c>
    </row>
    <row r="267" spans="1:7" ht="10.5" x14ac:dyDescent="0.5">
      <c r="A267" s="330"/>
      <c r="B267" s="227" t="s">
        <v>858</v>
      </c>
      <c r="C267" s="228"/>
      <c r="D267" s="229" t="s">
        <v>414</v>
      </c>
      <c r="E267" s="227" t="s">
        <v>14</v>
      </c>
      <c r="F267" s="227" t="s">
        <v>319</v>
      </c>
      <c r="G267" s="230">
        <v>1</v>
      </c>
    </row>
    <row r="268" spans="1:7" ht="10.5" x14ac:dyDescent="0.5">
      <c r="A268" s="330"/>
      <c r="B268" s="227" t="s">
        <v>859</v>
      </c>
      <c r="C268" s="228"/>
      <c r="D268" s="229" t="s">
        <v>414</v>
      </c>
      <c r="E268" s="227" t="s">
        <v>48</v>
      </c>
      <c r="F268" s="227" t="s">
        <v>319</v>
      </c>
      <c r="G268" s="230">
        <v>10810</v>
      </c>
    </row>
    <row r="269" spans="1:7" ht="10.5" x14ac:dyDescent="0.5">
      <c r="A269" s="330"/>
      <c r="B269" s="227" t="s">
        <v>947</v>
      </c>
      <c r="C269" s="228"/>
      <c r="D269" s="229" t="s">
        <v>414</v>
      </c>
      <c r="E269" s="227" t="s">
        <v>48</v>
      </c>
      <c r="F269" s="227" t="s">
        <v>319</v>
      </c>
      <c r="G269" s="230">
        <v>1</v>
      </c>
    </row>
    <row r="270" spans="1:7" ht="10.5" x14ac:dyDescent="0.5">
      <c r="A270" s="330"/>
      <c r="B270" s="227" t="s">
        <v>227</v>
      </c>
      <c r="C270" s="228"/>
      <c r="D270" s="229" t="s">
        <v>414</v>
      </c>
      <c r="E270" s="227" t="s">
        <v>14</v>
      </c>
      <c r="F270" s="227" t="s">
        <v>319</v>
      </c>
      <c r="G270" s="230">
        <v>60</v>
      </c>
    </row>
    <row r="271" spans="1:7" ht="10.5" x14ac:dyDescent="0.5">
      <c r="A271" s="330"/>
      <c r="B271" s="227" t="s">
        <v>860</v>
      </c>
      <c r="C271" s="228"/>
      <c r="D271" s="229" t="s">
        <v>414</v>
      </c>
      <c r="E271" s="227" t="s">
        <v>17</v>
      </c>
      <c r="F271" s="227" t="s">
        <v>319</v>
      </c>
      <c r="G271" s="230">
        <v>1</v>
      </c>
    </row>
    <row r="272" spans="1:7" ht="10.5" x14ac:dyDescent="0.5">
      <c r="A272" s="330"/>
      <c r="B272" s="227" t="s">
        <v>861</v>
      </c>
      <c r="C272" s="228"/>
      <c r="D272" s="229" t="s">
        <v>414</v>
      </c>
      <c r="E272" s="227" t="s">
        <v>48</v>
      </c>
      <c r="F272" s="227" t="s">
        <v>319</v>
      </c>
      <c r="G272" s="230">
        <v>125</v>
      </c>
    </row>
    <row r="273" spans="1:7" ht="10.5" x14ac:dyDescent="0.5">
      <c r="A273" s="330"/>
      <c r="B273" s="227" t="s">
        <v>862</v>
      </c>
      <c r="C273" s="228"/>
      <c r="D273" s="229" t="s">
        <v>414</v>
      </c>
      <c r="E273" s="227" t="s">
        <v>83</v>
      </c>
      <c r="F273" s="227" t="s">
        <v>319</v>
      </c>
      <c r="G273" s="230">
        <v>2.91</v>
      </c>
    </row>
    <row r="274" spans="1:7" ht="10.5" x14ac:dyDescent="0.5">
      <c r="A274" s="330"/>
      <c r="B274" s="227" t="s">
        <v>863</v>
      </c>
      <c r="C274" s="228"/>
      <c r="D274" s="229" t="s">
        <v>414</v>
      </c>
      <c r="E274" s="227" t="s">
        <v>48</v>
      </c>
      <c r="F274" s="227" t="s">
        <v>319</v>
      </c>
      <c r="G274" s="230">
        <v>3430</v>
      </c>
    </row>
    <row r="275" spans="1:7" ht="10.5" x14ac:dyDescent="0.5">
      <c r="A275" s="330"/>
      <c r="B275" s="227" t="s">
        <v>36</v>
      </c>
      <c r="C275" s="228"/>
      <c r="D275" s="229" t="s">
        <v>414</v>
      </c>
      <c r="E275" s="227" t="s">
        <v>18</v>
      </c>
      <c r="F275" s="227" t="s">
        <v>319</v>
      </c>
      <c r="G275" s="230">
        <v>14950</v>
      </c>
    </row>
    <row r="276" spans="1:7" ht="10.5" x14ac:dyDescent="0.5">
      <c r="A276" s="330"/>
      <c r="B276" s="227" t="s">
        <v>864</v>
      </c>
      <c r="C276" s="228" t="s">
        <v>424</v>
      </c>
      <c r="D276" s="229" t="s">
        <v>414</v>
      </c>
      <c r="E276" s="227" t="s">
        <v>425</v>
      </c>
      <c r="F276" s="227" t="s">
        <v>319</v>
      </c>
      <c r="G276" s="230">
        <v>2</v>
      </c>
    </row>
    <row r="277" spans="1:7" ht="10.5" x14ac:dyDescent="0.5">
      <c r="A277" s="330"/>
      <c r="B277" s="227" t="s">
        <v>82</v>
      </c>
      <c r="C277" s="228"/>
      <c r="D277" s="229" t="s">
        <v>414</v>
      </c>
      <c r="E277" s="227" t="s">
        <v>83</v>
      </c>
      <c r="F277" s="227" t="s">
        <v>319</v>
      </c>
      <c r="G277" s="230">
        <v>2.35</v>
      </c>
    </row>
    <row r="278" spans="1:7" ht="10.5" x14ac:dyDescent="0.5">
      <c r="A278" s="330"/>
      <c r="B278" s="227" t="s">
        <v>426</v>
      </c>
      <c r="C278" s="228"/>
      <c r="D278" s="229" t="s">
        <v>414</v>
      </c>
      <c r="E278" s="227" t="s">
        <v>48</v>
      </c>
      <c r="F278" s="227" t="s">
        <v>319</v>
      </c>
      <c r="G278" s="230">
        <v>390</v>
      </c>
    </row>
    <row r="279" spans="1:7" ht="10.5" x14ac:dyDescent="0.5">
      <c r="A279" s="330"/>
      <c r="B279" s="227" t="s">
        <v>865</v>
      </c>
      <c r="C279" s="228"/>
      <c r="D279" s="229" t="s">
        <v>414</v>
      </c>
      <c r="E279" s="227" t="s">
        <v>98</v>
      </c>
      <c r="F279" s="227" t="s">
        <v>319</v>
      </c>
      <c r="G279" s="230">
        <v>8500</v>
      </c>
    </row>
    <row r="280" spans="1:7" ht="10.5" x14ac:dyDescent="0.5">
      <c r="A280" s="330"/>
      <c r="B280" s="227" t="s">
        <v>866</v>
      </c>
      <c r="C280" s="228" t="s">
        <v>427</v>
      </c>
      <c r="D280" s="229" t="s">
        <v>414</v>
      </c>
      <c r="E280" s="227" t="s">
        <v>25</v>
      </c>
      <c r="F280" s="227" t="s">
        <v>319</v>
      </c>
      <c r="G280" s="230">
        <v>320</v>
      </c>
    </row>
    <row r="281" spans="1:7" ht="10.5" x14ac:dyDescent="0.5">
      <c r="A281" s="330"/>
      <c r="B281" s="227" t="s">
        <v>867</v>
      </c>
      <c r="C281" s="228"/>
      <c r="D281" s="229" t="s">
        <v>414</v>
      </c>
      <c r="E281" s="227" t="s">
        <v>14</v>
      </c>
      <c r="F281" s="227" t="s">
        <v>319</v>
      </c>
      <c r="G281" s="230">
        <v>26553</v>
      </c>
    </row>
    <row r="282" spans="1:7" ht="10.5" x14ac:dyDescent="0.5">
      <c r="A282" s="330"/>
      <c r="B282" s="227" t="s">
        <v>868</v>
      </c>
      <c r="C282" s="228" t="s">
        <v>428</v>
      </c>
      <c r="D282" s="229" t="s">
        <v>414</v>
      </c>
      <c r="E282" s="227" t="s">
        <v>14</v>
      </c>
      <c r="F282" s="227" t="s">
        <v>319</v>
      </c>
      <c r="G282" s="230">
        <v>1</v>
      </c>
    </row>
    <row r="283" spans="1:7" ht="10.5" x14ac:dyDescent="0.5">
      <c r="A283" s="330"/>
      <c r="B283" s="227" t="s">
        <v>869</v>
      </c>
      <c r="C283" s="228" t="s">
        <v>429</v>
      </c>
      <c r="D283" s="229" t="s">
        <v>414</v>
      </c>
      <c r="E283" s="227" t="s">
        <v>48</v>
      </c>
      <c r="F283" s="227" t="s">
        <v>319</v>
      </c>
      <c r="G283" s="230">
        <v>300</v>
      </c>
    </row>
    <row r="284" spans="1:7" ht="10.5" x14ac:dyDescent="0.5">
      <c r="A284" s="330"/>
      <c r="B284" s="227" t="s">
        <v>137</v>
      </c>
      <c r="C284" s="228"/>
      <c r="D284" s="229" t="s">
        <v>414</v>
      </c>
      <c r="E284" s="227" t="s">
        <v>25</v>
      </c>
      <c r="F284" s="227" t="s">
        <v>319</v>
      </c>
      <c r="G284" s="230">
        <v>20.25</v>
      </c>
    </row>
    <row r="285" spans="1:7" ht="10.5" x14ac:dyDescent="0.5">
      <c r="A285" s="330"/>
      <c r="B285" s="227" t="s">
        <v>870</v>
      </c>
      <c r="C285" s="228"/>
      <c r="D285" s="229" t="s">
        <v>414</v>
      </c>
      <c r="E285" s="227" t="s">
        <v>48</v>
      </c>
      <c r="F285" s="227" t="s">
        <v>319</v>
      </c>
      <c r="G285" s="230">
        <v>120</v>
      </c>
    </row>
    <row r="286" spans="1:7" ht="10.5" x14ac:dyDescent="0.5">
      <c r="A286" s="330"/>
      <c r="B286" s="227" t="s">
        <v>871</v>
      </c>
      <c r="C286" s="228"/>
      <c r="D286" s="229" t="s">
        <v>414</v>
      </c>
      <c r="E286" s="227" t="s">
        <v>48</v>
      </c>
      <c r="F286" s="227" t="s">
        <v>319</v>
      </c>
      <c r="G286" s="230">
        <v>3617</v>
      </c>
    </row>
    <row r="287" spans="1:7" ht="10.5" x14ac:dyDescent="0.5">
      <c r="A287" s="330"/>
      <c r="B287" s="227" t="s">
        <v>302</v>
      </c>
      <c r="C287" s="228" t="s">
        <v>430</v>
      </c>
      <c r="D287" s="229" t="s">
        <v>414</v>
      </c>
      <c r="E287" s="227" t="s">
        <v>25</v>
      </c>
      <c r="F287" s="227" t="s">
        <v>319</v>
      </c>
      <c r="G287" s="230">
        <v>25.7</v>
      </c>
    </row>
    <row r="288" spans="1:7" ht="10.5" x14ac:dyDescent="0.5">
      <c r="A288" s="330"/>
      <c r="B288" s="227" t="s">
        <v>872</v>
      </c>
      <c r="C288" s="228"/>
      <c r="D288" s="229" t="s">
        <v>414</v>
      </c>
      <c r="E288" s="227" t="s">
        <v>17</v>
      </c>
      <c r="F288" s="227" t="s">
        <v>319</v>
      </c>
      <c r="G288" s="230">
        <v>1</v>
      </c>
    </row>
    <row r="289" spans="1:7" ht="10.5" x14ac:dyDescent="0.5">
      <c r="A289" s="330"/>
      <c r="B289" s="227" t="s">
        <v>873</v>
      </c>
      <c r="C289" s="228"/>
      <c r="D289" s="229" t="s">
        <v>414</v>
      </c>
      <c r="E289" s="227" t="s">
        <v>48</v>
      </c>
      <c r="F289" s="227" t="s">
        <v>319</v>
      </c>
      <c r="G289" s="230">
        <v>5500</v>
      </c>
    </row>
    <row r="290" spans="1:7" ht="10.5" x14ac:dyDescent="0.5">
      <c r="A290" s="330"/>
      <c r="B290" s="227" t="s">
        <v>56</v>
      </c>
      <c r="C290" s="228"/>
      <c r="D290" s="229" t="s">
        <v>414</v>
      </c>
      <c r="E290" s="227" t="s">
        <v>14</v>
      </c>
      <c r="F290" s="227" t="s">
        <v>319</v>
      </c>
      <c r="G290" s="230">
        <v>6000</v>
      </c>
    </row>
    <row r="291" spans="1:7" ht="10.5" x14ac:dyDescent="0.5">
      <c r="A291" s="330"/>
      <c r="B291" s="227" t="s">
        <v>874</v>
      </c>
      <c r="C291" s="228"/>
      <c r="D291" s="229" t="s">
        <v>414</v>
      </c>
      <c r="E291" s="227" t="s">
        <v>48</v>
      </c>
      <c r="F291" s="227" t="s">
        <v>319</v>
      </c>
      <c r="G291" s="230">
        <v>50</v>
      </c>
    </row>
    <row r="292" spans="1:7" ht="10.5" x14ac:dyDescent="0.5">
      <c r="A292" s="330"/>
      <c r="B292" s="227" t="s">
        <v>875</v>
      </c>
      <c r="C292" s="228" t="s">
        <v>431</v>
      </c>
      <c r="D292" s="229" t="s">
        <v>414</v>
      </c>
      <c r="E292" s="227" t="s">
        <v>14</v>
      </c>
      <c r="F292" s="227" t="s">
        <v>319</v>
      </c>
      <c r="G292" s="230">
        <v>6250</v>
      </c>
    </row>
    <row r="293" spans="1:7" ht="10.5" x14ac:dyDescent="0.5">
      <c r="A293" s="330"/>
      <c r="B293" s="227" t="s">
        <v>876</v>
      </c>
      <c r="C293" s="228"/>
      <c r="D293" s="229" t="s">
        <v>414</v>
      </c>
      <c r="E293" s="227" t="s">
        <v>14</v>
      </c>
      <c r="F293" s="227" t="s">
        <v>319</v>
      </c>
      <c r="G293" s="230">
        <v>1</v>
      </c>
    </row>
    <row r="294" spans="1:7" ht="10.5" x14ac:dyDescent="0.5">
      <c r="A294" s="330"/>
      <c r="B294" s="227" t="s">
        <v>877</v>
      </c>
      <c r="C294" s="228"/>
      <c r="D294" s="229" t="s">
        <v>414</v>
      </c>
      <c r="E294" s="227" t="s">
        <v>14</v>
      </c>
      <c r="F294" s="227" t="s">
        <v>319</v>
      </c>
      <c r="G294" s="230">
        <v>1</v>
      </c>
    </row>
    <row r="295" spans="1:7" ht="10.5" x14ac:dyDescent="0.5">
      <c r="A295" s="330"/>
      <c r="B295" s="227" t="s">
        <v>878</v>
      </c>
      <c r="C295" s="228"/>
      <c r="D295" s="229" t="s">
        <v>414</v>
      </c>
      <c r="E295" s="227" t="s">
        <v>48</v>
      </c>
      <c r="F295" s="227" t="s">
        <v>319</v>
      </c>
      <c r="G295" s="230">
        <v>180</v>
      </c>
    </row>
    <row r="296" spans="1:7" ht="10.5" x14ac:dyDescent="0.5">
      <c r="A296" s="330"/>
      <c r="B296" s="227" t="s">
        <v>250</v>
      </c>
      <c r="C296" s="228"/>
      <c r="D296" s="229" t="s">
        <v>414</v>
      </c>
      <c r="E296" s="227" t="s">
        <v>25</v>
      </c>
      <c r="F296" s="227" t="s">
        <v>319</v>
      </c>
      <c r="G296" s="230">
        <v>100</v>
      </c>
    </row>
    <row r="297" spans="1:7" ht="10.5" x14ac:dyDescent="0.5">
      <c r="A297" s="330"/>
      <c r="B297" s="227" t="s">
        <v>879</v>
      </c>
      <c r="C297" s="228" t="s">
        <v>432</v>
      </c>
      <c r="D297" s="229" t="s">
        <v>414</v>
      </c>
      <c r="E297" s="227" t="s">
        <v>48</v>
      </c>
      <c r="F297" s="227" t="s">
        <v>319</v>
      </c>
      <c r="G297" s="230">
        <v>3750</v>
      </c>
    </row>
    <row r="298" spans="1:7" ht="10.5" x14ac:dyDescent="0.5">
      <c r="A298" s="330"/>
      <c r="B298" s="227" t="s">
        <v>880</v>
      </c>
      <c r="C298" s="228" t="s">
        <v>433</v>
      </c>
      <c r="D298" s="229" t="s">
        <v>414</v>
      </c>
      <c r="E298" s="227" t="s">
        <v>48</v>
      </c>
      <c r="F298" s="227" t="s">
        <v>319</v>
      </c>
      <c r="G298" s="230">
        <v>2500</v>
      </c>
    </row>
    <row r="299" spans="1:7" ht="10.5" x14ac:dyDescent="0.5">
      <c r="A299" s="330"/>
      <c r="B299" s="227" t="s">
        <v>242</v>
      </c>
      <c r="C299" s="228"/>
      <c r="D299" s="229" t="s">
        <v>414</v>
      </c>
      <c r="E299" s="227" t="s">
        <v>18</v>
      </c>
      <c r="F299" s="227" t="s">
        <v>319</v>
      </c>
      <c r="G299" s="230">
        <v>85</v>
      </c>
    </row>
    <row r="300" spans="1:7" ht="10.5" x14ac:dyDescent="0.5">
      <c r="A300" s="330"/>
      <c r="B300" s="227" t="s">
        <v>881</v>
      </c>
      <c r="C300" s="228"/>
      <c r="D300" s="229" t="s">
        <v>414</v>
      </c>
      <c r="E300" s="227" t="s">
        <v>64</v>
      </c>
      <c r="F300" s="227" t="s">
        <v>319</v>
      </c>
      <c r="G300" s="230">
        <v>600</v>
      </c>
    </row>
    <row r="301" spans="1:7" ht="10.5" x14ac:dyDescent="0.5">
      <c r="A301" s="330"/>
      <c r="B301" s="227" t="s">
        <v>882</v>
      </c>
      <c r="C301" s="228"/>
      <c r="D301" s="229" t="s">
        <v>414</v>
      </c>
      <c r="E301" s="227" t="s">
        <v>14</v>
      </c>
      <c r="F301" s="227" t="s">
        <v>319</v>
      </c>
      <c r="G301" s="230">
        <v>5000</v>
      </c>
    </row>
    <row r="302" spans="1:7" ht="10.5" x14ac:dyDescent="0.5">
      <c r="A302" s="330"/>
      <c r="B302" s="227" t="s">
        <v>883</v>
      </c>
      <c r="C302" s="228"/>
      <c r="D302" s="229" t="s">
        <v>414</v>
      </c>
      <c r="E302" s="227" t="s">
        <v>48</v>
      </c>
      <c r="F302" s="227" t="s">
        <v>319</v>
      </c>
      <c r="G302" s="230">
        <v>700</v>
      </c>
    </row>
    <row r="303" spans="1:7" ht="10.5" x14ac:dyDescent="0.5">
      <c r="A303" s="330"/>
      <c r="B303" s="227" t="s">
        <v>587</v>
      </c>
      <c r="C303" s="228" t="s">
        <v>434</v>
      </c>
      <c r="D303" s="229" t="s">
        <v>414</v>
      </c>
      <c r="E303" s="227" t="s">
        <v>83</v>
      </c>
      <c r="F303" s="227" t="s">
        <v>319</v>
      </c>
      <c r="G303" s="230">
        <v>4.49</v>
      </c>
    </row>
    <row r="304" spans="1:7" ht="10.5" x14ac:dyDescent="0.5">
      <c r="A304" s="330"/>
      <c r="B304" s="227" t="s">
        <v>884</v>
      </c>
      <c r="C304" s="228"/>
      <c r="D304" s="229" t="s">
        <v>414</v>
      </c>
      <c r="E304" s="227" t="s">
        <v>14</v>
      </c>
      <c r="F304" s="227" t="s">
        <v>319</v>
      </c>
      <c r="G304" s="230">
        <v>2100</v>
      </c>
    </row>
    <row r="305" spans="1:7" ht="10.5" x14ac:dyDescent="0.5">
      <c r="A305" s="330"/>
      <c r="B305" s="227" t="s">
        <v>885</v>
      </c>
      <c r="C305" s="228" t="s">
        <v>435</v>
      </c>
      <c r="D305" s="229" t="s">
        <v>414</v>
      </c>
      <c r="E305" s="227" t="s">
        <v>14</v>
      </c>
      <c r="F305" s="227" t="s">
        <v>319</v>
      </c>
      <c r="G305" s="230">
        <v>73745</v>
      </c>
    </row>
    <row r="306" spans="1:7" ht="10.5" x14ac:dyDescent="0.5">
      <c r="A306" s="330"/>
      <c r="B306" s="227" t="s">
        <v>886</v>
      </c>
      <c r="C306" s="228"/>
      <c r="D306" s="229" t="s">
        <v>414</v>
      </c>
      <c r="E306" s="227" t="s">
        <v>14</v>
      </c>
      <c r="F306" s="227" t="s">
        <v>319</v>
      </c>
      <c r="G306" s="230">
        <v>1</v>
      </c>
    </row>
    <row r="307" spans="1:7" ht="10.5" x14ac:dyDescent="0.5">
      <c r="A307" s="330"/>
      <c r="B307" s="227" t="s">
        <v>887</v>
      </c>
      <c r="C307" s="228"/>
      <c r="D307" s="229" t="s">
        <v>414</v>
      </c>
      <c r="E307" s="227" t="s">
        <v>83</v>
      </c>
      <c r="F307" s="227" t="s">
        <v>319</v>
      </c>
      <c r="G307" s="230">
        <v>7.81</v>
      </c>
    </row>
    <row r="308" spans="1:7" ht="10.5" x14ac:dyDescent="0.5">
      <c r="A308" s="330"/>
      <c r="B308" s="227" t="s">
        <v>888</v>
      </c>
      <c r="C308" s="228"/>
      <c r="D308" s="229" t="s">
        <v>414</v>
      </c>
      <c r="E308" s="227" t="s">
        <v>25</v>
      </c>
      <c r="F308" s="227" t="s">
        <v>319</v>
      </c>
      <c r="G308" s="230">
        <v>195</v>
      </c>
    </row>
    <row r="309" spans="1:7" ht="10.5" x14ac:dyDescent="0.5">
      <c r="A309" s="330"/>
      <c r="B309" s="227" t="s">
        <v>889</v>
      </c>
      <c r="C309" s="228" t="s">
        <v>436</v>
      </c>
      <c r="D309" s="229" t="s">
        <v>414</v>
      </c>
      <c r="E309" s="227" t="s">
        <v>48</v>
      </c>
      <c r="F309" s="227" t="s">
        <v>319</v>
      </c>
      <c r="G309" s="230">
        <v>145</v>
      </c>
    </row>
    <row r="310" spans="1:7" ht="10.5" x14ac:dyDescent="0.5">
      <c r="A310" s="330"/>
      <c r="B310" s="227" t="s">
        <v>890</v>
      </c>
      <c r="C310" s="228"/>
      <c r="D310" s="229" t="s">
        <v>414</v>
      </c>
      <c r="E310" s="227" t="s">
        <v>83</v>
      </c>
      <c r="F310" s="227" t="s">
        <v>319</v>
      </c>
      <c r="G310" s="230">
        <v>5.56</v>
      </c>
    </row>
    <row r="311" spans="1:7" ht="10.5" x14ac:dyDescent="0.5">
      <c r="A311" s="330"/>
      <c r="B311" s="227" t="s">
        <v>891</v>
      </c>
      <c r="C311" s="228"/>
      <c r="D311" s="229" t="s">
        <v>414</v>
      </c>
      <c r="E311" s="227" t="s">
        <v>83</v>
      </c>
      <c r="F311" s="227" t="s">
        <v>319</v>
      </c>
      <c r="G311" s="230">
        <v>4.8899999999999997</v>
      </c>
    </row>
    <row r="312" spans="1:7" ht="10.5" x14ac:dyDescent="0.5">
      <c r="A312" s="330"/>
      <c r="B312" s="227" t="s">
        <v>892</v>
      </c>
      <c r="C312" s="228"/>
      <c r="D312" s="229" t="s">
        <v>414</v>
      </c>
      <c r="E312" s="227" t="s">
        <v>83</v>
      </c>
      <c r="F312" s="227" t="s">
        <v>319</v>
      </c>
      <c r="G312" s="230">
        <v>6.67</v>
      </c>
    </row>
    <row r="313" spans="1:7" ht="10.5" x14ac:dyDescent="0.5">
      <c r="A313" s="330"/>
      <c r="B313" s="227" t="s">
        <v>893</v>
      </c>
      <c r="C313" s="228"/>
      <c r="D313" s="229" t="s">
        <v>414</v>
      </c>
      <c r="E313" s="227" t="s">
        <v>83</v>
      </c>
      <c r="F313" s="227" t="s">
        <v>319</v>
      </c>
      <c r="G313" s="230">
        <v>5.99</v>
      </c>
    </row>
    <row r="314" spans="1:7" ht="10.5" x14ac:dyDescent="0.5">
      <c r="A314" s="330"/>
      <c r="B314" s="227" t="s">
        <v>894</v>
      </c>
      <c r="C314" s="228"/>
      <c r="D314" s="229" t="s">
        <v>414</v>
      </c>
      <c r="E314" s="227" t="s">
        <v>83</v>
      </c>
      <c r="F314" s="227" t="s">
        <v>319</v>
      </c>
      <c r="G314" s="230">
        <v>4.2699999999999996</v>
      </c>
    </row>
    <row r="315" spans="1:7" ht="10.5" x14ac:dyDescent="0.5">
      <c r="A315" s="330"/>
      <c r="B315" s="227" t="s">
        <v>895</v>
      </c>
      <c r="C315" s="228"/>
      <c r="D315" s="229" t="s">
        <v>414</v>
      </c>
      <c r="E315" s="227" t="s">
        <v>83</v>
      </c>
      <c r="F315" s="227" t="s">
        <v>319</v>
      </c>
      <c r="G315" s="230">
        <v>4.54</v>
      </c>
    </row>
    <row r="316" spans="1:7" ht="10.5" x14ac:dyDescent="0.5">
      <c r="A316" s="330"/>
      <c r="B316" s="227" t="s">
        <v>896</v>
      </c>
      <c r="C316" s="228"/>
      <c r="D316" s="229" t="s">
        <v>414</v>
      </c>
      <c r="E316" s="227" t="s">
        <v>83</v>
      </c>
      <c r="F316" s="227" t="s">
        <v>319</v>
      </c>
      <c r="G316" s="230">
        <v>4.37</v>
      </c>
    </row>
    <row r="317" spans="1:7" ht="10.5" x14ac:dyDescent="0.5">
      <c r="A317" s="330"/>
      <c r="B317" s="227" t="s">
        <v>897</v>
      </c>
      <c r="C317" s="228"/>
      <c r="D317" s="229" t="s">
        <v>414</v>
      </c>
      <c r="E317" s="227" t="s">
        <v>83</v>
      </c>
      <c r="F317" s="227" t="s">
        <v>319</v>
      </c>
      <c r="G317" s="230">
        <v>5.34</v>
      </c>
    </row>
    <row r="318" spans="1:7" ht="10.5" x14ac:dyDescent="0.5">
      <c r="A318" s="330"/>
      <c r="B318" s="227" t="s">
        <v>898</v>
      </c>
      <c r="C318" s="228" t="s">
        <v>437</v>
      </c>
      <c r="D318" s="229" t="s">
        <v>414</v>
      </c>
      <c r="E318" s="227" t="s">
        <v>25</v>
      </c>
      <c r="F318" s="227" t="s">
        <v>319</v>
      </c>
      <c r="G318" s="230">
        <v>66</v>
      </c>
    </row>
    <row r="319" spans="1:7" ht="10.5" x14ac:dyDescent="0.5">
      <c r="A319" s="330"/>
      <c r="B319" s="227" t="s">
        <v>899</v>
      </c>
      <c r="C319" s="228"/>
      <c r="D319" s="229" t="s">
        <v>414</v>
      </c>
      <c r="E319" s="227" t="s">
        <v>18</v>
      </c>
      <c r="F319" s="227" t="s">
        <v>319</v>
      </c>
      <c r="G319" s="230">
        <v>200</v>
      </c>
    </row>
    <row r="320" spans="1:7" ht="10.5" x14ac:dyDescent="0.5">
      <c r="A320" s="330"/>
      <c r="B320" s="227" t="s">
        <v>268</v>
      </c>
      <c r="C320" s="228"/>
      <c r="D320" s="229" t="s">
        <v>414</v>
      </c>
      <c r="E320" s="227" t="s">
        <v>17</v>
      </c>
      <c r="F320" s="227" t="s">
        <v>319</v>
      </c>
      <c r="G320" s="230">
        <v>1</v>
      </c>
    </row>
    <row r="321" spans="1:7" ht="10.5" x14ac:dyDescent="0.5">
      <c r="A321" s="330"/>
      <c r="B321" s="227" t="s">
        <v>900</v>
      </c>
      <c r="C321" s="228"/>
      <c r="D321" s="229" t="s">
        <v>414</v>
      </c>
      <c r="E321" s="227" t="s">
        <v>14</v>
      </c>
      <c r="F321" s="227" t="s">
        <v>319</v>
      </c>
      <c r="G321" s="230">
        <v>1650</v>
      </c>
    </row>
    <row r="322" spans="1:7" ht="10.5" x14ac:dyDescent="0.5">
      <c r="A322" s="330"/>
      <c r="B322" s="227" t="s">
        <v>901</v>
      </c>
      <c r="C322" s="228"/>
      <c r="D322" s="229" t="s">
        <v>414</v>
      </c>
      <c r="E322" s="227" t="s">
        <v>64</v>
      </c>
      <c r="F322" s="227" t="s">
        <v>319</v>
      </c>
      <c r="G322" s="230">
        <v>2200</v>
      </c>
    </row>
    <row r="323" spans="1:7" ht="10.5" x14ac:dyDescent="0.5">
      <c r="A323" s="330"/>
      <c r="B323" s="227" t="s">
        <v>902</v>
      </c>
      <c r="C323" s="228"/>
      <c r="D323" s="229" t="s">
        <v>414</v>
      </c>
      <c r="E323" s="227" t="s">
        <v>83</v>
      </c>
      <c r="F323" s="227" t="s">
        <v>319</v>
      </c>
      <c r="G323" s="230">
        <v>75</v>
      </c>
    </row>
    <row r="324" spans="1:7" ht="10.5" x14ac:dyDescent="0.5">
      <c r="A324" s="330"/>
      <c r="B324" s="227" t="s">
        <v>438</v>
      </c>
      <c r="C324" s="228"/>
      <c r="D324" s="229" t="s">
        <v>414</v>
      </c>
      <c r="E324" s="227" t="s">
        <v>48</v>
      </c>
      <c r="F324" s="227" t="s">
        <v>319</v>
      </c>
      <c r="G324" s="230">
        <v>143.68</v>
      </c>
    </row>
    <row r="325" spans="1:7" ht="10.5" x14ac:dyDescent="0.5">
      <c r="A325" s="330"/>
      <c r="B325" s="227" t="s">
        <v>903</v>
      </c>
      <c r="C325" s="228"/>
      <c r="D325" s="229" t="s">
        <v>414</v>
      </c>
      <c r="E325" s="227" t="s">
        <v>48</v>
      </c>
      <c r="F325" s="227" t="s">
        <v>319</v>
      </c>
      <c r="G325" s="230">
        <v>45</v>
      </c>
    </row>
    <row r="326" spans="1:7" ht="10.5" x14ac:dyDescent="0.5">
      <c r="A326" s="330"/>
      <c r="B326" s="227" t="s">
        <v>255</v>
      </c>
      <c r="C326" s="228"/>
      <c r="D326" s="229" t="s">
        <v>414</v>
      </c>
      <c r="E326" s="227" t="s">
        <v>25</v>
      </c>
      <c r="F326" s="227" t="s">
        <v>319</v>
      </c>
      <c r="G326" s="230">
        <v>16</v>
      </c>
    </row>
    <row r="327" spans="1:7" ht="10.5" x14ac:dyDescent="0.5">
      <c r="A327" s="330"/>
      <c r="B327" s="227" t="s">
        <v>63</v>
      </c>
      <c r="C327" s="228" t="s">
        <v>439</v>
      </c>
      <c r="D327" s="229" t="s">
        <v>414</v>
      </c>
      <c r="E327" s="227" t="s">
        <v>64</v>
      </c>
      <c r="F327" s="227" t="s">
        <v>319</v>
      </c>
      <c r="G327" s="230">
        <v>45</v>
      </c>
    </row>
    <row r="328" spans="1:7" ht="10.5" x14ac:dyDescent="0.5">
      <c r="A328" s="330"/>
      <c r="B328" s="227" t="s">
        <v>26</v>
      </c>
      <c r="C328" s="228" t="s">
        <v>440</v>
      </c>
      <c r="D328" s="229" t="s">
        <v>414</v>
      </c>
      <c r="E328" s="227" t="s">
        <v>18</v>
      </c>
      <c r="F328" s="227" t="s">
        <v>319</v>
      </c>
      <c r="G328" s="230">
        <v>102.16</v>
      </c>
    </row>
    <row r="329" spans="1:7" ht="10.5" x14ac:dyDescent="0.5">
      <c r="A329" s="330"/>
      <c r="B329" s="227" t="s">
        <v>904</v>
      </c>
      <c r="C329" s="228"/>
      <c r="D329" s="229" t="s">
        <v>414</v>
      </c>
      <c r="E329" s="227" t="s">
        <v>18</v>
      </c>
      <c r="F329" s="227" t="s">
        <v>319</v>
      </c>
      <c r="G329" s="230">
        <v>25</v>
      </c>
    </row>
    <row r="330" spans="1:7" ht="10.5" x14ac:dyDescent="0.5">
      <c r="A330" s="330"/>
      <c r="B330" s="227" t="s">
        <v>905</v>
      </c>
      <c r="C330" s="228"/>
      <c r="D330" s="229" t="s">
        <v>414</v>
      </c>
      <c r="E330" s="227" t="s">
        <v>83</v>
      </c>
      <c r="F330" s="227" t="s">
        <v>319</v>
      </c>
      <c r="G330" s="230">
        <v>7</v>
      </c>
    </row>
    <row r="331" spans="1:7" ht="10.5" x14ac:dyDescent="0.5">
      <c r="A331" s="330"/>
      <c r="B331" s="227" t="s">
        <v>906</v>
      </c>
      <c r="C331" s="228" t="s">
        <v>441</v>
      </c>
      <c r="D331" s="229" t="s">
        <v>414</v>
      </c>
      <c r="E331" s="227" t="s">
        <v>14</v>
      </c>
      <c r="F331" s="227" t="s">
        <v>319</v>
      </c>
      <c r="G331" s="230">
        <v>1</v>
      </c>
    </row>
    <row r="332" spans="1:7" ht="10.5" x14ac:dyDescent="0.5">
      <c r="A332" s="330"/>
      <c r="B332" s="227" t="s">
        <v>24</v>
      </c>
      <c r="C332" s="228" t="s">
        <v>442</v>
      </c>
      <c r="D332" s="229" t="s">
        <v>414</v>
      </c>
      <c r="E332" s="227" t="s">
        <v>25</v>
      </c>
      <c r="F332" s="227" t="s">
        <v>319</v>
      </c>
      <c r="G332" s="230">
        <v>82.5</v>
      </c>
    </row>
    <row r="333" spans="1:7" ht="10.5" x14ac:dyDescent="0.5">
      <c r="A333" s="330"/>
      <c r="B333" s="227" t="s">
        <v>907</v>
      </c>
      <c r="C333" s="228"/>
      <c r="D333" s="229" t="s">
        <v>414</v>
      </c>
      <c r="E333" s="227" t="s">
        <v>17</v>
      </c>
      <c r="F333" s="227" t="s">
        <v>319</v>
      </c>
      <c r="G333" s="230">
        <v>1</v>
      </c>
    </row>
    <row r="334" spans="1:7" ht="10.5" x14ac:dyDescent="0.5">
      <c r="A334" s="330"/>
      <c r="B334" s="227" t="s">
        <v>908</v>
      </c>
      <c r="C334" s="228"/>
      <c r="D334" s="229" t="s">
        <v>414</v>
      </c>
      <c r="E334" s="227" t="s">
        <v>64</v>
      </c>
      <c r="F334" s="227" t="s">
        <v>319</v>
      </c>
      <c r="G334" s="230">
        <v>287</v>
      </c>
    </row>
    <row r="335" spans="1:7" ht="10.5" x14ac:dyDescent="0.5">
      <c r="A335" s="330"/>
      <c r="B335" s="227" t="s">
        <v>909</v>
      </c>
      <c r="C335" s="228"/>
      <c r="D335" s="229" t="s">
        <v>414</v>
      </c>
      <c r="E335" s="227" t="s">
        <v>64</v>
      </c>
      <c r="F335" s="227" t="s">
        <v>319</v>
      </c>
      <c r="G335" s="230">
        <v>262</v>
      </c>
    </row>
    <row r="336" spans="1:7" ht="10.75" thickBot="1" x14ac:dyDescent="0.55000000000000004">
      <c r="A336" s="331"/>
      <c r="B336" s="231" t="s">
        <v>172</v>
      </c>
      <c r="C336" s="232"/>
      <c r="D336" s="233" t="s">
        <v>414</v>
      </c>
      <c r="E336" s="231" t="s">
        <v>83</v>
      </c>
      <c r="F336" s="231" t="s">
        <v>319</v>
      </c>
      <c r="G336" s="234">
        <v>7660</v>
      </c>
    </row>
  </sheetData>
  <mergeCells count="4">
    <mergeCell ref="A3:A18"/>
    <mergeCell ref="A19:A193"/>
    <mergeCell ref="A194:A250"/>
    <mergeCell ref="A251:A336"/>
  </mergeCells>
  <dataValidations count="1">
    <dataValidation type="list" allowBlank="1" showInputMessage="1" showErrorMessage="1" errorTitle="Invalid Entry!" error="Please Select From Resources List" promptTitle="Resources" prompt="Please Select Resource From List" sqref="B4:B336">
      <formula1>$B$3:$B$336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3"/>
  <sheetViews>
    <sheetView zoomScale="85" zoomScaleNormal="85" workbookViewId="0">
      <selection activeCell="B20" sqref="B20"/>
    </sheetView>
  </sheetViews>
  <sheetFormatPr baseColWidth="10" defaultColWidth="9.1328125" defaultRowHeight="14.25" x14ac:dyDescent="0.65"/>
  <cols>
    <col min="1" max="1" width="9.1328125" style="269"/>
    <col min="2" max="2" width="52.1328125" style="270" customWidth="1"/>
    <col min="3" max="3" width="10" style="269" customWidth="1"/>
    <col min="4" max="4" width="11.54296875" style="271" bestFit="1" customWidth="1"/>
    <col min="5" max="5" width="9.1328125" style="270"/>
    <col min="6" max="16384" width="9.1328125" style="35"/>
  </cols>
  <sheetData>
    <row r="1" spans="1:5" s="316" customFormat="1" ht="30" x14ac:dyDescent="0.25">
      <c r="A1" s="272" t="s">
        <v>972</v>
      </c>
      <c r="B1" s="272" t="s">
        <v>973</v>
      </c>
      <c r="C1" s="272" t="s">
        <v>974</v>
      </c>
      <c r="D1" s="274" t="s">
        <v>1053</v>
      </c>
      <c r="E1" s="272" t="s">
        <v>1052</v>
      </c>
    </row>
    <row r="2" spans="1:5" ht="15" x14ac:dyDescent="0.25">
      <c r="A2" s="275">
        <v>3</v>
      </c>
      <c r="B2" s="276" t="s">
        <v>614</v>
      </c>
      <c r="C2" s="275" t="s">
        <v>970</v>
      </c>
      <c r="D2" s="277">
        <v>0</v>
      </c>
      <c r="E2" s="275"/>
    </row>
    <row r="3" spans="1:5" ht="30" x14ac:dyDescent="0.25">
      <c r="A3" s="275">
        <v>4</v>
      </c>
      <c r="B3" s="276" t="s">
        <v>13</v>
      </c>
      <c r="C3" s="275" t="s">
        <v>970</v>
      </c>
      <c r="D3" s="277">
        <v>1</v>
      </c>
      <c r="E3" s="275" t="str">
        <f>VLOOKUP(A3,Estimate!A:D,4,FALSE)</f>
        <v xml:space="preserve">Item </v>
      </c>
    </row>
    <row r="4" spans="1:5" ht="45" x14ac:dyDescent="0.25">
      <c r="A4" s="275">
        <v>5</v>
      </c>
      <c r="B4" s="276" t="s">
        <v>23</v>
      </c>
      <c r="C4" s="275" t="s">
        <v>970</v>
      </c>
      <c r="D4" s="277">
        <v>1</v>
      </c>
      <c r="E4" s="275" t="str">
        <f>VLOOKUP(A4,Estimate!A:D,4,FALSE)</f>
        <v xml:space="preserve">Item </v>
      </c>
    </row>
    <row r="5" spans="1:5" ht="15" x14ac:dyDescent="0.25">
      <c r="A5" s="275">
        <v>5.0999999999999996</v>
      </c>
      <c r="B5" s="276" t="s">
        <v>24</v>
      </c>
      <c r="C5" s="275" t="s">
        <v>970</v>
      </c>
      <c r="D5" s="277">
        <v>200</v>
      </c>
      <c r="E5" s="275" t="str">
        <f>VLOOKUP(A5,Estimate!A:D,4,FALSE)</f>
        <v xml:space="preserve">m    </v>
      </c>
    </row>
    <row r="6" spans="1:5" ht="15" x14ac:dyDescent="0.25">
      <c r="A6" s="275">
        <v>5.2</v>
      </c>
      <c r="B6" s="276" t="s">
        <v>26</v>
      </c>
      <c r="C6" s="275" t="s">
        <v>970</v>
      </c>
      <c r="D6" s="277">
        <v>90</v>
      </c>
      <c r="E6" s="275" t="str">
        <f>VLOOKUP(A6,Estimate!A:D,4,FALSE)</f>
        <v xml:space="preserve">hr   </v>
      </c>
    </row>
    <row r="7" spans="1:5" ht="15" x14ac:dyDescent="0.25">
      <c r="A7" s="275">
        <v>6</v>
      </c>
      <c r="B7" s="276" t="s">
        <v>28</v>
      </c>
      <c r="C7" s="275" t="s">
        <v>970</v>
      </c>
      <c r="D7" s="277">
        <v>1</v>
      </c>
      <c r="E7" s="275" t="str">
        <f>VLOOKUP(A7,Estimate!A:D,4,FALSE)</f>
        <v xml:space="preserve">Item </v>
      </c>
    </row>
    <row r="8" spans="1:5" ht="15" x14ac:dyDescent="0.25">
      <c r="A8" s="275">
        <v>6.1</v>
      </c>
      <c r="B8" s="276" t="s">
        <v>29</v>
      </c>
      <c r="C8" s="275" t="s">
        <v>970</v>
      </c>
      <c r="D8" s="277">
        <v>12</v>
      </c>
      <c r="E8" s="275" t="str">
        <f>VLOOKUP(A8,Estimate!A:D,4,FALSE)</f>
        <v xml:space="preserve">hr   </v>
      </c>
    </row>
    <row r="9" spans="1:5" ht="15" x14ac:dyDescent="0.25">
      <c r="A9" s="275">
        <v>6.2</v>
      </c>
      <c r="B9" s="276" t="s">
        <v>29</v>
      </c>
      <c r="C9" s="275" t="s">
        <v>970</v>
      </c>
      <c r="D9" s="277">
        <v>18</v>
      </c>
      <c r="E9" s="275" t="str">
        <f>VLOOKUP(A9,Estimate!A:D,4,FALSE)</f>
        <v xml:space="preserve">hr   </v>
      </c>
    </row>
    <row r="10" spans="1:5" ht="15" x14ac:dyDescent="0.25">
      <c r="A10" s="275">
        <v>6.3</v>
      </c>
      <c r="B10" s="276" t="s">
        <v>29</v>
      </c>
      <c r="C10" s="275" t="s">
        <v>970</v>
      </c>
      <c r="D10" s="277">
        <v>60</v>
      </c>
      <c r="E10" s="275" t="str">
        <f>VLOOKUP(A10,Estimate!A:D,4,FALSE)</f>
        <v xml:space="preserve">hr   </v>
      </c>
    </row>
    <row r="11" spans="1:5" ht="30" x14ac:dyDescent="0.25">
      <c r="A11" s="275">
        <v>7</v>
      </c>
      <c r="B11" s="276" t="s">
        <v>31</v>
      </c>
      <c r="C11" s="275" t="s">
        <v>970</v>
      </c>
      <c r="D11" s="277">
        <v>1</v>
      </c>
      <c r="E11" s="275" t="str">
        <f>VLOOKUP(A11,Estimate!A:D,4,FALSE)</f>
        <v xml:space="preserve">Item </v>
      </c>
    </row>
    <row r="12" spans="1:5" ht="15" x14ac:dyDescent="0.25">
      <c r="A12" s="275">
        <v>7.1</v>
      </c>
      <c r="B12" s="276" t="s">
        <v>29</v>
      </c>
      <c r="C12" s="275" t="s">
        <v>970</v>
      </c>
      <c r="D12" s="277">
        <v>12</v>
      </c>
      <c r="E12" s="275" t="str">
        <f>VLOOKUP(A12,Estimate!A:D,4,FALSE)</f>
        <v xml:space="preserve">hr   </v>
      </c>
    </row>
    <row r="13" spans="1:5" ht="15" x14ac:dyDescent="0.25">
      <c r="A13" s="275">
        <v>7.2</v>
      </c>
      <c r="B13" s="276" t="s">
        <v>29</v>
      </c>
      <c r="C13" s="275" t="s">
        <v>970</v>
      </c>
      <c r="D13" s="277">
        <v>26</v>
      </c>
      <c r="E13" s="275" t="str">
        <f>VLOOKUP(A13,Estimate!A:D,4,FALSE)</f>
        <v xml:space="preserve">hr   </v>
      </c>
    </row>
    <row r="14" spans="1:5" ht="30" x14ac:dyDescent="0.25">
      <c r="A14" s="275">
        <v>8</v>
      </c>
      <c r="B14" s="276" t="s">
        <v>33</v>
      </c>
      <c r="C14" s="275" t="s">
        <v>970</v>
      </c>
      <c r="D14" s="277">
        <v>1</v>
      </c>
      <c r="E14" s="275" t="str">
        <f>VLOOKUP(A14,Estimate!A:D,4,FALSE)</f>
        <v xml:space="preserve">Item </v>
      </c>
    </row>
    <row r="15" spans="1:5" ht="15" x14ac:dyDescent="0.25">
      <c r="A15" s="275">
        <v>9</v>
      </c>
      <c r="B15" s="276" t="s">
        <v>35</v>
      </c>
      <c r="C15" s="275" t="s">
        <v>970</v>
      </c>
      <c r="D15" s="277">
        <v>1</v>
      </c>
      <c r="E15" s="275" t="str">
        <f>VLOOKUP(A15,Estimate!A:D,4,FALSE)</f>
        <v xml:space="preserve">Item </v>
      </c>
    </row>
    <row r="16" spans="1:5" ht="15" x14ac:dyDescent="0.25">
      <c r="A16" s="275">
        <v>10</v>
      </c>
      <c r="B16" s="276" t="s">
        <v>38</v>
      </c>
      <c r="C16" s="275" t="s">
        <v>970</v>
      </c>
      <c r="D16" s="277">
        <v>1</v>
      </c>
      <c r="E16" s="275" t="str">
        <f>VLOOKUP(A16,Estimate!A:D,4,FALSE)</f>
        <v xml:space="preserve">Item </v>
      </c>
    </row>
    <row r="17" spans="1:5" ht="30" x14ac:dyDescent="0.25">
      <c r="A17" s="275">
        <v>11</v>
      </c>
      <c r="B17" s="276" t="s">
        <v>40</v>
      </c>
      <c r="C17" s="275" t="s">
        <v>970</v>
      </c>
      <c r="D17" s="277">
        <v>1</v>
      </c>
      <c r="E17" s="275" t="str">
        <f>VLOOKUP(A17,Estimate!A:D,4,FALSE)</f>
        <v xml:space="preserve">Item </v>
      </c>
    </row>
    <row r="18" spans="1:5" ht="15" x14ac:dyDescent="0.25">
      <c r="A18" s="275">
        <v>12</v>
      </c>
      <c r="B18" s="276" t="s">
        <v>42</v>
      </c>
      <c r="C18" s="275" t="s">
        <v>970</v>
      </c>
      <c r="D18" s="277">
        <v>1</v>
      </c>
      <c r="E18" s="275" t="str">
        <f>VLOOKUP(A18,Estimate!A:D,4,FALSE)</f>
        <v xml:space="preserve">Item </v>
      </c>
    </row>
    <row r="19" spans="1:5" ht="15" x14ac:dyDescent="0.25">
      <c r="A19" s="275">
        <v>13</v>
      </c>
      <c r="B19" s="276" t="s">
        <v>615</v>
      </c>
      <c r="C19" s="275" t="s">
        <v>970</v>
      </c>
      <c r="D19" s="277">
        <v>0</v>
      </c>
      <c r="E19" s="275"/>
    </row>
    <row r="20" spans="1:5" ht="60" x14ac:dyDescent="0.25">
      <c r="A20" s="275">
        <v>14</v>
      </c>
      <c r="B20" s="276" t="s">
        <v>45</v>
      </c>
      <c r="C20" s="275" t="s">
        <v>970</v>
      </c>
      <c r="D20" s="277">
        <v>1</v>
      </c>
      <c r="E20" s="275" t="str">
        <f>VLOOKUP(A20,Estimate!A:D,4,FALSE)</f>
        <v xml:space="preserve">Item </v>
      </c>
    </row>
    <row r="21" spans="1:5" x14ac:dyDescent="0.65">
      <c r="A21" s="275">
        <v>14.1</v>
      </c>
      <c r="B21" s="276" t="s">
        <v>46</v>
      </c>
      <c r="C21" s="275" t="s">
        <v>970</v>
      </c>
      <c r="D21" s="277">
        <v>600</v>
      </c>
      <c r="E21" s="275" t="str">
        <f>VLOOKUP(A21,Estimate!A:D,4,FALSE)</f>
        <v xml:space="preserve">m    </v>
      </c>
    </row>
    <row r="22" spans="1:5" x14ac:dyDescent="0.65">
      <c r="A22" s="275">
        <v>14.2</v>
      </c>
      <c r="B22" s="276" t="s">
        <v>49</v>
      </c>
      <c r="C22" s="275" t="s">
        <v>376</v>
      </c>
      <c r="D22" s="277">
        <v>33.332999999999998</v>
      </c>
      <c r="E22" s="275" t="str">
        <f>VLOOKUP(A22,Estimate!A:D,4,FALSE)</f>
        <v xml:space="preserve">hr   </v>
      </c>
    </row>
    <row r="23" spans="1:5" x14ac:dyDescent="0.65">
      <c r="A23" s="275">
        <v>15</v>
      </c>
      <c r="B23" s="276" t="s">
        <v>616</v>
      </c>
      <c r="C23" s="275" t="s">
        <v>970</v>
      </c>
      <c r="D23" s="277">
        <v>0</v>
      </c>
      <c r="E23" s="275">
        <f>VLOOKUP(A23,Estimate!A:D,4,FALSE)</f>
        <v>0</v>
      </c>
    </row>
    <row r="24" spans="1:5" x14ac:dyDescent="0.65">
      <c r="A24" s="275">
        <v>16</v>
      </c>
      <c r="B24" s="276" t="s">
        <v>617</v>
      </c>
      <c r="C24" s="275" t="s">
        <v>970</v>
      </c>
      <c r="D24" s="277">
        <v>0</v>
      </c>
      <c r="E24" s="275">
        <f>VLOOKUP(A24,Estimate!A:D,4,FALSE)</f>
        <v>0</v>
      </c>
    </row>
    <row r="25" spans="1:5" ht="28.5" x14ac:dyDescent="0.65">
      <c r="A25" s="275">
        <v>17</v>
      </c>
      <c r="B25" s="276" t="s">
        <v>51</v>
      </c>
      <c r="C25" s="275" t="s">
        <v>970</v>
      </c>
      <c r="D25" s="277">
        <v>1</v>
      </c>
      <c r="E25" s="275" t="str">
        <f>VLOOKUP(A25,Estimate!A:D,4,FALSE)</f>
        <v xml:space="preserve">Item </v>
      </c>
    </row>
    <row r="26" spans="1:5" x14ac:dyDescent="0.65">
      <c r="A26" s="275">
        <v>18</v>
      </c>
      <c r="B26" s="276" t="s">
        <v>618</v>
      </c>
      <c r="C26" s="275" t="s">
        <v>970</v>
      </c>
      <c r="D26" s="277">
        <v>0</v>
      </c>
      <c r="E26" s="275"/>
    </row>
    <row r="27" spans="1:5" ht="42.75" x14ac:dyDescent="0.65">
      <c r="A27" s="275">
        <v>19</v>
      </c>
      <c r="B27" s="276" t="s">
        <v>53</v>
      </c>
      <c r="C27" s="275" t="s">
        <v>970</v>
      </c>
      <c r="D27" s="277">
        <v>12233</v>
      </c>
      <c r="E27" s="275" t="str">
        <f>VLOOKUP(A27,Estimate!A:D,4,FALSE)</f>
        <v xml:space="preserve">m2   </v>
      </c>
    </row>
    <row r="28" spans="1:5" x14ac:dyDescent="0.65">
      <c r="A28" s="275">
        <v>19.100000000000001</v>
      </c>
      <c r="B28" s="276" t="s">
        <v>55</v>
      </c>
      <c r="C28" s="275" t="s">
        <v>970</v>
      </c>
      <c r="D28" s="277">
        <v>36</v>
      </c>
      <c r="E28" s="275" t="str">
        <f>VLOOKUP(A28,Estimate!A:D,4,FALSE)</f>
        <v xml:space="preserve">hr   </v>
      </c>
    </row>
    <row r="29" spans="1:5" x14ac:dyDescent="0.65">
      <c r="A29" s="275">
        <v>20</v>
      </c>
      <c r="B29" s="276" t="s">
        <v>58</v>
      </c>
      <c r="C29" s="275" t="s">
        <v>970</v>
      </c>
      <c r="D29" s="277">
        <v>7813</v>
      </c>
      <c r="E29" s="275" t="str">
        <f>VLOOKUP(A29,Estimate!A:D,4,FALSE)</f>
        <v xml:space="preserve">m2   </v>
      </c>
    </row>
    <row r="30" spans="1:5" x14ac:dyDescent="0.65">
      <c r="A30" s="275">
        <v>20.100000000000001</v>
      </c>
      <c r="B30" s="276" t="s">
        <v>59</v>
      </c>
      <c r="C30" s="275" t="s">
        <v>376</v>
      </c>
      <c r="D30" s="277">
        <v>177.77799999999999</v>
      </c>
      <c r="E30" s="275" t="str">
        <f>VLOOKUP(A30,Estimate!A:D,4,FALSE)</f>
        <v xml:space="preserve">hr   </v>
      </c>
    </row>
    <row r="31" spans="1:5" x14ac:dyDescent="0.65">
      <c r="A31" s="275">
        <v>21</v>
      </c>
      <c r="B31" s="276" t="s">
        <v>62</v>
      </c>
      <c r="C31" s="275" t="s">
        <v>970</v>
      </c>
      <c r="D31" s="277">
        <v>445</v>
      </c>
      <c r="E31" s="275" t="str">
        <f>VLOOKUP(A31,Estimate!A:D,4,FALSE)</f>
        <v xml:space="preserve">m    </v>
      </c>
    </row>
    <row r="32" spans="1:5" x14ac:dyDescent="0.65">
      <c r="A32" s="275">
        <v>21.1</v>
      </c>
      <c r="B32" s="276" t="s">
        <v>65</v>
      </c>
      <c r="C32" s="275" t="s">
        <v>376</v>
      </c>
      <c r="D32" s="277">
        <v>27.777999999999999</v>
      </c>
      <c r="E32" s="275" t="str">
        <f>VLOOKUP(A32,Estimate!A:D,4,FALSE)</f>
        <v xml:space="preserve">hr   </v>
      </c>
    </row>
    <row r="33" spans="1:5" x14ac:dyDescent="0.65">
      <c r="A33" s="275">
        <v>22</v>
      </c>
      <c r="B33" s="276" t="s">
        <v>68</v>
      </c>
      <c r="C33" s="275" t="s">
        <v>970</v>
      </c>
      <c r="D33" s="277">
        <v>1</v>
      </c>
      <c r="E33" s="275" t="str">
        <f>VLOOKUP(A33,Estimate!A:D,4,FALSE)</f>
        <v xml:space="preserve">Item </v>
      </c>
    </row>
    <row r="34" spans="1:5" x14ac:dyDescent="0.65">
      <c r="A34" s="275">
        <v>22.1</v>
      </c>
      <c r="B34" s="276" t="s">
        <v>55</v>
      </c>
      <c r="C34" s="275" t="s">
        <v>970</v>
      </c>
      <c r="D34" s="277">
        <v>9</v>
      </c>
      <c r="E34" s="275" t="str">
        <f>VLOOKUP(A34,Estimate!A:D,4,FALSE)</f>
        <v xml:space="preserve">hr   </v>
      </c>
    </row>
    <row r="35" spans="1:5" x14ac:dyDescent="0.65">
      <c r="A35" s="275">
        <v>23</v>
      </c>
      <c r="B35" s="276" t="s">
        <v>70</v>
      </c>
      <c r="C35" s="275" t="s">
        <v>970</v>
      </c>
      <c r="D35" s="277">
        <v>1</v>
      </c>
      <c r="E35" s="275" t="str">
        <f>VLOOKUP(A35,Estimate!A:D,4,FALSE)</f>
        <v xml:space="preserve">Item </v>
      </c>
    </row>
    <row r="36" spans="1:5" x14ac:dyDescent="0.65">
      <c r="A36" s="275">
        <v>23.1</v>
      </c>
      <c r="B36" s="276" t="s">
        <v>71</v>
      </c>
      <c r="C36" s="275" t="s">
        <v>970</v>
      </c>
      <c r="D36" s="277">
        <v>10</v>
      </c>
      <c r="E36" s="275" t="str">
        <f>VLOOKUP(A36,Estimate!A:D,4,FALSE)</f>
        <v xml:space="preserve">m³   </v>
      </c>
    </row>
    <row r="37" spans="1:5" x14ac:dyDescent="0.65">
      <c r="A37" s="275">
        <v>24</v>
      </c>
      <c r="B37" s="276" t="s">
        <v>75</v>
      </c>
      <c r="C37" s="275" t="s">
        <v>970</v>
      </c>
      <c r="D37" s="277">
        <v>1</v>
      </c>
      <c r="E37" s="275" t="str">
        <f>VLOOKUP(A37,Estimate!A:D,4,FALSE)</f>
        <v xml:space="preserve">Item </v>
      </c>
    </row>
    <row r="38" spans="1:5" x14ac:dyDescent="0.65">
      <c r="A38" s="275">
        <v>25</v>
      </c>
      <c r="B38" s="276" t="s">
        <v>78</v>
      </c>
      <c r="C38" s="275" t="s">
        <v>970</v>
      </c>
      <c r="D38" s="277">
        <v>1</v>
      </c>
      <c r="E38" s="275" t="str">
        <f>VLOOKUP(A38,Estimate!A:D,4,FALSE)</f>
        <v xml:space="preserve">item </v>
      </c>
    </row>
    <row r="39" spans="1:5" ht="28.5" x14ac:dyDescent="0.65">
      <c r="A39" s="275">
        <v>26</v>
      </c>
      <c r="B39" s="276" t="s">
        <v>81</v>
      </c>
      <c r="C39" s="275" t="s">
        <v>970</v>
      </c>
      <c r="D39" s="277">
        <v>480</v>
      </c>
      <c r="E39" s="275" t="str">
        <f>VLOOKUP(A39,Estimate!A:D,4,FALSE)</f>
        <v xml:space="preserve">m2   </v>
      </c>
    </row>
    <row r="40" spans="1:5" x14ac:dyDescent="0.65">
      <c r="A40" s="275">
        <v>26.1</v>
      </c>
      <c r="B40" s="276" t="s">
        <v>49</v>
      </c>
      <c r="C40" s="275" t="s">
        <v>376</v>
      </c>
      <c r="D40" s="277">
        <v>120</v>
      </c>
      <c r="E40" s="275" t="str">
        <f>VLOOKUP(A40,Estimate!A:D,4,FALSE)</f>
        <v xml:space="preserve">hr   </v>
      </c>
    </row>
    <row r="41" spans="1:5" ht="28.5" x14ac:dyDescent="0.65">
      <c r="A41" s="275">
        <v>27</v>
      </c>
      <c r="B41" s="276" t="s">
        <v>85</v>
      </c>
      <c r="C41" s="275" t="s">
        <v>970</v>
      </c>
      <c r="D41" s="277">
        <v>83</v>
      </c>
      <c r="E41" s="275" t="str">
        <f>VLOOKUP(A41,Estimate!A:D,4,FALSE)</f>
        <v xml:space="preserve">m    </v>
      </c>
    </row>
    <row r="42" spans="1:5" x14ac:dyDescent="0.65">
      <c r="A42" s="275">
        <v>27.1</v>
      </c>
      <c r="B42" s="276" t="s">
        <v>55</v>
      </c>
      <c r="C42" s="275" t="s">
        <v>376</v>
      </c>
      <c r="D42" s="277">
        <v>9.3000000000000007</v>
      </c>
      <c r="E42" s="275" t="str">
        <f>VLOOKUP(A42,Estimate!A:D,4,FALSE)</f>
        <v xml:space="preserve">hr   </v>
      </c>
    </row>
    <row r="43" spans="1:5" x14ac:dyDescent="0.65">
      <c r="A43" s="275">
        <v>28</v>
      </c>
      <c r="B43" s="276" t="s">
        <v>619</v>
      </c>
      <c r="C43" s="275" t="s">
        <v>970</v>
      </c>
      <c r="D43" s="277">
        <v>0</v>
      </c>
      <c r="E43" s="275"/>
    </row>
    <row r="44" spans="1:5" ht="57" x14ac:dyDescent="0.65">
      <c r="A44" s="275">
        <v>29</v>
      </c>
      <c r="B44" s="276" t="s">
        <v>87</v>
      </c>
      <c r="C44" s="275" t="s">
        <v>970</v>
      </c>
      <c r="D44" s="277">
        <v>916</v>
      </c>
      <c r="E44" s="275" t="str">
        <f>VLOOKUP(A44,Estimate!A:D,4,FALSE)</f>
        <v xml:space="preserve">m3   </v>
      </c>
    </row>
    <row r="45" spans="1:5" x14ac:dyDescent="0.65">
      <c r="A45" s="275">
        <v>29.1</v>
      </c>
      <c r="B45" s="276" t="s">
        <v>55</v>
      </c>
      <c r="C45" s="275" t="s">
        <v>376</v>
      </c>
      <c r="D45" s="277">
        <v>40</v>
      </c>
      <c r="E45" s="275" t="str">
        <f>VLOOKUP(A45,Estimate!A:D,4,FALSE)</f>
        <v xml:space="preserve">hr   </v>
      </c>
    </row>
    <row r="46" spans="1:5" ht="42.75" x14ac:dyDescent="0.65">
      <c r="A46" s="275">
        <v>30</v>
      </c>
      <c r="B46" s="276" t="s">
        <v>90</v>
      </c>
      <c r="C46" s="275" t="s">
        <v>970</v>
      </c>
      <c r="D46" s="277">
        <v>341</v>
      </c>
      <c r="E46" s="275" t="str">
        <f>VLOOKUP(A46,Estimate!A:D,4,FALSE)</f>
        <v xml:space="preserve">m3   </v>
      </c>
    </row>
    <row r="47" spans="1:5" x14ac:dyDescent="0.65">
      <c r="A47" s="275">
        <v>30.1</v>
      </c>
      <c r="B47" s="276" t="s">
        <v>91</v>
      </c>
      <c r="C47" s="275" t="s">
        <v>376</v>
      </c>
      <c r="D47" s="277">
        <v>250</v>
      </c>
      <c r="E47" s="275" t="str">
        <f>VLOOKUP(A47,Estimate!A:D,4,FALSE)</f>
        <v xml:space="preserve">hr   </v>
      </c>
    </row>
    <row r="48" spans="1:5" ht="28.5" x14ac:dyDescent="0.65">
      <c r="A48" s="275">
        <v>31</v>
      </c>
      <c r="B48" s="276" t="s">
        <v>93</v>
      </c>
      <c r="C48" s="275" t="s">
        <v>970</v>
      </c>
      <c r="D48" s="277">
        <v>575</v>
      </c>
      <c r="E48" s="275"/>
    </row>
    <row r="49" spans="1:5" x14ac:dyDescent="0.65">
      <c r="A49" s="275">
        <v>31.1</v>
      </c>
      <c r="B49" s="276" t="s">
        <v>55</v>
      </c>
      <c r="C49" s="275" t="s">
        <v>376</v>
      </c>
      <c r="D49" s="277">
        <v>40</v>
      </c>
      <c r="E49" s="275" t="str">
        <f>VLOOKUP(A49,Estimate!A:D,4,FALSE)</f>
        <v xml:space="preserve">hr   </v>
      </c>
    </row>
    <row r="50" spans="1:5" ht="28.5" x14ac:dyDescent="0.65">
      <c r="A50" s="275">
        <v>32</v>
      </c>
      <c r="B50" s="276" t="s">
        <v>95</v>
      </c>
      <c r="C50" s="275" t="s">
        <v>970</v>
      </c>
      <c r="D50" s="277">
        <v>2388</v>
      </c>
      <c r="E50" s="275" t="str">
        <f>VLOOKUP(A50,Estimate!A:D,4,FALSE)</f>
        <v xml:space="preserve">m3   </v>
      </c>
    </row>
    <row r="51" spans="1:5" x14ac:dyDescent="0.65">
      <c r="A51" s="275">
        <v>32.1</v>
      </c>
      <c r="B51" s="276" t="s">
        <v>55</v>
      </c>
      <c r="C51" s="275" t="s">
        <v>376</v>
      </c>
      <c r="D51" s="277">
        <v>111.111</v>
      </c>
      <c r="E51" s="275" t="str">
        <f>VLOOKUP(A51,Estimate!A:D,4,FALSE)</f>
        <v xml:space="preserve">hr   </v>
      </c>
    </row>
    <row r="52" spans="1:5" ht="42.75" x14ac:dyDescent="0.65">
      <c r="A52" s="275">
        <v>33</v>
      </c>
      <c r="B52" s="276" t="s">
        <v>100</v>
      </c>
      <c r="C52" s="275" t="s">
        <v>970</v>
      </c>
      <c r="D52" s="277">
        <v>4030</v>
      </c>
      <c r="E52" s="275" t="str">
        <f>VLOOKUP(A52,Estimate!A:D,4,FALSE)</f>
        <v xml:space="preserve">m3   </v>
      </c>
    </row>
    <row r="53" spans="1:5" x14ac:dyDescent="0.65">
      <c r="A53" s="275">
        <v>33.1</v>
      </c>
      <c r="B53" s="276" t="s">
        <v>101</v>
      </c>
      <c r="C53" s="275" t="s">
        <v>376</v>
      </c>
      <c r="D53" s="277">
        <v>133.333</v>
      </c>
      <c r="E53" s="275" t="str">
        <f>VLOOKUP(A53,Estimate!A:D,4,FALSE)</f>
        <v xml:space="preserve">hr   </v>
      </c>
    </row>
    <row r="54" spans="1:5" x14ac:dyDescent="0.65">
      <c r="A54" s="275">
        <v>33.200000000000003</v>
      </c>
      <c r="B54" s="276" t="s">
        <v>55</v>
      </c>
      <c r="C54" s="275" t="s">
        <v>376</v>
      </c>
      <c r="D54" s="277">
        <v>88.888999999999996</v>
      </c>
      <c r="E54" s="275" t="str">
        <f>VLOOKUP(A54,Estimate!A:D,4,FALSE)</f>
        <v xml:space="preserve">hr   </v>
      </c>
    </row>
    <row r="55" spans="1:5" ht="28.5" x14ac:dyDescent="0.65">
      <c r="A55" s="275">
        <v>34</v>
      </c>
      <c r="B55" s="276" t="s">
        <v>104</v>
      </c>
      <c r="C55" s="275" t="s">
        <v>970</v>
      </c>
      <c r="D55" s="277">
        <v>100</v>
      </c>
      <c r="E55" s="275" t="str">
        <f>VLOOKUP(A55,Estimate!A:D,4,FALSE)</f>
        <v xml:space="preserve">m2   </v>
      </c>
    </row>
    <row r="56" spans="1:5" x14ac:dyDescent="0.65">
      <c r="A56" s="275">
        <v>34.1</v>
      </c>
      <c r="B56" s="276" t="s">
        <v>55</v>
      </c>
      <c r="C56" s="275" t="s">
        <v>376</v>
      </c>
      <c r="D56" s="277">
        <v>30</v>
      </c>
      <c r="E56" s="275" t="str">
        <f>VLOOKUP(A56,Estimate!A:D,4,FALSE)</f>
        <v xml:space="preserve">hr   </v>
      </c>
    </row>
    <row r="57" spans="1:5" ht="28.5" x14ac:dyDescent="0.65">
      <c r="A57" s="275">
        <v>35</v>
      </c>
      <c r="B57" s="276" t="s">
        <v>971</v>
      </c>
      <c r="C57" s="275" t="s">
        <v>970</v>
      </c>
      <c r="D57" s="277">
        <v>150</v>
      </c>
      <c r="E57" s="275">
        <f>VLOOKUP(A57,Estimate!A:D,4,FALSE)</f>
        <v>0</v>
      </c>
    </row>
    <row r="58" spans="1:5" x14ac:dyDescent="0.65">
      <c r="A58" s="275">
        <v>35.1</v>
      </c>
      <c r="B58" s="276" t="s">
        <v>55</v>
      </c>
      <c r="C58" s="275" t="s">
        <v>376</v>
      </c>
      <c r="D58" s="277">
        <v>30</v>
      </c>
      <c r="E58" s="275" t="str">
        <f>VLOOKUP(A58,Estimate!A:D,4,FALSE)</f>
        <v xml:space="preserve">hr   </v>
      </c>
    </row>
    <row r="59" spans="1:5" x14ac:dyDescent="0.65">
      <c r="A59" s="275">
        <v>35.200000000000003</v>
      </c>
      <c r="B59" s="276" t="s">
        <v>55</v>
      </c>
      <c r="C59" s="275" t="s">
        <v>376</v>
      </c>
      <c r="D59" s="277">
        <v>33.332999999999998</v>
      </c>
      <c r="E59" s="275" t="str">
        <f>VLOOKUP(A59,Estimate!A:D,4,FALSE)</f>
        <v xml:space="preserve">hr   </v>
      </c>
    </row>
    <row r="60" spans="1:5" ht="28.5" x14ac:dyDescent="0.65">
      <c r="A60" s="275">
        <v>36</v>
      </c>
      <c r="B60" s="276" t="s">
        <v>107</v>
      </c>
      <c r="C60" s="275" t="s">
        <v>970</v>
      </c>
      <c r="D60" s="277">
        <v>2791</v>
      </c>
      <c r="E60" s="275" t="str">
        <f>VLOOKUP(A60,Estimate!A:D,4,FALSE)</f>
        <v xml:space="preserve">m2   </v>
      </c>
    </row>
    <row r="61" spans="1:5" x14ac:dyDescent="0.65">
      <c r="A61" s="275">
        <v>37</v>
      </c>
      <c r="B61" s="276" t="s">
        <v>620</v>
      </c>
      <c r="C61" s="275"/>
      <c r="D61" s="277"/>
      <c r="E61" s="275"/>
    </row>
    <row r="62" spans="1:5" ht="42.75" x14ac:dyDescent="0.65">
      <c r="A62" s="275">
        <v>38</v>
      </c>
      <c r="B62" s="276" t="s">
        <v>109</v>
      </c>
      <c r="C62" s="275" t="s">
        <v>970</v>
      </c>
      <c r="D62" s="277">
        <v>19963</v>
      </c>
      <c r="E62" s="275" t="str">
        <f>VLOOKUP(A62,Estimate!A:D,4,FALSE)</f>
        <v xml:space="preserve">m2   </v>
      </c>
    </row>
    <row r="63" spans="1:5" x14ac:dyDescent="0.65">
      <c r="A63" s="275">
        <v>38.1</v>
      </c>
      <c r="B63" s="276" t="s">
        <v>96</v>
      </c>
      <c r="C63" s="275" t="s">
        <v>376</v>
      </c>
      <c r="D63" s="277">
        <v>175</v>
      </c>
      <c r="E63" s="275" t="str">
        <f>VLOOKUP(A63,Estimate!A:D,4,FALSE)</f>
        <v xml:space="preserve">hr   </v>
      </c>
    </row>
    <row r="64" spans="1:5" x14ac:dyDescent="0.65">
      <c r="A64" s="275">
        <v>39</v>
      </c>
      <c r="B64" s="276" t="s">
        <v>621</v>
      </c>
      <c r="C64" s="275" t="s">
        <v>970</v>
      </c>
      <c r="D64" s="277"/>
      <c r="E64" s="275"/>
    </row>
    <row r="65" spans="1:5" x14ac:dyDescent="0.65">
      <c r="A65" s="275">
        <v>40</v>
      </c>
      <c r="B65" s="276" t="s">
        <v>112</v>
      </c>
      <c r="C65" s="275" t="s">
        <v>970</v>
      </c>
      <c r="D65" s="277">
        <v>555</v>
      </c>
      <c r="E65" s="275" t="str">
        <f>VLOOKUP(A65,Estimate!A:D,4,FALSE)</f>
        <v xml:space="preserve">m3   </v>
      </c>
    </row>
    <row r="66" spans="1:5" x14ac:dyDescent="0.65">
      <c r="A66" s="275">
        <v>40.1</v>
      </c>
      <c r="B66" s="276" t="s">
        <v>96</v>
      </c>
      <c r="C66" s="275" t="s">
        <v>376</v>
      </c>
      <c r="D66" s="277">
        <v>77.778000000000006</v>
      </c>
      <c r="E66" s="275" t="str">
        <f>VLOOKUP(A66,Estimate!A:D,4,FALSE)</f>
        <v xml:space="preserve">hr   </v>
      </c>
    </row>
    <row r="67" spans="1:5" x14ac:dyDescent="0.65">
      <c r="A67" s="275">
        <v>41</v>
      </c>
      <c r="B67" s="276" t="s">
        <v>114</v>
      </c>
      <c r="C67" s="275" t="s">
        <v>970</v>
      </c>
      <c r="D67" s="277">
        <v>444</v>
      </c>
      <c r="E67" s="275" t="str">
        <f>VLOOKUP(A67,Estimate!A:D,4,FALSE)</f>
        <v xml:space="preserve">m3   </v>
      </c>
    </row>
    <row r="68" spans="1:5" x14ac:dyDescent="0.65">
      <c r="A68" s="275">
        <v>41.1</v>
      </c>
      <c r="B68" s="276" t="s">
        <v>96</v>
      </c>
      <c r="C68" s="275" t="s">
        <v>376</v>
      </c>
      <c r="D68" s="277">
        <v>77.778000000000006</v>
      </c>
      <c r="E68" s="275" t="str">
        <f>VLOOKUP(A68,Estimate!A:D,4,FALSE)</f>
        <v xml:space="preserve">hr   </v>
      </c>
    </row>
    <row r="69" spans="1:5" x14ac:dyDescent="0.65">
      <c r="A69" s="275">
        <v>42</v>
      </c>
      <c r="B69" s="276" t="s">
        <v>622</v>
      </c>
      <c r="C69" s="275" t="s">
        <v>970</v>
      </c>
      <c r="D69" s="277">
        <v>0</v>
      </c>
      <c r="E69" s="275">
        <f>VLOOKUP(A69,Estimate!A:D,4,FALSE)</f>
        <v>0</v>
      </c>
    </row>
    <row r="70" spans="1:5" x14ac:dyDescent="0.65">
      <c r="A70" s="275">
        <v>43</v>
      </c>
      <c r="B70" s="276" t="s">
        <v>112</v>
      </c>
      <c r="C70" s="275" t="s">
        <v>970</v>
      </c>
      <c r="D70" s="277">
        <v>38</v>
      </c>
      <c r="E70" s="275" t="str">
        <f>VLOOKUP(A70,Estimate!A:D,4,FALSE)</f>
        <v xml:space="preserve">m3   </v>
      </c>
    </row>
    <row r="71" spans="1:5" x14ac:dyDescent="0.65">
      <c r="A71" s="275">
        <v>43.1</v>
      </c>
      <c r="B71" s="276" t="s">
        <v>96</v>
      </c>
      <c r="C71" s="275" t="s">
        <v>376</v>
      </c>
      <c r="D71" s="277">
        <v>77.778000000000006</v>
      </c>
      <c r="E71" s="275" t="str">
        <f>VLOOKUP(A71,Estimate!A:D,4,FALSE)</f>
        <v xml:space="preserve">hr   </v>
      </c>
    </row>
    <row r="72" spans="1:5" x14ac:dyDescent="0.65">
      <c r="A72" s="275">
        <v>44</v>
      </c>
      <c r="B72" s="276" t="s">
        <v>114</v>
      </c>
      <c r="C72" s="275" t="s">
        <v>970</v>
      </c>
      <c r="D72" s="277">
        <v>31</v>
      </c>
      <c r="E72" s="275" t="str">
        <f>VLOOKUP(A72,Estimate!A:D,4,FALSE)</f>
        <v xml:space="preserve">m3   </v>
      </c>
    </row>
    <row r="73" spans="1:5" x14ac:dyDescent="0.65">
      <c r="A73" s="275">
        <v>44.1</v>
      </c>
      <c r="B73" s="276" t="s">
        <v>96</v>
      </c>
      <c r="C73" s="275" t="s">
        <v>376</v>
      </c>
      <c r="D73" s="277">
        <v>77.778000000000006</v>
      </c>
      <c r="E73" s="275" t="str">
        <f>VLOOKUP(A73,Estimate!A:D,4,FALSE)</f>
        <v xml:space="preserve">hr   </v>
      </c>
    </row>
    <row r="74" spans="1:5" x14ac:dyDescent="0.65">
      <c r="A74" s="275">
        <v>45</v>
      </c>
      <c r="B74" s="276" t="s">
        <v>623</v>
      </c>
      <c r="C74" s="275" t="s">
        <v>970</v>
      </c>
      <c r="D74" s="277">
        <v>0</v>
      </c>
      <c r="E74" s="275">
        <f>VLOOKUP(A74,Estimate!A:D,4,FALSE)</f>
        <v>0</v>
      </c>
    </row>
    <row r="75" spans="1:5" x14ac:dyDescent="0.65">
      <c r="A75" s="275">
        <v>46</v>
      </c>
      <c r="B75" s="276" t="s">
        <v>112</v>
      </c>
      <c r="C75" s="275" t="s">
        <v>970</v>
      </c>
      <c r="D75" s="277">
        <v>344</v>
      </c>
      <c r="E75" s="275" t="str">
        <f>VLOOKUP(A75,Estimate!A:D,4,FALSE)</f>
        <v xml:space="preserve">m3   </v>
      </c>
    </row>
    <row r="76" spans="1:5" x14ac:dyDescent="0.65">
      <c r="A76" s="275">
        <v>46.1</v>
      </c>
      <c r="B76" s="276" t="s">
        <v>96</v>
      </c>
      <c r="C76" s="275" t="s">
        <v>376</v>
      </c>
      <c r="D76" s="277">
        <v>77.778000000000006</v>
      </c>
      <c r="E76" s="275" t="str">
        <f>VLOOKUP(A76,Estimate!A:D,4,FALSE)</f>
        <v xml:space="preserve">hr   </v>
      </c>
    </row>
    <row r="77" spans="1:5" x14ac:dyDescent="0.65">
      <c r="A77" s="275">
        <v>47</v>
      </c>
      <c r="B77" s="276" t="s">
        <v>120</v>
      </c>
      <c r="C77" s="275" t="s">
        <v>970</v>
      </c>
      <c r="D77" s="277">
        <v>275</v>
      </c>
      <c r="E77" s="275" t="str">
        <f>VLOOKUP(A77,Estimate!A:D,4,FALSE)</f>
        <v xml:space="preserve">m3   </v>
      </c>
    </row>
    <row r="78" spans="1:5" x14ac:dyDescent="0.65">
      <c r="A78" s="275">
        <v>47.1</v>
      </c>
      <c r="B78" s="276" t="s">
        <v>96</v>
      </c>
      <c r="C78" s="275" t="s">
        <v>376</v>
      </c>
      <c r="D78" s="277">
        <v>77.778000000000006</v>
      </c>
      <c r="E78" s="275" t="str">
        <f>VLOOKUP(A78,Estimate!A:D,4,FALSE)</f>
        <v xml:space="preserve">hr   </v>
      </c>
    </row>
    <row r="79" spans="1:5" x14ac:dyDescent="0.65">
      <c r="A79" s="275">
        <v>48</v>
      </c>
      <c r="B79" s="276" t="s">
        <v>624</v>
      </c>
      <c r="C79" s="275" t="s">
        <v>970</v>
      </c>
      <c r="D79" s="277">
        <v>0</v>
      </c>
      <c r="E79" s="275">
        <f>VLOOKUP(A79,Estimate!A:D,4,FALSE)</f>
        <v>0</v>
      </c>
    </row>
    <row r="80" spans="1:5" x14ac:dyDescent="0.65">
      <c r="A80" s="275">
        <v>49</v>
      </c>
      <c r="B80" s="276" t="s">
        <v>122</v>
      </c>
      <c r="C80" s="275" t="s">
        <v>970</v>
      </c>
      <c r="D80" s="277">
        <v>77</v>
      </c>
      <c r="E80" s="275" t="str">
        <f>VLOOKUP(A80,Estimate!A:D,4,FALSE)</f>
        <v xml:space="preserve">m3   </v>
      </c>
    </row>
    <row r="81" spans="1:5" x14ac:dyDescent="0.65">
      <c r="A81" s="275">
        <v>49.1</v>
      </c>
      <c r="B81" s="276" t="s">
        <v>96</v>
      </c>
      <c r="C81" s="275" t="s">
        <v>376</v>
      </c>
      <c r="D81" s="277">
        <v>77.778000000000006</v>
      </c>
      <c r="E81" s="275" t="str">
        <f>VLOOKUP(A81,Estimate!A:D,4,FALSE)</f>
        <v xml:space="preserve">hr   </v>
      </c>
    </row>
    <row r="82" spans="1:5" x14ac:dyDescent="0.65">
      <c r="A82" s="275">
        <v>50</v>
      </c>
      <c r="B82" s="276" t="s">
        <v>124</v>
      </c>
      <c r="C82" s="275" t="s">
        <v>970</v>
      </c>
      <c r="D82" s="277">
        <v>77</v>
      </c>
      <c r="E82" s="275" t="str">
        <f>VLOOKUP(A82,Estimate!A:D,4,FALSE)</f>
        <v xml:space="preserve">m3   </v>
      </c>
    </row>
    <row r="83" spans="1:5" x14ac:dyDescent="0.65">
      <c r="A83" s="275">
        <v>50.1</v>
      </c>
      <c r="B83" s="276" t="s">
        <v>96</v>
      </c>
      <c r="C83" s="275" t="s">
        <v>376</v>
      </c>
      <c r="D83" s="277">
        <v>77.778000000000006</v>
      </c>
      <c r="E83" s="275" t="str">
        <f>VLOOKUP(A83,Estimate!A:D,4,FALSE)</f>
        <v xml:space="preserve">hr   </v>
      </c>
    </row>
    <row r="84" spans="1:5" x14ac:dyDescent="0.65">
      <c r="A84" s="275">
        <v>51</v>
      </c>
      <c r="B84" s="276" t="s">
        <v>126</v>
      </c>
      <c r="C84" s="275" t="s">
        <v>970</v>
      </c>
      <c r="D84" s="277">
        <v>77</v>
      </c>
      <c r="E84" s="275" t="str">
        <f>VLOOKUP(A84,Estimate!A:D,4,FALSE)</f>
        <v xml:space="preserve">m3   </v>
      </c>
    </row>
    <row r="85" spans="1:5" x14ac:dyDescent="0.65">
      <c r="A85" s="275">
        <v>51.1</v>
      </c>
      <c r="B85" s="276" t="s">
        <v>96</v>
      </c>
      <c r="C85" s="275" t="s">
        <v>376</v>
      </c>
      <c r="D85" s="277">
        <v>77.778000000000006</v>
      </c>
      <c r="E85" s="275" t="str">
        <f>VLOOKUP(A85,Estimate!A:D,4,FALSE)</f>
        <v xml:space="preserve">hr   </v>
      </c>
    </row>
    <row r="86" spans="1:5" x14ac:dyDescent="0.65">
      <c r="A86" s="275">
        <v>52</v>
      </c>
      <c r="B86" s="276" t="s">
        <v>625</v>
      </c>
      <c r="C86" s="275" t="s">
        <v>970</v>
      </c>
      <c r="D86" s="277">
        <v>0</v>
      </c>
      <c r="E86" s="275">
        <f>VLOOKUP(A86,Estimate!A:D,4,FALSE)</f>
        <v>0</v>
      </c>
    </row>
    <row r="87" spans="1:5" x14ac:dyDescent="0.65">
      <c r="A87" s="275">
        <v>53</v>
      </c>
      <c r="B87" s="276" t="s">
        <v>122</v>
      </c>
      <c r="C87" s="275" t="s">
        <v>970</v>
      </c>
      <c r="D87" s="277">
        <v>336</v>
      </c>
      <c r="E87" s="275" t="str">
        <f>VLOOKUP(A87,Estimate!A:D,4,FALSE)</f>
        <v xml:space="preserve">m3   </v>
      </c>
    </row>
    <row r="88" spans="1:5" x14ac:dyDescent="0.65">
      <c r="A88" s="275">
        <v>53.1</v>
      </c>
      <c r="B88" s="276" t="s">
        <v>96</v>
      </c>
      <c r="C88" s="275" t="s">
        <v>376</v>
      </c>
      <c r="D88" s="277">
        <v>77.778000000000006</v>
      </c>
      <c r="E88" s="275" t="str">
        <f>VLOOKUP(A88,Estimate!A:D,4,FALSE)</f>
        <v xml:space="preserve">hr   </v>
      </c>
    </row>
    <row r="89" spans="1:5" x14ac:dyDescent="0.65">
      <c r="A89" s="275">
        <v>54</v>
      </c>
      <c r="B89" s="276" t="s">
        <v>129</v>
      </c>
      <c r="C89" s="275" t="s">
        <v>970</v>
      </c>
      <c r="D89" s="277">
        <v>336</v>
      </c>
      <c r="E89" s="275" t="str">
        <f>VLOOKUP(A89,Estimate!A:D,4,FALSE)</f>
        <v xml:space="preserve">m3   </v>
      </c>
    </row>
    <row r="90" spans="1:5" x14ac:dyDescent="0.65">
      <c r="A90" s="275">
        <v>54.1</v>
      </c>
      <c r="B90" s="276" t="s">
        <v>96</v>
      </c>
      <c r="C90" s="275" t="s">
        <v>376</v>
      </c>
      <c r="D90" s="277">
        <v>77.778000000000006</v>
      </c>
      <c r="E90" s="275" t="str">
        <f>VLOOKUP(A90,Estimate!A:D,4,FALSE)</f>
        <v xml:space="preserve">hr   </v>
      </c>
    </row>
    <row r="91" spans="1:5" x14ac:dyDescent="0.65">
      <c r="A91" s="275">
        <v>55</v>
      </c>
      <c r="B91" s="276" t="s">
        <v>131</v>
      </c>
      <c r="C91" s="275" t="s">
        <v>970</v>
      </c>
      <c r="D91" s="277">
        <v>336</v>
      </c>
      <c r="E91" s="275" t="str">
        <f>VLOOKUP(A91,Estimate!A:D,4,FALSE)</f>
        <v xml:space="preserve">m3   </v>
      </c>
    </row>
    <row r="92" spans="1:5" x14ac:dyDescent="0.65">
      <c r="A92" s="275">
        <v>55.1</v>
      </c>
      <c r="B92" s="276" t="s">
        <v>96</v>
      </c>
      <c r="C92" s="275" t="s">
        <v>376</v>
      </c>
      <c r="D92" s="277">
        <v>77.778000000000006</v>
      </c>
      <c r="E92" s="275" t="str">
        <f>VLOOKUP(A92,Estimate!A:D,4,FALSE)</f>
        <v xml:space="preserve">hr   </v>
      </c>
    </row>
    <row r="93" spans="1:5" x14ac:dyDescent="0.65">
      <c r="A93" s="275">
        <v>56</v>
      </c>
      <c r="B93" s="276" t="s">
        <v>133</v>
      </c>
      <c r="C93" s="275" t="s">
        <v>970</v>
      </c>
      <c r="D93" s="277">
        <v>16547</v>
      </c>
      <c r="E93" s="275" t="str">
        <f>VLOOKUP(A93,Estimate!A:D,4,FALSE)</f>
        <v xml:space="preserve">m2   </v>
      </c>
    </row>
    <row r="94" spans="1:5" x14ac:dyDescent="0.65">
      <c r="A94" s="275">
        <v>56.1</v>
      </c>
      <c r="B94" s="276" t="s">
        <v>96</v>
      </c>
      <c r="C94" s="275" t="s">
        <v>376</v>
      </c>
      <c r="D94" s="277">
        <v>150</v>
      </c>
      <c r="E94" s="275" t="str">
        <f>VLOOKUP(A94,Estimate!A:D,4,FALSE)</f>
        <v xml:space="preserve">hr   </v>
      </c>
    </row>
    <row r="95" spans="1:5" x14ac:dyDescent="0.65">
      <c r="A95" s="275">
        <v>57</v>
      </c>
      <c r="B95" s="276" t="s">
        <v>626</v>
      </c>
      <c r="C95" s="275" t="s">
        <v>970</v>
      </c>
      <c r="D95" s="277">
        <v>0</v>
      </c>
      <c r="E95" s="275">
        <f>VLOOKUP(A95,Estimate!A:D,4,FALSE)</f>
        <v>0</v>
      </c>
    </row>
    <row r="96" spans="1:5" ht="28.5" x14ac:dyDescent="0.65">
      <c r="A96" s="275">
        <v>58</v>
      </c>
      <c r="B96" s="276" t="s">
        <v>627</v>
      </c>
      <c r="C96" s="275" t="s">
        <v>970</v>
      </c>
      <c r="D96" s="277">
        <v>0</v>
      </c>
      <c r="E96" s="275">
        <f>VLOOKUP(A96,Estimate!A:D,4,FALSE)</f>
        <v>0</v>
      </c>
    </row>
    <row r="97" spans="1:5" x14ac:dyDescent="0.65">
      <c r="A97" s="275">
        <v>59</v>
      </c>
      <c r="B97" s="276" t="s">
        <v>135</v>
      </c>
      <c r="C97" s="275" t="s">
        <v>970</v>
      </c>
      <c r="D97" s="277">
        <v>670</v>
      </c>
      <c r="E97" s="275" t="str">
        <f>VLOOKUP(A97,Estimate!A:D,4,FALSE)</f>
        <v xml:space="preserve">m    </v>
      </c>
    </row>
    <row r="98" spans="1:5" x14ac:dyDescent="0.65">
      <c r="A98" s="275">
        <v>60</v>
      </c>
      <c r="B98" s="276" t="s">
        <v>139</v>
      </c>
      <c r="C98" s="275" t="s">
        <v>970</v>
      </c>
      <c r="D98" s="277">
        <v>372</v>
      </c>
      <c r="E98" s="275" t="str">
        <f>VLOOKUP(A98,Estimate!A:D,4,FALSE)</f>
        <v xml:space="preserve">m    </v>
      </c>
    </row>
    <row r="99" spans="1:5" x14ac:dyDescent="0.65">
      <c r="A99" s="275">
        <v>61</v>
      </c>
      <c r="B99" s="276" t="s">
        <v>141</v>
      </c>
      <c r="C99" s="275" t="s">
        <v>970</v>
      </c>
      <c r="D99" s="277">
        <v>207</v>
      </c>
      <c r="E99" s="275" t="str">
        <f>VLOOKUP(A99,Estimate!A:D,4,FALSE)</f>
        <v xml:space="preserve">m    </v>
      </c>
    </row>
    <row r="100" spans="1:5" x14ac:dyDescent="0.65">
      <c r="A100" s="275">
        <v>62</v>
      </c>
      <c r="B100" s="276" t="s">
        <v>143</v>
      </c>
      <c r="C100" s="275" t="s">
        <v>970</v>
      </c>
      <c r="D100" s="277">
        <v>5</v>
      </c>
      <c r="E100" s="275" t="str">
        <f>VLOOKUP(A100,Estimate!A:D,4,FALSE)</f>
        <v xml:space="preserve">No.  </v>
      </c>
    </row>
    <row r="101" spans="1:5" x14ac:dyDescent="0.65">
      <c r="A101" s="275">
        <v>63</v>
      </c>
      <c r="B101" s="276" t="s">
        <v>147</v>
      </c>
      <c r="C101" s="275" t="s">
        <v>970</v>
      </c>
      <c r="D101" s="277">
        <v>161</v>
      </c>
      <c r="E101" s="275" t="str">
        <f>VLOOKUP(A101,Estimate!A:D,4,FALSE)</f>
        <v xml:space="preserve">m2   </v>
      </c>
    </row>
    <row r="102" spans="1:5" x14ac:dyDescent="0.65">
      <c r="A102" s="275">
        <v>63.1</v>
      </c>
      <c r="B102" s="276" t="s">
        <v>49</v>
      </c>
      <c r="C102" s="275" t="s">
        <v>376</v>
      </c>
      <c r="D102" s="277">
        <v>6</v>
      </c>
      <c r="E102" s="275" t="str">
        <f>VLOOKUP(A102,Estimate!A:D,4,FALSE)</f>
        <v xml:space="preserve">hr   </v>
      </c>
    </row>
    <row r="103" spans="1:5" x14ac:dyDescent="0.65">
      <c r="A103" s="275">
        <v>64</v>
      </c>
      <c r="B103" s="276" t="s">
        <v>628</v>
      </c>
      <c r="C103" s="275" t="s">
        <v>970</v>
      </c>
      <c r="D103" s="277">
        <v>0</v>
      </c>
      <c r="E103" s="275">
        <f>VLOOKUP(A103,Estimate!A:D,4,FALSE)</f>
        <v>0</v>
      </c>
    </row>
    <row r="104" spans="1:5" x14ac:dyDescent="0.65">
      <c r="A104" s="275">
        <v>65</v>
      </c>
      <c r="B104" s="276" t="s">
        <v>153</v>
      </c>
      <c r="C104" s="275" t="s">
        <v>970</v>
      </c>
      <c r="D104" s="277">
        <v>195</v>
      </c>
      <c r="E104" s="275" t="str">
        <f>VLOOKUP(A104,Estimate!A:D,4,FALSE)</f>
        <v xml:space="preserve">m2   </v>
      </c>
    </row>
    <row r="105" spans="1:5" x14ac:dyDescent="0.65">
      <c r="A105" s="275">
        <v>65.099999999999994</v>
      </c>
      <c r="B105" s="276" t="s">
        <v>49</v>
      </c>
      <c r="C105" s="275" t="s">
        <v>376</v>
      </c>
      <c r="D105" s="277">
        <v>6</v>
      </c>
      <c r="E105" s="275" t="str">
        <f>VLOOKUP(A105,Estimate!A:D,4,FALSE)</f>
        <v xml:space="preserve">hr   </v>
      </c>
    </row>
    <row r="106" spans="1:5" x14ac:dyDescent="0.65">
      <c r="A106" s="275">
        <v>66</v>
      </c>
      <c r="B106" s="276" t="s">
        <v>155</v>
      </c>
      <c r="C106" s="275" t="s">
        <v>970</v>
      </c>
      <c r="D106" s="277">
        <v>23</v>
      </c>
      <c r="E106" s="275" t="str">
        <f>VLOOKUP(A106,Estimate!A:D,4,FALSE)</f>
        <v xml:space="preserve">m2   </v>
      </c>
    </row>
    <row r="107" spans="1:5" x14ac:dyDescent="0.65">
      <c r="A107" s="275">
        <v>66.099999999999994</v>
      </c>
      <c r="B107" s="276" t="s">
        <v>49</v>
      </c>
      <c r="C107" s="275" t="s">
        <v>376</v>
      </c>
      <c r="D107" s="277">
        <v>6</v>
      </c>
      <c r="E107" s="275" t="str">
        <f>VLOOKUP(A107,Estimate!A:D,4,FALSE)</f>
        <v xml:space="preserve">hr   </v>
      </c>
    </row>
    <row r="108" spans="1:5" x14ac:dyDescent="0.65">
      <c r="A108" s="275">
        <v>67</v>
      </c>
      <c r="B108" s="276" t="s">
        <v>157</v>
      </c>
      <c r="C108" s="275" t="s">
        <v>970</v>
      </c>
      <c r="D108" s="277">
        <v>439</v>
      </c>
      <c r="E108" s="275" t="str">
        <f>VLOOKUP(A108,Estimate!A:D,4,FALSE)</f>
        <v xml:space="preserve">m2   </v>
      </c>
    </row>
    <row r="109" spans="1:5" x14ac:dyDescent="0.65">
      <c r="A109" s="275">
        <v>67.099999999999994</v>
      </c>
      <c r="B109" s="276" t="s">
        <v>49</v>
      </c>
      <c r="C109" s="275" t="s">
        <v>376</v>
      </c>
      <c r="D109" s="277">
        <v>6</v>
      </c>
      <c r="E109" s="275" t="str">
        <f>VLOOKUP(A109,Estimate!A:D,4,FALSE)</f>
        <v xml:space="preserve">hr   </v>
      </c>
    </row>
    <row r="110" spans="1:5" ht="28.5" x14ac:dyDescent="0.65">
      <c r="A110" s="275">
        <v>68</v>
      </c>
      <c r="B110" s="276" t="s">
        <v>159</v>
      </c>
      <c r="C110" s="275" t="s">
        <v>970</v>
      </c>
      <c r="D110" s="277">
        <v>102</v>
      </c>
      <c r="E110" s="275" t="str">
        <f>VLOOKUP(A110,Estimate!A:D,4,FALSE)</f>
        <v xml:space="preserve">m2   </v>
      </c>
    </row>
    <row r="111" spans="1:5" x14ac:dyDescent="0.65">
      <c r="A111" s="275">
        <v>69</v>
      </c>
      <c r="B111" s="276" t="s">
        <v>161</v>
      </c>
      <c r="C111" s="275" t="s">
        <v>970</v>
      </c>
      <c r="D111" s="277">
        <v>86</v>
      </c>
      <c r="E111" s="275" t="str">
        <f>VLOOKUP(A111,Estimate!A:D,4,FALSE)</f>
        <v xml:space="preserve">No.  </v>
      </c>
    </row>
    <row r="112" spans="1:5" x14ac:dyDescent="0.65">
      <c r="A112" s="275">
        <v>70</v>
      </c>
      <c r="B112" s="276" t="s">
        <v>629</v>
      </c>
      <c r="C112" s="275" t="s">
        <v>970</v>
      </c>
      <c r="D112" s="277">
        <v>0</v>
      </c>
      <c r="E112" s="275">
        <f>VLOOKUP(A112,Estimate!A:D,4,FALSE)</f>
        <v>0</v>
      </c>
    </row>
    <row r="113" spans="1:5" x14ac:dyDescent="0.65">
      <c r="A113" s="275">
        <v>71</v>
      </c>
      <c r="B113" s="276" t="s">
        <v>630</v>
      </c>
      <c r="C113" s="275" t="s">
        <v>970</v>
      </c>
      <c r="D113" s="277">
        <v>0</v>
      </c>
      <c r="E113" s="275">
        <f>VLOOKUP(A113,Estimate!A:D,4,FALSE)</f>
        <v>0</v>
      </c>
    </row>
    <row r="114" spans="1:5" x14ac:dyDescent="0.65">
      <c r="A114" s="275">
        <v>72</v>
      </c>
      <c r="B114" s="276" t="s">
        <v>164</v>
      </c>
      <c r="C114" s="275" t="s">
        <v>970</v>
      </c>
      <c r="D114" s="277">
        <v>2490</v>
      </c>
      <c r="E114" s="275" t="str">
        <f>VLOOKUP(A114,Estimate!A:D,4,FALSE)</f>
        <v xml:space="preserve">m2   </v>
      </c>
    </row>
    <row r="115" spans="1:5" ht="42.75" x14ac:dyDescent="0.65">
      <c r="A115" s="275">
        <v>73</v>
      </c>
      <c r="B115" s="276" t="s">
        <v>166</v>
      </c>
      <c r="C115" s="275" t="s">
        <v>970</v>
      </c>
      <c r="D115" s="277">
        <v>249</v>
      </c>
      <c r="E115" s="275" t="str">
        <f>VLOOKUP(A115,Estimate!A:D,4,FALSE)</f>
        <v>tonne</v>
      </c>
    </row>
    <row r="116" spans="1:5" x14ac:dyDescent="0.65">
      <c r="A116" s="275">
        <v>74</v>
      </c>
      <c r="B116" s="276" t="s">
        <v>631</v>
      </c>
      <c r="C116" s="275" t="s">
        <v>970</v>
      </c>
      <c r="D116" s="277">
        <v>0</v>
      </c>
      <c r="E116" s="275">
        <f>VLOOKUP(A116,Estimate!A:D,4,FALSE)</f>
        <v>0</v>
      </c>
    </row>
    <row r="117" spans="1:5" x14ac:dyDescent="0.65">
      <c r="A117" s="275">
        <v>75</v>
      </c>
      <c r="B117" s="276" t="s">
        <v>168</v>
      </c>
      <c r="C117" s="275" t="s">
        <v>970</v>
      </c>
      <c r="D117" s="277">
        <v>10261</v>
      </c>
      <c r="E117" s="275" t="str">
        <f>VLOOKUP(A117,Estimate!A:D,4,FALSE)</f>
        <v xml:space="preserve">m2   </v>
      </c>
    </row>
    <row r="118" spans="1:5" ht="42.75" x14ac:dyDescent="0.65">
      <c r="A118" s="275">
        <v>76</v>
      </c>
      <c r="B118" s="276" t="s">
        <v>166</v>
      </c>
      <c r="C118" s="275" t="s">
        <v>970</v>
      </c>
      <c r="D118" s="277">
        <v>1026</v>
      </c>
      <c r="E118" s="275" t="str">
        <f>VLOOKUP(A118,Estimate!A:D,4,FALSE)</f>
        <v>tonne</v>
      </c>
    </row>
    <row r="119" spans="1:5" x14ac:dyDescent="0.65">
      <c r="A119" s="275">
        <v>77</v>
      </c>
      <c r="B119" s="276" t="s">
        <v>632</v>
      </c>
      <c r="C119" s="275" t="s">
        <v>970</v>
      </c>
      <c r="D119" s="277">
        <v>0</v>
      </c>
      <c r="E119" s="275">
        <f>VLOOKUP(A119,Estimate!A:D,4,FALSE)</f>
        <v>0</v>
      </c>
    </row>
    <row r="120" spans="1:5" ht="42.75" x14ac:dyDescent="0.65">
      <c r="A120" s="275">
        <v>78</v>
      </c>
      <c r="B120" s="276" t="s">
        <v>171</v>
      </c>
      <c r="C120" s="275" t="s">
        <v>970</v>
      </c>
      <c r="D120" s="277">
        <v>1</v>
      </c>
      <c r="E120" s="275" t="str">
        <f>VLOOKUP(A120,Estimate!A:D,4,FALSE)</f>
        <v xml:space="preserve">Item </v>
      </c>
    </row>
    <row r="121" spans="1:5" ht="42.75" x14ac:dyDescent="0.65">
      <c r="A121" s="275">
        <v>79</v>
      </c>
      <c r="B121" s="276" t="s">
        <v>174</v>
      </c>
      <c r="C121" s="275" t="s">
        <v>970</v>
      </c>
      <c r="D121" s="277">
        <v>1</v>
      </c>
      <c r="E121" s="275" t="str">
        <f>VLOOKUP(A121,Estimate!A:D,4,FALSE)</f>
        <v xml:space="preserve">Item </v>
      </c>
    </row>
    <row r="122" spans="1:5" x14ac:dyDescent="0.65">
      <c r="A122" s="275">
        <v>80</v>
      </c>
      <c r="B122" s="276" t="s">
        <v>633</v>
      </c>
      <c r="C122" s="275" t="s">
        <v>970</v>
      </c>
      <c r="D122" s="277">
        <v>0</v>
      </c>
      <c r="E122" s="275">
        <f>VLOOKUP(A122,Estimate!A:D,4,FALSE)</f>
        <v>0</v>
      </c>
    </row>
    <row r="123" spans="1:5" x14ac:dyDescent="0.65">
      <c r="A123" s="275">
        <v>81</v>
      </c>
      <c r="B123" s="276" t="s">
        <v>634</v>
      </c>
      <c r="C123" s="275" t="s">
        <v>970</v>
      </c>
      <c r="D123" s="277">
        <v>0</v>
      </c>
      <c r="E123" s="275">
        <f>VLOOKUP(A123,Estimate!A:D,4,FALSE)</f>
        <v>0</v>
      </c>
    </row>
    <row r="124" spans="1:5" x14ac:dyDescent="0.65">
      <c r="A124" s="275">
        <v>82</v>
      </c>
      <c r="B124" s="276" t="s">
        <v>177</v>
      </c>
      <c r="C124" s="275" t="s">
        <v>970</v>
      </c>
      <c r="D124" s="277">
        <v>82.8</v>
      </c>
      <c r="E124" s="275" t="str">
        <f>VLOOKUP(A124,Estimate!A:D,4,FALSE)</f>
        <v xml:space="preserve">m    </v>
      </c>
    </row>
    <row r="125" spans="1:5" x14ac:dyDescent="0.65">
      <c r="A125" s="275">
        <v>82.1</v>
      </c>
      <c r="B125" s="276" t="s">
        <v>55</v>
      </c>
      <c r="C125" s="275" t="s">
        <v>376</v>
      </c>
      <c r="D125" s="277">
        <v>6.6669999999999998</v>
      </c>
      <c r="E125" s="275" t="str">
        <f>VLOOKUP(A125,Estimate!A:D,4,FALSE)</f>
        <v xml:space="preserve">hr   </v>
      </c>
    </row>
    <row r="126" spans="1:5" x14ac:dyDescent="0.65">
      <c r="A126" s="275">
        <v>83</v>
      </c>
      <c r="B126" s="276" t="s">
        <v>181</v>
      </c>
      <c r="C126" s="275" t="s">
        <v>970</v>
      </c>
      <c r="D126" s="277">
        <v>46.8</v>
      </c>
      <c r="E126" s="275" t="str">
        <f>VLOOKUP(A126,Estimate!A:D,4,FALSE)</f>
        <v xml:space="preserve">m    </v>
      </c>
    </row>
    <row r="127" spans="1:5" x14ac:dyDescent="0.65">
      <c r="A127" s="275">
        <v>83.1</v>
      </c>
      <c r="B127" s="276" t="s">
        <v>55</v>
      </c>
      <c r="C127" s="275" t="s">
        <v>376</v>
      </c>
      <c r="D127" s="277">
        <v>6.6669999999999998</v>
      </c>
      <c r="E127" s="275" t="str">
        <f>VLOOKUP(A127,Estimate!A:D,4,FALSE)</f>
        <v xml:space="preserve">hr   </v>
      </c>
    </row>
    <row r="128" spans="1:5" x14ac:dyDescent="0.65">
      <c r="A128" s="275">
        <v>84</v>
      </c>
      <c r="B128" s="276" t="s">
        <v>183</v>
      </c>
      <c r="C128" s="275" t="s">
        <v>970</v>
      </c>
      <c r="D128" s="277">
        <v>20.399999999999999</v>
      </c>
      <c r="E128" s="275" t="str">
        <f>VLOOKUP(A128,Estimate!A:D,4,FALSE)</f>
        <v xml:space="preserve">m    </v>
      </c>
    </row>
    <row r="129" spans="1:5" x14ac:dyDescent="0.65">
      <c r="A129" s="275">
        <v>84.1</v>
      </c>
      <c r="B129" s="276" t="s">
        <v>55</v>
      </c>
      <c r="C129" s="275" t="s">
        <v>376</v>
      </c>
      <c r="D129" s="277">
        <v>6.6669999999999998</v>
      </c>
      <c r="E129" s="275" t="str">
        <f>VLOOKUP(A129,Estimate!A:D,4,FALSE)</f>
        <v xml:space="preserve">hr   </v>
      </c>
    </row>
    <row r="130" spans="1:5" x14ac:dyDescent="0.65">
      <c r="A130" s="275">
        <v>85</v>
      </c>
      <c r="B130" s="276" t="s">
        <v>186</v>
      </c>
      <c r="C130" s="275" t="s">
        <v>970</v>
      </c>
      <c r="D130" s="277">
        <v>21.6</v>
      </c>
      <c r="E130" s="275" t="str">
        <f>VLOOKUP(A130,Estimate!A:D,4,FALSE)</f>
        <v xml:space="preserve">m    </v>
      </c>
    </row>
    <row r="131" spans="1:5" x14ac:dyDescent="0.65">
      <c r="A131" s="275">
        <v>85.1</v>
      </c>
      <c r="B131" s="276" t="s">
        <v>55</v>
      </c>
      <c r="C131" s="275" t="s">
        <v>376</v>
      </c>
      <c r="D131" s="277">
        <v>6.6669999999999998</v>
      </c>
      <c r="E131" s="275" t="str">
        <f>VLOOKUP(A131,Estimate!A:D,4,FALSE)</f>
        <v xml:space="preserve">hr   </v>
      </c>
    </row>
    <row r="132" spans="1:5" x14ac:dyDescent="0.65">
      <c r="A132" s="275">
        <v>86</v>
      </c>
      <c r="B132" s="276" t="s">
        <v>640</v>
      </c>
      <c r="C132" s="275" t="s">
        <v>970</v>
      </c>
      <c r="D132" s="277">
        <v>0</v>
      </c>
      <c r="E132" s="275">
        <f>VLOOKUP(A132,Estimate!A:D,4,FALSE)</f>
        <v>0</v>
      </c>
    </row>
    <row r="133" spans="1:5" x14ac:dyDescent="0.65">
      <c r="A133" s="275">
        <v>87</v>
      </c>
      <c r="B133" s="276" t="s">
        <v>641</v>
      </c>
      <c r="C133" s="275" t="s">
        <v>970</v>
      </c>
      <c r="D133" s="277">
        <v>0</v>
      </c>
      <c r="E133" s="275">
        <f>VLOOKUP(A133,Estimate!A:D,4,FALSE)</f>
        <v>0</v>
      </c>
    </row>
    <row r="134" spans="1:5" x14ac:dyDescent="0.65">
      <c r="A134" s="275">
        <v>88</v>
      </c>
      <c r="B134" s="276" t="s">
        <v>188</v>
      </c>
      <c r="C134" s="275" t="s">
        <v>970</v>
      </c>
      <c r="D134" s="277">
        <v>4</v>
      </c>
      <c r="E134" s="275" t="str">
        <f>VLOOKUP(A134,Estimate!A:D,4,FALSE)</f>
        <v xml:space="preserve">No.  </v>
      </c>
    </row>
    <row r="135" spans="1:5" x14ac:dyDescent="0.65">
      <c r="A135" s="275">
        <v>89</v>
      </c>
      <c r="B135" s="276" t="s">
        <v>191</v>
      </c>
      <c r="C135" s="275" t="s">
        <v>970</v>
      </c>
      <c r="D135" s="277">
        <v>9</v>
      </c>
      <c r="E135" s="275" t="str">
        <f>VLOOKUP(A135,Estimate!A:D,4,FALSE)</f>
        <v xml:space="preserve">No.  </v>
      </c>
    </row>
    <row r="136" spans="1:5" x14ac:dyDescent="0.65">
      <c r="A136" s="275">
        <v>90</v>
      </c>
      <c r="B136" s="276" t="s">
        <v>195</v>
      </c>
      <c r="C136" s="275" t="s">
        <v>970</v>
      </c>
      <c r="D136" s="277">
        <v>1</v>
      </c>
      <c r="E136" s="275" t="str">
        <f>VLOOKUP(A136,Estimate!A:D,4,FALSE)</f>
        <v xml:space="preserve">Item </v>
      </c>
    </row>
    <row r="137" spans="1:5" x14ac:dyDescent="0.65">
      <c r="A137" s="275">
        <v>91</v>
      </c>
      <c r="B137" s="276" t="s">
        <v>642</v>
      </c>
      <c r="C137" s="275" t="s">
        <v>970</v>
      </c>
      <c r="D137" s="277">
        <v>0</v>
      </c>
      <c r="E137" s="275">
        <f>VLOOKUP(A137,Estimate!A:D,4,FALSE)</f>
        <v>0</v>
      </c>
    </row>
    <row r="138" spans="1:5" x14ac:dyDescent="0.65">
      <c r="A138" s="275">
        <v>92</v>
      </c>
      <c r="B138" s="276" t="s">
        <v>643</v>
      </c>
      <c r="C138" s="275" t="s">
        <v>970</v>
      </c>
      <c r="D138" s="277">
        <v>0</v>
      </c>
      <c r="E138" s="275">
        <f>VLOOKUP(A138,Estimate!A:D,4,FALSE)</f>
        <v>0</v>
      </c>
    </row>
    <row r="139" spans="1:5" x14ac:dyDescent="0.65">
      <c r="A139" s="275">
        <v>93</v>
      </c>
      <c r="B139" s="276" t="s">
        <v>197</v>
      </c>
      <c r="C139" s="275" t="s">
        <v>970</v>
      </c>
      <c r="D139" s="277">
        <v>4</v>
      </c>
      <c r="E139" s="275" t="str">
        <f>VLOOKUP(A139,Estimate!A:D,4,FALSE)</f>
        <v xml:space="preserve">No.  </v>
      </c>
    </row>
    <row r="140" spans="1:5" x14ac:dyDescent="0.65">
      <c r="A140" s="275">
        <v>94</v>
      </c>
      <c r="B140" s="276" t="s">
        <v>644</v>
      </c>
      <c r="C140" s="275" t="s">
        <v>970</v>
      </c>
      <c r="D140" s="277">
        <v>0</v>
      </c>
      <c r="E140" s="275">
        <f>VLOOKUP(A140,Estimate!A:D,4,FALSE)</f>
        <v>0</v>
      </c>
    </row>
    <row r="141" spans="1:5" x14ac:dyDescent="0.65">
      <c r="A141" s="275">
        <v>95</v>
      </c>
      <c r="B141" s="276" t="s">
        <v>197</v>
      </c>
      <c r="C141" s="275" t="s">
        <v>970</v>
      </c>
      <c r="D141" s="277">
        <v>5</v>
      </c>
      <c r="E141" s="275" t="str">
        <f>VLOOKUP(A141,Estimate!A:D,4,FALSE)</f>
        <v xml:space="preserve">No.  </v>
      </c>
    </row>
    <row r="142" spans="1:5" x14ac:dyDescent="0.65">
      <c r="A142" s="275">
        <v>96</v>
      </c>
      <c r="B142" s="276" t="s">
        <v>645</v>
      </c>
      <c r="C142" s="275" t="s">
        <v>970</v>
      </c>
      <c r="D142" s="277">
        <v>0</v>
      </c>
      <c r="E142" s="275">
        <f>VLOOKUP(A142,Estimate!A:D,4,FALSE)</f>
        <v>0</v>
      </c>
    </row>
    <row r="143" spans="1:5" x14ac:dyDescent="0.65">
      <c r="A143" s="275">
        <v>97</v>
      </c>
      <c r="B143" s="276" t="s">
        <v>201</v>
      </c>
      <c r="C143" s="275" t="s">
        <v>970</v>
      </c>
      <c r="D143" s="277">
        <v>2</v>
      </c>
      <c r="E143" s="275" t="str">
        <f>VLOOKUP(A143,Estimate!A:D,4,FALSE)</f>
        <v xml:space="preserve">No.  </v>
      </c>
    </row>
    <row r="144" spans="1:5" x14ac:dyDescent="0.65">
      <c r="A144" s="275">
        <v>97.1</v>
      </c>
      <c r="B144" s="276" t="s">
        <v>55</v>
      </c>
      <c r="C144" s="275" t="s">
        <v>376</v>
      </c>
      <c r="D144" s="277">
        <v>1</v>
      </c>
      <c r="E144" s="275" t="str">
        <f>VLOOKUP(A144,Estimate!A:D,4,FALSE)</f>
        <v xml:space="preserve">hr   </v>
      </c>
    </row>
    <row r="145" spans="1:5" x14ac:dyDescent="0.65">
      <c r="A145" s="275">
        <v>98</v>
      </c>
      <c r="B145" s="276" t="s">
        <v>204</v>
      </c>
      <c r="C145" s="275" t="s">
        <v>970</v>
      </c>
      <c r="D145" s="277">
        <v>2</v>
      </c>
      <c r="E145" s="275" t="str">
        <f>VLOOKUP(A145,Estimate!A:D,4,FALSE)</f>
        <v xml:space="preserve">No.  </v>
      </c>
    </row>
    <row r="146" spans="1:5" x14ac:dyDescent="0.65">
      <c r="A146" s="275">
        <v>98.1</v>
      </c>
      <c r="B146" s="276" t="s">
        <v>55</v>
      </c>
      <c r="C146" s="275" t="s">
        <v>376</v>
      </c>
      <c r="D146" s="277">
        <v>1</v>
      </c>
      <c r="E146" s="275" t="str">
        <f>VLOOKUP(A146,Estimate!A:D,4,FALSE)</f>
        <v xml:space="preserve">hr   </v>
      </c>
    </row>
    <row r="147" spans="1:5" x14ac:dyDescent="0.65">
      <c r="A147" s="275">
        <v>99</v>
      </c>
      <c r="B147" s="276" t="s">
        <v>207</v>
      </c>
      <c r="C147" s="275" t="s">
        <v>970</v>
      </c>
      <c r="D147" s="277">
        <v>4.7</v>
      </c>
      <c r="E147" s="275" t="str">
        <f>VLOOKUP(A147,Estimate!A:D,4,FALSE)</f>
        <v xml:space="preserve">m3   </v>
      </c>
    </row>
    <row r="148" spans="1:5" x14ac:dyDescent="0.65">
      <c r="A148" s="275">
        <v>99.1</v>
      </c>
      <c r="B148" s="276" t="s">
        <v>55</v>
      </c>
      <c r="C148" s="275" t="s">
        <v>376</v>
      </c>
      <c r="D148" s="277">
        <v>5</v>
      </c>
      <c r="E148" s="275" t="str">
        <f>VLOOKUP(A148,Estimate!A:D,4,FALSE)</f>
        <v xml:space="preserve">hr   </v>
      </c>
    </row>
    <row r="149" spans="1:5" x14ac:dyDescent="0.65">
      <c r="A149" s="275">
        <v>100</v>
      </c>
      <c r="B149" s="276" t="s">
        <v>646</v>
      </c>
      <c r="C149" s="275" t="s">
        <v>970</v>
      </c>
      <c r="D149" s="277">
        <v>0</v>
      </c>
      <c r="E149" s="275">
        <f>VLOOKUP(A149,Estimate!A:D,4,FALSE)</f>
        <v>0</v>
      </c>
    </row>
    <row r="150" spans="1:5" ht="57" x14ac:dyDescent="0.65">
      <c r="A150" s="275">
        <v>101</v>
      </c>
      <c r="B150" s="276" t="s">
        <v>210</v>
      </c>
      <c r="C150" s="275" t="s">
        <v>970</v>
      </c>
      <c r="D150" s="277">
        <v>940</v>
      </c>
      <c r="E150" s="275" t="str">
        <f>VLOOKUP(A150,Estimate!A:D,4,FALSE)</f>
        <v xml:space="preserve">m    </v>
      </c>
    </row>
    <row r="151" spans="1:5" x14ac:dyDescent="0.65">
      <c r="A151" s="275">
        <v>101.1</v>
      </c>
      <c r="B151" s="276" t="s">
        <v>55</v>
      </c>
      <c r="C151" s="275" t="s">
        <v>376</v>
      </c>
      <c r="D151" s="277">
        <v>16.667000000000002</v>
      </c>
      <c r="E151" s="275" t="str">
        <f>VLOOKUP(A151,Estimate!A:D,4,FALSE)</f>
        <v xml:space="preserve">hr   </v>
      </c>
    </row>
    <row r="152" spans="1:5" ht="28.5" x14ac:dyDescent="0.65">
      <c r="A152" s="275">
        <v>102</v>
      </c>
      <c r="B152" s="276" t="s">
        <v>936</v>
      </c>
      <c r="C152" s="275" t="s">
        <v>970</v>
      </c>
      <c r="D152" s="277">
        <v>613</v>
      </c>
      <c r="E152" s="275" t="str">
        <f>VLOOKUP(A152,Estimate!A:D,4,FALSE)</f>
        <v xml:space="preserve">m    </v>
      </c>
    </row>
    <row r="153" spans="1:5" ht="28.5" x14ac:dyDescent="0.65">
      <c r="A153" s="275">
        <v>103</v>
      </c>
      <c r="B153" s="276" t="s">
        <v>937</v>
      </c>
      <c r="C153" s="275" t="s">
        <v>970</v>
      </c>
      <c r="D153" s="277">
        <v>500</v>
      </c>
      <c r="E153" s="275">
        <f>VLOOKUP(A153,Estimate!A:D,4,FALSE)</f>
        <v>0</v>
      </c>
    </row>
    <row r="154" spans="1:5" x14ac:dyDescent="0.65">
      <c r="A154" s="275">
        <v>104</v>
      </c>
      <c r="B154" s="276" t="s">
        <v>938</v>
      </c>
      <c r="C154" s="275" t="s">
        <v>970</v>
      </c>
      <c r="D154" s="277">
        <v>270</v>
      </c>
      <c r="E154" s="275" t="str">
        <f>VLOOKUP(A154,Estimate!A:D,4,FALSE)</f>
        <v xml:space="preserve">m    </v>
      </c>
    </row>
    <row r="155" spans="1:5" ht="42.75" x14ac:dyDescent="0.65">
      <c r="A155" s="275">
        <v>105</v>
      </c>
      <c r="B155" s="276" t="s">
        <v>220</v>
      </c>
      <c r="C155" s="275" t="s">
        <v>970</v>
      </c>
      <c r="D155" s="277">
        <v>13</v>
      </c>
      <c r="E155" s="275" t="str">
        <f>VLOOKUP(A155,Estimate!A:D,4,FALSE)</f>
        <v xml:space="preserve">No.  </v>
      </c>
    </row>
    <row r="156" spans="1:5" ht="57" x14ac:dyDescent="0.65">
      <c r="A156" s="275">
        <v>106</v>
      </c>
      <c r="B156" s="276" t="s">
        <v>223</v>
      </c>
      <c r="C156" s="275" t="s">
        <v>970</v>
      </c>
      <c r="D156" s="277">
        <v>8</v>
      </c>
      <c r="E156" s="275" t="str">
        <f>VLOOKUP(A156,Estimate!A:D,4,FALSE)</f>
        <v xml:space="preserve">No.  </v>
      </c>
    </row>
    <row r="157" spans="1:5" ht="28.5" x14ac:dyDescent="0.65">
      <c r="A157" s="275">
        <v>107</v>
      </c>
      <c r="B157" s="276" t="s">
        <v>226</v>
      </c>
      <c r="C157" s="275" t="s">
        <v>970</v>
      </c>
      <c r="D157" s="277">
        <v>1</v>
      </c>
      <c r="E157" s="275" t="str">
        <f>VLOOKUP(A157,Estimate!A:D,4,FALSE)</f>
        <v xml:space="preserve">No.  </v>
      </c>
    </row>
    <row r="158" spans="1:5" ht="42.75" x14ac:dyDescent="0.65">
      <c r="A158" s="275">
        <v>108</v>
      </c>
      <c r="B158" s="276" t="s">
        <v>229</v>
      </c>
      <c r="C158" s="275" t="s">
        <v>970</v>
      </c>
      <c r="D158" s="277">
        <v>5</v>
      </c>
      <c r="E158" s="275" t="str">
        <f>VLOOKUP(A158,Estimate!A:D,4,FALSE)</f>
        <v xml:space="preserve">No.  </v>
      </c>
    </row>
    <row r="159" spans="1:5" ht="42.75" x14ac:dyDescent="0.65">
      <c r="A159" s="275">
        <v>109</v>
      </c>
      <c r="B159" s="276" t="s">
        <v>233</v>
      </c>
      <c r="C159" s="275" t="s">
        <v>970</v>
      </c>
      <c r="D159" s="277">
        <v>2</v>
      </c>
      <c r="E159" s="275" t="str">
        <f>VLOOKUP(A159,Estimate!A:D,4,FALSE)</f>
        <v xml:space="preserve">No.  </v>
      </c>
    </row>
    <row r="160" spans="1:5" ht="42.75" x14ac:dyDescent="0.65">
      <c r="A160" s="275">
        <v>110</v>
      </c>
      <c r="B160" s="276" t="s">
        <v>235</v>
      </c>
      <c r="C160" s="275" t="s">
        <v>970</v>
      </c>
      <c r="D160" s="277">
        <v>4</v>
      </c>
      <c r="E160" s="275" t="str">
        <f>VLOOKUP(A160,Estimate!A:D,4,FALSE)</f>
        <v xml:space="preserve">No.  </v>
      </c>
    </row>
    <row r="161" spans="1:5" x14ac:dyDescent="0.65">
      <c r="A161" s="275">
        <v>110.1</v>
      </c>
      <c r="B161" s="276" t="s">
        <v>91</v>
      </c>
      <c r="C161" s="275" t="s">
        <v>376</v>
      </c>
      <c r="D161" s="277">
        <v>0.5</v>
      </c>
      <c r="E161" s="275" t="str">
        <f>VLOOKUP(A161,Estimate!A:D,4,FALSE)</f>
        <v xml:space="preserve">hr   </v>
      </c>
    </row>
    <row r="162" spans="1:5" ht="57" x14ac:dyDescent="0.65">
      <c r="A162" s="275">
        <v>111</v>
      </c>
      <c r="B162" s="276" t="s">
        <v>239</v>
      </c>
      <c r="C162" s="275" t="s">
        <v>970</v>
      </c>
      <c r="D162" s="277">
        <v>3</v>
      </c>
      <c r="E162" s="275" t="str">
        <f>VLOOKUP(A162,Estimate!A:D,4,FALSE)</f>
        <v xml:space="preserve">No.  </v>
      </c>
    </row>
    <row r="163" spans="1:5" x14ac:dyDescent="0.65">
      <c r="A163" s="275">
        <v>112</v>
      </c>
      <c r="B163" s="276" t="s">
        <v>647</v>
      </c>
      <c r="C163" s="275" t="s">
        <v>970</v>
      </c>
      <c r="D163" s="277">
        <v>0</v>
      </c>
      <c r="E163" s="275">
        <f>VLOOKUP(A163,Estimate!A:D,4,FALSE)</f>
        <v>0</v>
      </c>
    </row>
    <row r="164" spans="1:5" x14ac:dyDescent="0.65">
      <c r="A164" s="275">
        <v>113</v>
      </c>
      <c r="B164" s="276" t="s">
        <v>648</v>
      </c>
      <c r="C164" s="275" t="s">
        <v>970</v>
      </c>
      <c r="D164" s="277">
        <v>0</v>
      </c>
      <c r="E164" s="275">
        <f>VLOOKUP(A164,Estimate!A:D,4,FALSE)</f>
        <v>0</v>
      </c>
    </row>
    <row r="165" spans="1:5" ht="28.5" x14ac:dyDescent="0.65">
      <c r="A165" s="275">
        <v>114</v>
      </c>
      <c r="B165" s="276" t="s">
        <v>649</v>
      </c>
      <c r="C165" s="275" t="s">
        <v>970</v>
      </c>
      <c r="D165" s="277">
        <v>0</v>
      </c>
      <c r="E165" s="275">
        <f>VLOOKUP(A165,Estimate!A:D,4,FALSE)</f>
        <v>0</v>
      </c>
    </row>
    <row r="166" spans="1:5" ht="28.5" x14ac:dyDescent="0.65">
      <c r="A166" s="275">
        <v>115</v>
      </c>
      <c r="B166" s="276" t="s">
        <v>241</v>
      </c>
      <c r="C166" s="275" t="s">
        <v>970</v>
      </c>
      <c r="D166" s="277">
        <v>1</v>
      </c>
      <c r="E166" s="275" t="str">
        <f>VLOOKUP(A166,Estimate!A:D,4,FALSE)</f>
        <v xml:space="preserve">Item </v>
      </c>
    </row>
    <row r="167" spans="1:5" x14ac:dyDescent="0.65">
      <c r="A167" s="275">
        <v>116</v>
      </c>
      <c r="B167" s="276" t="s">
        <v>650</v>
      </c>
      <c r="C167" s="275" t="s">
        <v>970</v>
      </c>
      <c r="D167" s="277">
        <v>0</v>
      </c>
      <c r="E167" s="275">
        <f>VLOOKUP(A167,Estimate!A:D,4,FALSE)</f>
        <v>0</v>
      </c>
    </row>
    <row r="168" spans="1:5" x14ac:dyDescent="0.65">
      <c r="A168" s="275">
        <v>117</v>
      </c>
      <c r="B168" s="276" t="s">
        <v>651</v>
      </c>
      <c r="C168" s="275" t="s">
        <v>970</v>
      </c>
      <c r="D168" s="277">
        <v>0</v>
      </c>
      <c r="E168" s="275">
        <f>VLOOKUP(A168,Estimate!A:D,4,FALSE)</f>
        <v>0</v>
      </c>
    </row>
    <row r="169" spans="1:5" ht="28.5" x14ac:dyDescent="0.65">
      <c r="A169" s="275">
        <v>118</v>
      </c>
      <c r="B169" s="276" t="s">
        <v>244</v>
      </c>
      <c r="C169" s="275" t="s">
        <v>970</v>
      </c>
      <c r="D169" s="277">
        <v>624</v>
      </c>
      <c r="E169" s="275" t="str">
        <f>VLOOKUP(A169,Estimate!A:D,4,FALSE)</f>
        <v xml:space="preserve">m    </v>
      </c>
    </row>
    <row r="170" spans="1:5" ht="42.75" x14ac:dyDescent="0.65">
      <c r="A170" s="275">
        <v>119</v>
      </c>
      <c r="B170" s="276" t="s">
        <v>246</v>
      </c>
      <c r="C170" s="275" t="s">
        <v>970</v>
      </c>
      <c r="D170" s="277">
        <v>710</v>
      </c>
      <c r="E170" s="275" t="str">
        <f>VLOOKUP(A170,Estimate!A:D,4,FALSE)</f>
        <v xml:space="preserve">m    </v>
      </c>
    </row>
    <row r="171" spans="1:5" x14ac:dyDescent="0.65">
      <c r="A171" s="275">
        <v>120</v>
      </c>
      <c r="B171" s="276" t="s">
        <v>248</v>
      </c>
      <c r="C171" s="275" t="s">
        <v>970</v>
      </c>
      <c r="D171" s="277">
        <v>220</v>
      </c>
      <c r="E171" s="275" t="str">
        <f>VLOOKUP(A171,Estimate!A:D,4,FALSE)</f>
        <v xml:space="preserve">m    </v>
      </c>
    </row>
    <row r="172" spans="1:5" x14ac:dyDescent="0.65">
      <c r="A172" s="275">
        <v>121</v>
      </c>
      <c r="B172" s="276" t="s">
        <v>250</v>
      </c>
      <c r="C172" s="275" t="s">
        <v>970</v>
      </c>
      <c r="D172" s="277">
        <v>15</v>
      </c>
      <c r="E172" s="275" t="str">
        <f>VLOOKUP(A172,Estimate!A:D,4,FALSE)</f>
        <v xml:space="preserve">m    </v>
      </c>
    </row>
    <row r="173" spans="1:5" x14ac:dyDescent="0.65">
      <c r="A173" s="275">
        <v>122</v>
      </c>
      <c r="B173" s="276" t="s">
        <v>252</v>
      </c>
      <c r="C173" s="275" t="s">
        <v>970</v>
      </c>
      <c r="D173" s="277">
        <v>4</v>
      </c>
      <c r="E173" s="275" t="str">
        <f>VLOOKUP(A173,Estimate!A:D,4,FALSE)</f>
        <v xml:space="preserve">No.  </v>
      </c>
    </row>
    <row r="174" spans="1:5" x14ac:dyDescent="0.65">
      <c r="A174" s="275">
        <v>123</v>
      </c>
      <c r="B174" s="276" t="s">
        <v>254</v>
      </c>
      <c r="C174" s="275" t="s">
        <v>970</v>
      </c>
      <c r="D174" s="277">
        <v>1</v>
      </c>
      <c r="E174" s="275" t="str">
        <f>VLOOKUP(A174,Estimate!A:D,4,FALSE)</f>
        <v xml:space="preserve">Item </v>
      </c>
    </row>
    <row r="175" spans="1:5" x14ac:dyDescent="0.65">
      <c r="A175" s="275">
        <v>124</v>
      </c>
      <c r="B175" s="276" t="s">
        <v>653</v>
      </c>
      <c r="C175" s="275" t="s">
        <v>970</v>
      </c>
      <c r="D175" s="277">
        <v>0</v>
      </c>
      <c r="E175" s="275">
        <f>VLOOKUP(A175,Estimate!A:D,4,FALSE)</f>
        <v>0</v>
      </c>
    </row>
    <row r="176" spans="1:5" x14ac:dyDescent="0.65">
      <c r="A176" s="275">
        <v>125</v>
      </c>
      <c r="B176" s="276" t="s">
        <v>616</v>
      </c>
      <c r="C176" s="275" t="s">
        <v>970</v>
      </c>
      <c r="D176" s="277">
        <v>0</v>
      </c>
      <c r="E176" s="275">
        <f>VLOOKUP(A176,Estimate!A:D,4,FALSE)</f>
        <v>0</v>
      </c>
    </row>
    <row r="177" spans="1:5" x14ac:dyDescent="0.65">
      <c r="A177" s="275">
        <v>126</v>
      </c>
      <c r="B177" s="276" t="s">
        <v>257</v>
      </c>
      <c r="C177" s="275" t="s">
        <v>970</v>
      </c>
      <c r="D177" s="277">
        <v>550</v>
      </c>
      <c r="E177" s="275" t="str">
        <f>VLOOKUP(A177,Estimate!A:D,4,FALSE)</f>
        <v xml:space="preserve">m2   </v>
      </c>
    </row>
    <row r="178" spans="1:5" x14ac:dyDescent="0.65">
      <c r="A178" s="275">
        <v>127</v>
      </c>
      <c r="B178" s="276" t="s">
        <v>259</v>
      </c>
      <c r="C178" s="275" t="s">
        <v>970</v>
      </c>
      <c r="D178" s="277">
        <v>55</v>
      </c>
      <c r="E178" s="275" t="str">
        <f>VLOOKUP(A178,Estimate!A:D,4,FALSE)</f>
        <v xml:space="preserve">m3   </v>
      </c>
    </row>
    <row r="179" spans="1:5" x14ac:dyDescent="0.65">
      <c r="A179" s="275">
        <v>127.1</v>
      </c>
      <c r="B179" s="276" t="s">
        <v>55</v>
      </c>
      <c r="C179" s="275" t="s">
        <v>376</v>
      </c>
      <c r="D179" s="277">
        <v>40</v>
      </c>
      <c r="E179" s="275" t="str">
        <f>VLOOKUP(A179,Estimate!A:D,4,FALSE)</f>
        <v xml:space="preserve">hr   </v>
      </c>
    </row>
    <row r="180" spans="1:5" x14ac:dyDescent="0.65">
      <c r="A180" s="275">
        <v>128</v>
      </c>
      <c r="B180" s="276" t="s">
        <v>261</v>
      </c>
      <c r="C180" s="275" t="s">
        <v>970</v>
      </c>
      <c r="D180" s="277">
        <v>28</v>
      </c>
      <c r="E180" s="275" t="str">
        <f>VLOOKUP(A180,Estimate!A:D,4,FALSE)</f>
        <v xml:space="preserve">m2   </v>
      </c>
    </row>
    <row r="181" spans="1:5" x14ac:dyDescent="0.65">
      <c r="A181" s="275">
        <v>128.1</v>
      </c>
      <c r="B181" s="276" t="s">
        <v>91</v>
      </c>
      <c r="C181" s="275" t="s">
        <v>376</v>
      </c>
      <c r="D181" s="277">
        <v>250</v>
      </c>
      <c r="E181" s="275" t="str">
        <f>VLOOKUP(A181,Estimate!A:D,4,FALSE)</f>
        <v xml:space="preserve">hr   </v>
      </c>
    </row>
    <row r="182" spans="1:5" x14ac:dyDescent="0.65">
      <c r="A182" s="275">
        <v>129</v>
      </c>
      <c r="B182" s="276" t="s">
        <v>263</v>
      </c>
      <c r="C182" s="275" t="s">
        <v>970</v>
      </c>
      <c r="D182" s="277">
        <v>27</v>
      </c>
      <c r="E182" s="275" t="str">
        <f>VLOOKUP(A182,Estimate!A:D,4,FALSE)</f>
        <v xml:space="preserve">m3   </v>
      </c>
    </row>
    <row r="183" spans="1:5" x14ac:dyDescent="0.65">
      <c r="A183" s="275">
        <v>129.1</v>
      </c>
      <c r="B183" s="276" t="s">
        <v>55</v>
      </c>
      <c r="C183" s="275" t="s">
        <v>376</v>
      </c>
      <c r="D183" s="277">
        <v>40</v>
      </c>
      <c r="E183" s="275" t="str">
        <f>VLOOKUP(A183,Estimate!A:D,4,FALSE)</f>
        <v xml:space="preserve">hr   </v>
      </c>
    </row>
    <row r="184" spans="1:5" ht="28.5" x14ac:dyDescent="0.65">
      <c r="A184" s="275">
        <v>130</v>
      </c>
      <c r="B184" s="276" t="s">
        <v>265</v>
      </c>
      <c r="C184" s="275" t="s">
        <v>970</v>
      </c>
      <c r="D184" s="277">
        <v>165</v>
      </c>
      <c r="E184" s="275" t="str">
        <f>VLOOKUP(A184,Estimate!A:D,4,FALSE)</f>
        <v xml:space="preserve">m3   </v>
      </c>
    </row>
    <row r="185" spans="1:5" x14ac:dyDescent="0.65">
      <c r="A185" s="275">
        <v>130.1</v>
      </c>
      <c r="B185" s="276" t="s">
        <v>55</v>
      </c>
      <c r="C185" s="275" t="s">
        <v>376</v>
      </c>
      <c r="D185" s="277">
        <v>88.888999999999996</v>
      </c>
      <c r="E185" s="275" t="str">
        <f>VLOOKUP(A185,Estimate!A:D,4,FALSE)</f>
        <v xml:space="preserve">hr   </v>
      </c>
    </row>
    <row r="186" spans="1:5" x14ac:dyDescent="0.65">
      <c r="A186" s="275">
        <v>130.19999999999999</v>
      </c>
      <c r="B186" s="276" t="s">
        <v>96</v>
      </c>
      <c r="C186" s="275" t="s">
        <v>376</v>
      </c>
      <c r="D186" s="277">
        <v>250</v>
      </c>
      <c r="E186" s="275" t="str">
        <f>VLOOKUP(A186,Estimate!A:D,4,FALSE)</f>
        <v xml:space="preserve">hr   </v>
      </c>
    </row>
    <row r="187" spans="1:5" x14ac:dyDescent="0.65">
      <c r="A187" s="275">
        <v>131</v>
      </c>
      <c r="B187" s="276" t="s">
        <v>658</v>
      </c>
      <c r="C187" s="275" t="s">
        <v>970</v>
      </c>
      <c r="D187" s="277">
        <v>0</v>
      </c>
      <c r="E187" s="275">
        <f>VLOOKUP(A187,Estimate!A:D,4,FALSE)</f>
        <v>0</v>
      </c>
    </row>
    <row r="188" spans="1:5" x14ac:dyDescent="0.65">
      <c r="A188" s="275">
        <v>132</v>
      </c>
      <c r="B188" s="276" t="s">
        <v>659</v>
      </c>
      <c r="C188" s="275" t="s">
        <v>970</v>
      </c>
      <c r="D188" s="277">
        <v>0</v>
      </c>
      <c r="E188" s="275">
        <f>VLOOKUP(A188,Estimate!A:D,4,FALSE)</f>
        <v>0</v>
      </c>
    </row>
    <row r="189" spans="1:5" ht="28.5" x14ac:dyDescent="0.65">
      <c r="A189" s="275">
        <v>133</v>
      </c>
      <c r="B189" s="276" t="s">
        <v>267</v>
      </c>
      <c r="C189" s="275" t="s">
        <v>970</v>
      </c>
      <c r="D189" s="277">
        <v>2</v>
      </c>
      <c r="E189" s="275" t="str">
        <f>VLOOKUP(A189,Estimate!A:D,4,FALSE)</f>
        <v xml:space="preserve">No.  </v>
      </c>
    </row>
    <row r="190" spans="1:5" ht="28.5" x14ac:dyDescent="0.65">
      <c r="A190" s="275">
        <v>134</v>
      </c>
      <c r="B190" s="276" t="s">
        <v>270</v>
      </c>
      <c r="C190" s="275" t="s">
        <v>970</v>
      </c>
      <c r="D190" s="277">
        <v>2</v>
      </c>
      <c r="E190" s="275" t="str">
        <f>VLOOKUP(A190,Estimate!A:D,4,FALSE)</f>
        <v xml:space="preserve">Item </v>
      </c>
    </row>
    <row r="191" spans="1:5" x14ac:dyDescent="0.65">
      <c r="A191" s="275">
        <v>135</v>
      </c>
      <c r="B191" s="276" t="s">
        <v>660</v>
      </c>
      <c r="C191" s="275" t="s">
        <v>970</v>
      </c>
      <c r="D191" s="277">
        <v>0</v>
      </c>
      <c r="E191" s="275">
        <f>VLOOKUP(A191,Estimate!A:D,4,FALSE)</f>
        <v>0</v>
      </c>
    </row>
    <row r="192" spans="1:5" ht="28.5" x14ac:dyDescent="0.65">
      <c r="A192" s="275">
        <v>136</v>
      </c>
      <c r="B192" s="276" t="s">
        <v>272</v>
      </c>
      <c r="C192" s="275" t="s">
        <v>970</v>
      </c>
      <c r="D192" s="277">
        <v>1</v>
      </c>
      <c r="E192" s="275" t="str">
        <f>VLOOKUP(A192,Estimate!A:D,4,FALSE)</f>
        <v xml:space="preserve">No.  </v>
      </c>
    </row>
    <row r="193" spans="1:5" ht="28.5" x14ac:dyDescent="0.65">
      <c r="A193" s="275">
        <v>137</v>
      </c>
      <c r="B193" s="276" t="s">
        <v>274</v>
      </c>
      <c r="C193" s="275" t="s">
        <v>970</v>
      </c>
      <c r="D193" s="277">
        <v>1</v>
      </c>
      <c r="E193" s="275" t="str">
        <f>VLOOKUP(A193,Estimate!A:D,4,FALSE)</f>
        <v xml:space="preserve">Item </v>
      </c>
    </row>
    <row r="194" spans="1:5" x14ac:dyDescent="0.65">
      <c r="A194" s="275">
        <v>138</v>
      </c>
      <c r="B194" s="276" t="s">
        <v>276</v>
      </c>
      <c r="C194" s="275" t="s">
        <v>970</v>
      </c>
      <c r="D194" s="277">
        <v>1</v>
      </c>
      <c r="E194" s="275" t="str">
        <f>VLOOKUP(A194,Estimate!A:D,4,FALSE)</f>
        <v xml:space="preserve">Item </v>
      </c>
    </row>
    <row r="195" spans="1:5" x14ac:dyDescent="0.65">
      <c r="A195" s="275">
        <v>139</v>
      </c>
      <c r="B195" s="276" t="s">
        <v>278</v>
      </c>
      <c r="C195" s="275" t="s">
        <v>970</v>
      </c>
      <c r="D195" s="277">
        <v>1</v>
      </c>
      <c r="E195" s="275" t="str">
        <f>VLOOKUP(A195,Estimate!A:D,4,FALSE)</f>
        <v xml:space="preserve">No.  </v>
      </c>
    </row>
    <row r="196" spans="1:5" x14ac:dyDescent="0.65">
      <c r="A196" s="275">
        <v>140</v>
      </c>
      <c r="B196" s="276" t="s">
        <v>280</v>
      </c>
      <c r="C196" s="275" t="s">
        <v>970</v>
      </c>
      <c r="D196" s="277">
        <v>1</v>
      </c>
      <c r="E196" s="275" t="str">
        <f>VLOOKUP(A196,Estimate!A:D,4,FALSE)</f>
        <v xml:space="preserve">Item </v>
      </c>
    </row>
    <row r="197" spans="1:5" x14ac:dyDescent="0.65">
      <c r="A197" s="275">
        <v>141</v>
      </c>
      <c r="B197" s="276" t="s">
        <v>282</v>
      </c>
      <c r="C197" s="275" t="s">
        <v>970</v>
      </c>
      <c r="D197" s="277">
        <v>1</v>
      </c>
      <c r="E197" s="275" t="str">
        <f>VLOOKUP(A197,Estimate!A:D,4,FALSE)</f>
        <v xml:space="preserve">Item </v>
      </c>
    </row>
    <row r="198" spans="1:5" x14ac:dyDescent="0.65">
      <c r="A198" s="275">
        <v>142</v>
      </c>
      <c r="B198" s="276" t="s">
        <v>661</v>
      </c>
      <c r="C198" s="275" t="s">
        <v>970</v>
      </c>
      <c r="D198" s="277">
        <v>0</v>
      </c>
      <c r="E198" s="275">
        <f>VLOOKUP(A198,Estimate!A:D,4,FALSE)</f>
        <v>0</v>
      </c>
    </row>
    <row r="199" spans="1:5" ht="42.75" x14ac:dyDescent="0.65">
      <c r="A199" s="275">
        <v>143</v>
      </c>
      <c r="B199" s="276" t="s">
        <v>284</v>
      </c>
      <c r="C199" s="275" t="s">
        <v>970</v>
      </c>
      <c r="D199" s="277">
        <v>215</v>
      </c>
      <c r="E199" s="275" t="str">
        <f>VLOOKUP(A199,Estimate!A:D,4,FALSE)</f>
        <v xml:space="preserve">m    </v>
      </c>
    </row>
    <row r="200" spans="1:5" x14ac:dyDescent="0.65">
      <c r="A200" s="275">
        <v>144</v>
      </c>
      <c r="B200" s="276" t="s">
        <v>289</v>
      </c>
      <c r="C200" s="275" t="s">
        <v>970</v>
      </c>
      <c r="D200" s="277">
        <v>1</v>
      </c>
      <c r="E200" s="275" t="str">
        <f>VLOOKUP(A200,Estimate!A:D,4,FALSE)</f>
        <v xml:space="preserve">Item </v>
      </c>
    </row>
    <row r="201" spans="1:5" x14ac:dyDescent="0.65">
      <c r="A201" s="275">
        <v>145</v>
      </c>
      <c r="B201" s="276" t="s">
        <v>662</v>
      </c>
      <c r="C201" s="275" t="s">
        <v>970</v>
      </c>
      <c r="D201" s="277">
        <v>0</v>
      </c>
      <c r="E201" s="275">
        <f>VLOOKUP(A201,Estimate!A:D,4,FALSE)</f>
        <v>0</v>
      </c>
    </row>
    <row r="202" spans="1:5" ht="28.5" x14ac:dyDescent="0.65">
      <c r="A202" s="275">
        <v>146</v>
      </c>
      <c r="B202" s="276" t="s">
        <v>291</v>
      </c>
      <c r="C202" s="275" t="s">
        <v>970</v>
      </c>
      <c r="D202" s="277">
        <v>210</v>
      </c>
      <c r="E202" s="275" t="str">
        <f>VLOOKUP(A202,Estimate!A:D,4,FALSE)</f>
        <v xml:space="preserve">m    </v>
      </c>
    </row>
    <row r="203" spans="1:5" x14ac:dyDescent="0.65">
      <c r="A203" s="275">
        <v>147</v>
      </c>
      <c r="B203" s="276" t="s">
        <v>293</v>
      </c>
      <c r="C203" s="275" t="s">
        <v>970</v>
      </c>
      <c r="D203" s="277">
        <v>1</v>
      </c>
      <c r="E203" s="275" t="str">
        <f>VLOOKUP(A203,Estimate!A:D,4,FALSE)</f>
        <v xml:space="preserve">No.  </v>
      </c>
    </row>
    <row r="204" spans="1:5" ht="42.75" x14ac:dyDescent="0.65">
      <c r="A204" s="275">
        <v>148</v>
      </c>
      <c r="B204" s="276" t="s">
        <v>296</v>
      </c>
      <c r="C204" s="275" t="s">
        <v>970</v>
      </c>
      <c r="D204" s="277">
        <v>3</v>
      </c>
      <c r="E204" s="275" t="str">
        <f>VLOOKUP(A204,Estimate!A:D,4,FALSE)</f>
        <v xml:space="preserve">No.  </v>
      </c>
    </row>
    <row r="205" spans="1:5" ht="28.5" x14ac:dyDescent="0.65">
      <c r="A205" s="275">
        <v>149</v>
      </c>
      <c r="B205" s="276" t="s">
        <v>299</v>
      </c>
      <c r="C205" s="275" t="s">
        <v>970</v>
      </c>
      <c r="D205" s="277">
        <v>75</v>
      </c>
      <c r="E205" s="275" t="str">
        <f>VLOOKUP(A205,Estimate!A:D,4,FALSE)</f>
        <v xml:space="preserve">m    </v>
      </c>
    </row>
    <row r="206" spans="1:5" x14ac:dyDescent="0.65">
      <c r="A206" s="275">
        <v>150</v>
      </c>
      <c r="B206" s="276" t="s">
        <v>663</v>
      </c>
      <c r="C206" s="275" t="s">
        <v>970</v>
      </c>
      <c r="D206" s="277">
        <v>0</v>
      </c>
      <c r="E206" s="275">
        <f>VLOOKUP(A206,Estimate!A:D,4,FALSE)</f>
        <v>0</v>
      </c>
    </row>
    <row r="207" spans="1:5" x14ac:dyDescent="0.65">
      <c r="A207" s="275">
        <v>151</v>
      </c>
      <c r="B207" s="276" t="s">
        <v>301</v>
      </c>
      <c r="C207" s="275" t="s">
        <v>970</v>
      </c>
      <c r="D207" s="277">
        <v>1</v>
      </c>
      <c r="E207" s="275" t="str">
        <f>VLOOKUP(A207,Estimate!A:D,4,FALSE)</f>
        <v xml:space="preserve">item </v>
      </c>
    </row>
    <row r="208" spans="1:5" x14ac:dyDescent="0.65">
      <c r="A208" s="275">
        <v>152</v>
      </c>
      <c r="B208" s="276" t="s">
        <v>664</v>
      </c>
      <c r="C208" s="275" t="s">
        <v>970</v>
      </c>
      <c r="D208" s="277">
        <v>0</v>
      </c>
      <c r="E208" s="275">
        <f>VLOOKUP(A208,Estimate!A:D,4,FALSE)</f>
        <v>0</v>
      </c>
    </row>
    <row r="209" spans="1:5" x14ac:dyDescent="0.65">
      <c r="A209" s="275">
        <v>153</v>
      </c>
      <c r="B209" s="276" t="s">
        <v>304</v>
      </c>
      <c r="C209" s="275" t="s">
        <v>970</v>
      </c>
      <c r="D209" s="277">
        <v>1</v>
      </c>
      <c r="E209" s="275" t="str">
        <f>VLOOKUP(A209,Estimate!A:D,4,FALSE)</f>
        <v xml:space="preserve">Item </v>
      </c>
    </row>
    <row r="210" spans="1:5" x14ac:dyDescent="0.65">
      <c r="A210" s="275">
        <v>153.1</v>
      </c>
      <c r="B210" s="276" t="s">
        <v>19</v>
      </c>
      <c r="C210" s="275" t="s">
        <v>970</v>
      </c>
      <c r="D210" s="277">
        <v>10</v>
      </c>
      <c r="E210" s="275" t="str">
        <f>VLOOKUP(A210,Estimate!A:D,4,FALSE)</f>
        <v xml:space="preserve">week </v>
      </c>
    </row>
    <row r="211" spans="1:5" x14ac:dyDescent="0.65">
      <c r="A211" s="275">
        <v>154</v>
      </c>
      <c r="B211" s="276" t="s">
        <v>21</v>
      </c>
      <c r="C211" s="275" t="s">
        <v>970</v>
      </c>
      <c r="D211" s="277">
        <v>1</v>
      </c>
      <c r="E211" s="275" t="str">
        <f>VLOOKUP(A211,Estimate!A:D,4,FALSE)</f>
        <v xml:space="preserve">Item </v>
      </c>
    </row>
    <row r="212" spans="1:5" x14ac:dyDescent="0.65">
      <c r="A212" s="275">
        <v>154.1</v>
      </c>
      <c r="B212" s="276" t="s">
        <v>21</v>
      </c>
      <c r="C212" s="275" t="s">
        <v>970</v>
      </c>
      <c r="D212" s="277">
        <v>6</v>
      </c>
      <c r="E212" s="275" t="str">
        <f>VLOOKUP(A212,Estimate!A:D,4,FALSE)</f>
        <v xml:space="preserve">week </v>
      </c>
    </row>
    <row r="213" spans="1:5" x14ac:dyDescent="0.65">
      <c r="A213" s="275">
        <v>155</v>
      </c>
      <c r="B213" s="276" t="s">
        <v>307</v>
      </c>
      <c r="C213" s="275" t="s">
        <v>970</v>
      </c>
      <c r="D213" s="277">
        <v>1</v>
      </c>
      <c r="E213" s="275" t="str">
        <f>VLOOKUP(A213,Estimate!A:D,4,FALSE)</f>
        <v xml:space="preserve">Item </v>
      </c>
    </row>
    <row r="214" spans="1:5" x14ac:dyDescent="0.65">
      <c r="A214" s="275">
        <v>155.1</v>
      </c>
      <c r="B214" s="276" t="s">
        <v>60</v>
      </c>
      <c r="C214" s="275" t="s">
        <v>970</v>
      </c>
      <c r="D214" s="277">
        <v>100</v>
      </c>
      <c r="E214" s="275" t="str">
        <f>VLOOKUP(A214,Estimate!A:D,4,FALSE)</f>
        <v xml:space="preserve">hr   </v>
      </c>
    </row>
    <row r="215" spans="1:5" x14ac:dyDescent="0.65">
      <c r="A215" s="275">
        <v>155.19999999999999</v>
      </c>
      <c r="B215" s="276" t="s">
        <v>59</v>
      </c>
      <c r="C215" s="275" t="s">
        <v>970</v>
      </c>
      <c r="D215" s="277">
        <v>360</v>
      </c>
      <c r="E215" s="275" t="str">
        <f>VLOOKUP(A215,Estimate!A:D,4,FALSE)</f>
        <v xml:space="preserve">hr   </v>
      </c>
    </row>
    <row r="216" spans="1:5" x14ac:dyDescent="0.65">
      <c r="A216" s="275">
        <v>156</v>
      </c>
      <c r="B216" s="276" t="s">
        <v>309</v>
      </c>
      <c r="C216" s="275" t="s">
        <v>970</v>
      </c>
      <c r="D216" s="277">
        <v>1</v>
      </c>
      <c r="E216" s="275" t="str">
        <f>VLOOKUP(A216,Estimate!A:D,4,FALSE)</f>
        <v xml:space="preserve">Item </v>
      </c>
    </row>
    <row r="217" spans="1:5" x14ac:dyDescent="0.65">
      <c r="A217" s="275">
        <v>156.1</v>
      </c>
      <c r="B217" s="276" t="s">
        <v>309</v>
      </c>
      <c r="C217" s="275" t="s">
        <v>970</v>
      </c>
      <c r="D217" s="277">
        <v>12</v>
      </c>
      <c r="E217" s="275" t="str">
        <f>VLOOKUP(A217,Estimate!A:D,4,FALSE)</f>
        <v xml:space="preserve">week </v>
      </c>
    </row>
    <row r="218" spans="1:5" x14ac:dyDescent="0.65">
      <c r="A218" s="275">
        <v>157</v>
      </c>
      <c r="B218" s="276" t="s">
        <v>311</v>
      </c>
      <c r="C218" s="275" t="s">
        <v>970</v>
      </c>
      <c r="D218" s="277">
        <v>1</v>
      </c>
      <c r="E218" s="275" t="str">
        <f>VLOOKUP(A218,Estimate!A:D,4,FALSE)</f>
        <v xml:space="preserve">Item </v>
      </c>
    </row>
    <row r="219" spans="1:5" x14ac:dyDescent="0.65">
      <c r="A219" s="275">
        <v>157.1</v>
      </c>
      <c r="B219" s="276" t="s">
        <v>312</v>
      </c>
      <c r="C219" s="275" t="s">
        <v>970</v>
      </c>
      <c r="D219" s="277">
        <v>16</v>
      </c>
      <c r="E219" s="275" t="str">
        <f>VLOOKUP(A219,Estimate!A:D,4,FALSE)</f>
        <v xml:space="preserve">week </v>
      </c>
    </row>
    <row r="220" spans="1:5" x14ac:dyDescent="0.65">
      <c r="A220" s="275">
        <v>158</v>
      </c>
      <c r="B220" s="276" t="s">
        <v>314</v>
      </c>
      <c r="C220" s="275" t="s">
        <v>970</v>
      </c>
      <c r="D220" s="277">
        <v>1</v>
      </c>
      <c r="E220" s="275" t="str">
        <f>VLOOKUP(A220,Estimate!A:D,4,FALSE)</f>
        <v xml:space="preserve">Item </v>
      </c>
    </row>
    <row r="221" spans="1:5" x14ac:dyDescent="0.65">
      <c r="A221" s="275">
        <v>158.1</v>
      </c>
      <c r="B221" s="276" t="s">
        <v>7</v>
      </c>
      <c r="C221" s="275" t="s">
        <v>970</v>
      </c>
      <c r="D221" s="277">
        <v>160</v>
      </c>
      <c r="E221" s="275" t="str">
        <f>VLOOKUP(A221,Estimate!A:D,4,FALSE)</f>
        <v xml:space="preserve">hr   </v>
      </c>
    </row>
    <row r="222" spans="1:5" ht="28.5" x14ac:dyDescent="0.65">
      <c r="A222" s="275">
        <v>159</v>
      </c>
      <c r="B222" s="276" t="s">
        <v>447</v>
      </c>
      <c r="C222" s="275" t="s">
        <v>970</v>
      </c>
      <c r="D222" s="277">
        <v>1</v>
      </c>
      <c r="E222" s="275" t="str">
        <f>VLOOKUP(A222,Estimate!A:D,4,FALSE)</f>
        <v xml:space="preserve">item </v>
      </c>
    </row>
    <row r="223" spans="1:5" x14ac:dyDescent="0.65">
      <c r="A223" s="275">
        <v>159.1</v>
      </c>
      <c r="B223" s="276" t="s">
        <v>55</v>
      </c>
      <c r="C223" s="275" t="s">
        <v>970</v>
      </c>
      <c r="D223" s="277">
        <v>9</v>
      </c>
      <c r="E223" s="275" t="str">
        <f>VLOOKUP(A223,Estimate!A:D,4,FALSE)</f>
        <v xml:space="preserve">hr   </v>
      </c>
    </row>
    <row r="224" spans="1:5" x14ac:dyDescent="0.65">
      <c r="A224" s="275">
        <v>160</v>
      </c>
      <c r="B224" s="276" t="s">
        <v>465</v>
      </c>
      <c r="C224" s="275" t="s">
        <v>970</v>
      </c>
      <c r="D224" s="277">
        <v>1</v>
      </c>
      <c r="E224" s="275" t="str">
        <f>VLOOKUP(A224,Estimate!A:D,4,FALSE)</f>
        <v xml:space="preserve">     </v>
      </c>
    </row>
    <row r="225" spans="1:5" x14ac:dyDescent="0.65">
      <c r="A225" s="275">
        <v>161</v>
      </c>
      <c r="B225" s="276" t="s">
        <v>467</v>
      </c>
      <c r="C225" s="275" t="s">
        <v>970</v>
      </c>
      <c r="D225" s="277">
        <v>0</v>
      </c>
      <c r="E225" s="275" t="str">
        <f>VLOOKUP(A225,Estimate!A:D,4,FALSE)</f>
        <v xml:space="preserve">m³   </v>
      </c>
    </row>
    <row r="226" spans="1:5" x14ac:dyDescent="0.65">
      <c r="A226" s="275">
        <v>161.1</v>
      </c>
      <c r="B226" s="276" t="s">
        <v>101</v>
      </c>
      <c r="C226" s="275" t="s">
        <v>376</v>
      </c>
      <c r="D226" s="277">
        <v>133.333</v>
      </c>
      <c r="E226" s="275" t="str">
        <f>VLOOKUP(A226,Estimate!A:D,4,FALSE)</f>
        <v xml:space="preserve">hr   </v>
      </c>
    </row>
    <row r="227" spans="1:5" x14ac:dyDescent="0.65">
      <c r="A227" s="275">
        <v>161.19999999999999</v>
      </c>
      <c r="B227" s="276" t="s">
        <v>55</v>
      </c>
      <c r="C227" s="275" t="s">
        <v>376</v>
      </c>
      <c r="D227" s="277">
        <v>88.888999999999996</v>
      </c>
      <c r="E227" s="275" t="str">
        <f>VLOOKUP(A227,Estimate!A:D,4,FALSE)</f>
        <v xml:space="preserve">hr   </v>
      </c>
    </row>
    <row r="228" spans="1:5" ht="28.5" x14ac:dyDescent="0.65">
      <c r="A228" s="275">
        <v>162</v>
      </c>
      <c r="B228" s="276" t="s">
        <v>450</v>
      </c>
      <c r="C228" s="275" t="s">
        <v>970</v>
      </c>
      <c r="D228" s="277">
        <v>1</v>
      </c>
      <c r="E228" s="275">
        <f>VLOOKUP(A228,Estimate!A:D,4,FALSE)</f>
        <v>0</v>
      </c>
    </row>
    <row r="229" spans="1:5" x14ac:dyDescent="0.65">
      <c r="A229" s="275">
        <v>163</v>
      </c>
      <c r="B229" s="276" t="s">
        <v>453</v>
      </c>
      <c r="C229" s="275" t="s">
        <v>970</v>
      </c>
      <c r="D229" s="277">
        <v>62</v>
      </c>
      <c r="E229" s="275" t="str">
        <f>VLOOKUP(A229,Estimate!A:D,4,FALSE)</f>
        <v xml:space="preserve">m³   </v>
      </c>
    </row>
    <row r="230" spans="1:5" x14ac:dyDescent="0.65">
      <c r="A230" s="275">
        <v>163.1</v>
      </c>
      <c r="B230" s="276" t="s">
        <v>101</v>
      </c>
      <c r="C230" s="275" t="s">
        <v>376</v>
      </c>
      <c r="D230" s="277">
        <v>133.333</v>
      </c>
      <c r="E230" s="275" t="str">
        <f>VLOOKUP(A230,Estimate!A:D,4,FALSE)</f>
        <v xml:space="preserve">hr   </v>
      </c>
    </row>
    <row r="231" spans="1:5" x14ac:dyDescent="0.65">
      <c r="A231" s="275">
        <v>163.19999999999999</v>
      </c>
      <c r="B231" s="276" t="s">
        <v>55</v>
      </c>
      <c r="C231" s="275" t="s">
        <v>376</v>
      </c>
      <c r="D231" s="277">
        <v>88.888999999999996</v>
      </c>
      <c r="E231" s="275" t="str">
        <f>VLOOKUP(A231,Estimate!A:D,4,FALSE)</f>
        <v xml:space="preserve">hr   </v>
      </c>
    </row>
    <row r="232" spans="1:5" x14ac:dyDescent="0.65">
      <c r="A232" s="275">
        <v>164</v>
      </c>
      <c r="B232" s="276" t="s">
        <v>455</v>
      </c>
      <c r="C232" s="275" t="s">
        <v>970</v>
      </c>
      <c r="D232" s="277">
        <v>80</v>
      </c>
      <c r="E232" s="275" t="str">
        <f>VLOOKUP(A232,Estimate!A:D,4,FALSE)</f>
        <v xml:space="preserve">m²   </v>
      </c>
    </row>
    <row r="233" spans="1:5" x14ac:dyDescent="0.65">
      <c r="A233" s="275">
        <v>164.1</v>
      </c>
      <c r="B233" s="276" t="s">
        <v>96</v>
      </c>
      <c r="C233" s="275" t="s">
        <v>376</v>
      </c>
      <c r="D233" s="277">
        <v>175</v>
      </c>
      <c r="E233" s="275" t="str">
        <f>VLOOKUP(A233,Estimate!A:D,4,FALSE)</f>
        <v xml:space="preserve">hr   </v>
      </c>
    </row>
    <row r="234" spans="1:5" x14ac:dyDescent="0.65">
      <c r="A234" s="275">
        <v>165</v>
      </c>
      <c r="B234" s="276" t="s">
        <v>461</v>
      </c>
      <c r="C234" s="275" t="s">
        <v>970</v>
      </c>
      <c r="D234" s="277">
        <v>8</v>
      </c>
      <c r="E234" s="275" t="str">
        <f>VLOOKUP(A234,Estimate!A:D,4,FALSE)</f>
        <v xml:space="preserve">m³   </v>
      </c>
    </row>
    <row r="235" spans="1:5" x14ac:dyDescent="0.65">
      <c r="A235" s="275">
        <v>165.1</v>
      </c>
      <c r="B235" s="276" t="s">
        <v>96</v>
      </c>
      <c r="C235" s="275" t="s">
        <v>376</v>
      </c>
      <c r="D235" s="277">
        <v>77.778000000000006</v>
      </c>
      <c r="E235" s="275" t="str">
        <f>VLOOKUP(A235,Estimate!A:D,4,FALSE)</f>
        <v xml:space="preserve">hr   </v>
      </c>
    </row>
    <row r="236" spans="1:5" x14ac:dyDescent="0.65">
      <c r="A236" s="275">
        <v>166</v>
      </c>
      <c r="B236" s="276" t="s">
        <v>463</v>
      </c>
      <c r="C236" s="275" t="s">
        <v>970</v>
      </c>
      <c r="D236" s="277">
        <v>8.75</v>
      </c>
      <c r="E236" s="275" t="str">
        <f>VLOOKUP(A236,Estimate!A:D,4,FALSE)</f>
        <v xml:space="preserve">m³   </v>
      </c>
    </row>
    <row r="237" spans="1:5" x14ac:dyDescent="0.65">
      <c r="A237" s="275">
        <v>166.1</v>
      </c>
      <c r="B237" s="276" t="s">
        <v>96</v>
      </c>
      <c r="C237" s="275" t="s">
        <v>376</v>
      </c>
      <c r="D237" s="277">
        <v>77.778000000000006</v>
      </c>
      <c r="E237" s="275" t="str">
        <f>VLOOKUP(A237,Estimate!A:D,4,FALSE)</f>
        <v xml:space="preserve">hr   </v>
      </c>
    </row>
    <row r="238" spans="1:5" x14ac:dyDescent="0.65">
      <c r="A238" s="275">
        <v>167</v>
      </c>
      <c r="B238" s="276" t="s">
        <v>457</v>
      </c>
      <c r="C238" s="275" t="s">
        <v>970</v>
      </c>
      <c r="D238" s="277">
        <v>70</v>
      </c>
      <c r="E238" s="275" t="str">
        <f>VLOOKUP(A238,Estimate!A:D,4,FALSE)</f>
        <v xml:space="preserve">m³   </v>
      </c>
    </row>
    <row r="239" spans="1:5" x14ac:dyDescent="0.65">
      <c r="A239" s="275">
        <v>167.1</v>
      </c>
      <c r="B239" s="276" t="s">
        <v>96</v>
      </c>
      <c r="C239" s="275" t="s">
        <v>376</v>
      </c>
      <c r="D239" s="277">
        <v>150</v>
      </c>
      <c r="E239" s="275" t="str">
        <f>VLOOKUP(A239,Estimate!A:D,4,FALSE)</f>
        <v xml:space="preserve">hr   </v>
      </c>
    </row>
    <row r="240" spans="1:5" x14ac:dyDescent="0.65">
      <c r="A240" s="275">
        <v>168</v>
      </c>
      <c r="B240" s="276" t="s">
        <v>939</v>
      </c>
      <c r="C240" s="275" t="s">
        <v>970</v>
      </c>
      <c r="D240" s="277">
        <v>70</v>
      </c>
      <c r="E240" s="275" t="str">
        <f>VLOOKUP(A240,Estimate!A:D,4,FALSE)</f>
        <v xml:space="preserve">m²   </v>
      </c>
    </row>
    <row r="241" spans="1:5" x14ac:dyDescent="0.65">
      <c r="A241" s="275">
        <v>169</v>
      </c>
      <c r="B241" s="276" t="s">
        <v>908</v>
      </c>
      <c r="C241" s="275" t="s">
        <v>970</v>
      </c>
      <c r="D241" s="277">
        <v>7</v>
      </c>
      <c r="E241" s="275" t="str">
        <f>VLOOKUP(A241,Estimate!A:D,4,FALSE)</f>
        <v>tonne</v>
      </c>
    </row>
    <row r="242" spans="1:5" x14ac:dyDescent="0.65">
      <c r="A242" s="275">
        <v>170</v>
      </c>
      <c r="B242" s="276" t="s">
        <v>469</v>
      </c>
      <c r="C242" s="275" t="s">
        <v>970</v>
      </c>
      <c r="D242" s="277">
        <v>1</v>
      </c>
      <c r="E242" s="275" t="str">
        <f>VLOOKUP(A242,Estimate!A:D,4,FALSE)</f>
        <v xml:space="preserve">     </v>
      </c>
    </row>
    <row r="243" spans="1:5" x14ac:dyDescent="0.65">
      <c r="A243" s="275">
        <v>171</v>
      </c>
      <c r="B243" s="276" t="s">
        <v>471</v>
      </c>
      <c r="C243" s="275" t="s">
        <v>970</v>
      </c>
      <c r="D243" s="277">
        <v>20</v>
      </c>
      <c r="E243" s="275" t="str">
        <f>VLOOKUP(A243,Estimate!A:D,4,FALSE)</f>
        <v xml:space="preserve">m    </v>
      </c>
    </row>
    <row r="244" spans="1:5" x14ac:dyDescent="0.65">
      <c r="A244" s="275">
        <v>172</v>
      </c>
      <c r="B244" s="276" t="s">
        <v>473</v>
      </c>
      <c r="C244" s="275" t="s">
        <v>970</v>
      </c>
      <c r="D244" s="277">
        <v>1</v>
      </c>
      <c r="E244" s="275" t="str">
        <f>VLOOKUP(A244,Estimate!A:D,4,FALSE)</f>
        <v xml:space="preserve">     </v>
      </c>
    </row>
    <row r="245" spans="1:5" x14ac:dyDescent="0.65">
      <c r="A245" s="275">
        <v>173</v>
      </c>
      <c r="B245" s="276" t="s">
        <v>475</v>
      </c>
      <c r="C245" s="275" t="s">
        <v>970</v>
      </c>
      <c r="D245" s="277">
        <v>24.5</v>
      </c>
      <c r="E245" s="275" t="str">
        <f>VLOOKUP(A245,Estimate!A:D,4,FALSE)</f>
        <v xml:space="preserve">m²   </v>
      </c>
    </row>
    <row r="246" spans="1:5" x14ac:dyDescent="0.65">
      <c r="A246" s="275">
        <v>173.1</v>
      </c>
      <c r="B246" s="276" t="s">
        <v>49</v>
      </c>
      <c r="C246" s="275" t="s">
        <v>376</v>
      </c>
      <c r="D246" s="277">
        <v>6</v>
      </c>
      <c r="E246" s="275" t="str">
        <f>VLOOKUP(A246,Estimate!A:D,4,FALSE)</f>
        <v xml:space="preserve">hr   </v>
      </c>
    </row>
    <row r="247" spans="1:5" x14ac:dyDescent="0.65">
      <c r="A247" s="275">
        <v>174</v>
      </c>
      <c r="B247" s="276" t="s">
        <v>477</v>
      </c>
      <c r="C247" s="275" t="s">
        <v>970</v>
      </c>
      <c r="D247" s="277">
        <v>1</v>
      </c>
      <c r="E247" s="275" t="str">
        <f>VLOOKUP(A247,Estimate!A:D,4,FALSE)</f>
        <v xml:space="preserve">     </v>
      </c>
    </row>
    <row r="248" spans="1:5" x14ac:dyDescent="0.65">
      <c r="A248" s="275">
        <v>175</v>
      </c>
      <c r="B248" s="276" t="s">
        <v>479</v>
      </c>
      <c r="C248" s="275" t="s">
        <v>970</v>
      </c>
      <c r="D248" s="277">
        <v>4.88</v>
      </c>
      <c r="E248" s="275" t="str">
        <f>VLOOKUP(A248,Estimate!A:D,4,FALSE)</f>
        <v xml:space="preserve">m    </v>
      </c>
    </row>
    <row r="249" spans="1:5" x14ac:dyDescent="0.65">
      <c r="A249" s="275">
        <v>175.1</v>
      </c>
      <c r="B249" s="276" t="s">
        <v>55</v>
      </c>
      <c r="C249" s="275" t="s">
        <v>376</v>
      </c>
      <c r="D249" s="277">
        <v>6.6669999999999998</v>
      </c>
      <c r="E249" s="275" t="str">
        <f>VLOOKUP(A249,Estimate!A:D,4,FALSE)</f>
        <v xml:space="preserve">hr   </v>
      </c>
    </row>
    <row r="250" spans="1:5" ht="28.5" x14ac:dyDescent="0.65">
      <c r="A250" s="275">
        <v>176</v>
      </c>
      <c r="B250" s="276" t="s">
        <v>481</v>
      </c>
      <c r="C250" s="275" t="s">
        <v>970</v>
      </c>
      <c r="D250" s="277">
        <v>1</v>
      </c>
      <c r="E250" s="275" t="str">
        <f>VLOOKUP(A250,Estimate!A:D,4,FALSE)</f>
        <v xml:space="preserve">     </v>
      </c>
    </row>
    <row r="251" spans="1:5" x14ac:dyDescent="0.65">
      <c r="A251" s="275">
        <v>177</v>
      </c>
      <c r="B251" s="276" t="s">
        <v>483</v>
      </c>
      <c r="C251" s="275" t="s">
        <v>970</v>
      </c>
      <c r="D251" s="277">
        <v>460</v>
      </c>
      <c r="E251" s="275" t="str">
        <f>VLOOKUP(A251,Estimate!A:D,4,FALSE)</f>
        <v xml:space="preserve">m³   </v>
      </c>
    </row>
    <row r="252" spans="1:5" x14ac:dyDescent="0.65">
      <c r="A252" s="275">
        <v>177.1</v>
      </c>
      <c r="B252" s="276" t="s">
        <v>55</v>
      </c>
      <c r="C252" s="275" t="s">
        <v>376</v>
      </c>
      <c r="D252" s="277">
        <v>111.111</v>
      </c>
      <c r="E252" s="275" t="str">
        <f>VLOOKUP(A252,Estimate!A:D,4,FALSE)</f>
        <v xml:space="preserve">hr   </v>
      </c>
    </row>
    <row r="253" spans="1:5" x14ac:dyDescent="0.65">
      <c r="A253" s="275">
        <v>178</v>
      </c>
      <c r="B253" s="276" t="s">
        <v>485</v>
      </c>
      <c r="C253" s="275" t="s">
        <v>970</v>
      </c>
      <c r="D253" s="277">
        <v>1</v>
      </c>
      <c r="E253" s="275" t="str">
        <f>VLOOKUP(A253,Estimate!A:D,4,FALSE)</f>
        <v xml:space="preserve">     </v>
      </c>
    </row>
    <row r="254" spans="1:5" x14ac:dyDescent="0.65">
      <c r="A254" s="275">
        <v>179</v>
      </c>
      <c r="B254" s="276" t="s">
        <v>487</v>
      </c>
      <c r="C254" s="275" t="s">
        <v>970</v>
      </c>
      <c r="D254" s="277">
        <v>10</v>
      </c>
      <c r="E254" s="275" t="str">
        <f>VLOOKUP(A254,Estimate!A:D,4,FALSE)</f>
        <v xml:space="preserve">m    </v>
      </c>
    </row>
    <row r="255" spans="1:5" x14ac:dyDescent="0.65">
      <c r="A255" s="275">
        <v>179.1</v>
      </c>
      <c r="B255" s="276" t="s">
        <v>55</v>
      </c>
      <c r="C255" s="275" t="s">
        <v>376</v>
      </c>
      <c r="D255" s="277">
        <v>16.667000000000002</v>
      </c>
      <c r="E255" s="275" t="str">
        <f>VLOOKUP(A255,Estimate!A:D,4,FALSE)</f>
        <v xml:space="preserve">hr   </v>
      </c>
    </row>
    <row r="256" spans="1:5" x14ac:dyDescent="0.65">
      <c r="A256" s="275">
        <v>180</v>
      </c>
      <c r="B256" s="276" t="s">
        <v>491</v>
      </c>
      <c r="C256" s="275" t="s">
        <v>970</v>
      </c>
      <c r="D256" s="277">
        <v>10</v>
      </c>
      <c r="E256" s="275" t="str">
        <f>VLOOKUP(A256,Estimate!A:D,4,FALSE)</f>
        <v xml:space="preserve">m    </v>
      </c>
    </row>
    <row r="257" spans="1:5" x14ac:dyDescent="0.65">
      <c r="A257" s="275">
        <v>181</v>
      </c>
      <c r="B257" s="276" t="s">
        <v>489</v>
      </c>
      <c r="C257" s="275" t="s">
        <v>970</v>
      </c>
      <c r="D257" s="277">
        <v>20</v>
      </c>
      <c r="E257" s="275" t="str">
        <f>VLOOKUP(A257,Estimate!A:D,4,FALSE)</f>
        <v xml:space="preserve">m    </v>
      </c>
    </row>
    <row r="258" spans="1:5" x14ac:dyDescent="0.65">
      <c r="A258" s="275">
        <v>182</v>
      </c>
      <c r="B258" s="276" t="s">
        <v>493</v>
      </c>
      <c r="C258" s="275" t="s">
        <v>970</v>
      </c>
      <c r="D258" s="277">
        <v>100</v>
      </c>
      <c r="E258" s="275" t="str">
        <f>VLOOKUP(A258,Estimate!A:D,4,FALSE)</f>
        <v xml:space="preserve">m³   </v>
      </c>
    </row>
    <row r="259" spans="1:5" x14ac:dyDescent="0.65">
      <c r="A259" s="275">
        <v>182.1</v>
      </c>
      <c r="B259" s="276" t="s">
        <v>55</v>
      </c>
      <c r="C259" s="275" t="s">
        <v>376</v>
      </c>
      <c r="D259" s="277">
        <v>30</v>
      </c>
      <c r="E259" s="275" t="str">
        <f>VLOOKUP(A259,Estimate!A:D,4,FALSE)</f>
        <v xml:space="preserve">hr   </v>
      </c>
    </row>
    <row r="260" spans="1:5" x14ac:dyDescent="0.65">
      <c r="A260" s="275">
        <v>182.2</v>
      </c>
      <c r="B260" s="276" t="s">
        <v>55</v>
      </c>
      <c r="C260" s="275" t="s">
        <v>376</v>
      </c>
      <c r="D260" s="277">
        <v>33.332999999999998</v>
      </c>
      <c r="E260" s="275" t="str">
        <f>VLOOKUP(A260,Estimate!A:D,4,FALSE)</f>
        <v xml:space="preserve">hr   </v>
      </c>
    </row>
    <row r="261" spans="1:5" x14ac:dyDescent="0.65">
      <c r="A261" s="275">
        <v>183</v>
      </c>
      <c r="B261" s="276" t="s">
        <v>495</v>
      </c>
      <c r="C261" s="275" t="s">
        <v>970</v>
      </c>
      <c r="D261" s="277">
        <v>75</v>
      </c>
      <c r="E261" s="275" t="str">
        <f>VLOOKUP(A261,Estimate!A:D,4,FALSE)</f>
        <v xml:space="preserve">item </v>
      </c>
    </row>
    <row r="262" spans="1:5" x14ac:dyDescent="0.65">
      <c r="A262" s="275">
        <v>183.1</v>
      </c>
      <c r="B262" s="276" t="s">
        <v>55</v>
      </c>
      <c r="C262" s="275" t="s">
        <v>376</v>
      </c>
      <c r="D262" s="277">
        <v>30</v>
      </c>
      <c r="E262" s="275" t="str">
        <f>VLOOKUP(A262,Estimate!A:D,4,FALSE)</f>
        <v xml:space="preserve">hr   </v>
      </c>
    </row>
    <row r="263" spans="1:5" x14ac:dyDescent="0.65">
      <c r="A263" s="275">
        <v>183.2</v>
      </c>
      <c r="B263" s="276" t="s">
        <v>55</v>
      </c>
      <c r="C263" s="275" t="s">
        <v>376</v>
      </c>
      <c r="D263" s="277">
        <v>33.332999999999998</v>
      </c>
      <c r="E263" s="275" t="str">
        <f>VLOOKUP(A263,Estimate!A:D,4,FALSE)</f>
        <v xml:space="preserve">hr   </v>
      </c>
    </row>
    <row r="264" spans="1:5" x14ac:dyDescent="0.65">
      <c r="A264" s="275">
        <v>184</v>
      </c>
      <c r="B264" s="276" t="s">
        <v>497</v>
      </c>
      <c r="C264" s="275" t="s">
        <v>970</v>
      </c>
      <c r="D264" s="277">
        <v>1</v>
      </c>
      <c r="E264" s="275" t="str">
        <f>VLOOKUP(A264,Estimate!A:D,4,FALSE)</f>
        <v xml:space="preserve">item </v>
      </c>
    </row>
    <row r="265" spans="1:5" x14ac:dyDescent="0.65">
      <c r="A265" s="275">
        <v>185</v>
      </c>
      <c r="B265" s="276" t="s">
        <v>519</v>
      </c>
      <c r="C265" s="275" t="s">
        <v>970</v>
      </c>
      <c r="D265" s="277">
        <v>1800</v>
      </c>
      <c r="E265" s="275" t="str">
        <f>VLOOKUP(A265,Estimate!A:D,4,FALSE)</f>
        <v xml:space="preserve">m²   </v>
      </c>
    </row>
    <row r="266" spans="1:5" x14ac:dyDescent="0.65">
      <c r="A266" s="275">
        <v>185.1</v>
      </c>
      <c r="B266" s="276" t="s">
        <v>55</v>
      </c>
      <c r="C266" s="275" t="s">
        <v>376</v>
      </c>
      <c r="D266" s="277">
        <v>1</v>
      </c>
      <c r="E266" s="275" t="str">
        <f>VLOOKUP(A266,Estimate!A:D,4,FALSE)</f>
        <v xml:space="preserve">hr   </v>
      </c>
    </row>
    <row r="267" spans="1:5" x14ac:dyDescent="0.65">
      <c r="A267" s="275">
        <v>186</v>
      </c>
      <c r="B267" s="276" t="s">
        <v>501</v>
      </c>
      <c r="C267" s="275" t="s">
        <v>970</v>
      </c>
      <c r="D267" s="277">
        <v>180</v>
      </c>
      <c r="E267" s="275" t="str">
        <f>VLOOKUP(A267,Estimate!A:D,4,FALSE)</f>
        <v xml:space="preserve">m³   </v>
      </c>
    </row>
    <row r="268" spans="1:5" x14ac:dyDescent="0.65">
      <c r="A268" s="275">
        <v>186.1</v>
      </c>
      <c r="B268" s="276" t="s">
        <v>55</v>
      </c>
      <c r="C268" s="275" t="s">
        <v>376</v>
      </c>
      <c r="D268" s="277">
        <v>40</v>
      </c>
      <c r="E268" s="275" t="str">
        <f>VLOOKUP(A268,Estimate!A:D,4,FALSE)</f>
        <v xml:space="preserve">hr   </v>
      </c>
    </row>
    <row r="269" spans="1:5" x14ac:dyDescent="0.65">
      <c r="A269" s="275">
        <v>187</v>
      </c>
      <c r="B269" s="276" t="s">
        <v>511</v>
      </c>
      <c r="C269" s="275" t="s">
        <v>970</v>
      </c>
      <c r="D269" s="277">
        <v>1080</v>
      </c>
      <c r="E269" s="275" t="str">
        <f>VLOOKUP(A269,Estimate!A:D,4,FALSE)</f>
        <v xml:space="preserve">m³   </v>
      </c>
    </row>
    <row r="270" spans="1:5" x14ac:dyDescent="0.65">
      <c r="A270" s="275">
        <v>187.1</v>
      </c>
      <c r="B270" s="276" t="s">
        <v>101</v>
      </c>
      <c r="C270" s="275" t="s">
        <v>376</v>
      </c>
      <c r="D270" s="277">
        <v>133.333</v>
      </c>
      <c r="E270" s="275" t="str">
        <f>VLOOKUP(A270,Estimate!A:D,4,FALSE)</f>
        <v xml:space="preserve">hr   </v>
      </c>
    </row>
    <row r="271" spans="1:5" x14ac:dyDescent="0.65">
      <c r="A271" s="275">
        <v>187.2</v>
      </c>
      <c r="B271" s="276" t="s">
        <v>55</v>
      </c>
      <c r="C271" s="275" t="s">
        <v>376</v>
      </c>
      <c r="D271" s="277">
        <v>88.888999999999996</v>
      </c>
      <c r="E271" s="275" t="str">
        <f>VLOOKUP(A271,Estimate!A:D,4,FALSE)</f>
        <v xml:space="preserve">hr   </v>
      </c>
    </row>
    <row r="272" spans="1:5" x14ac:dyDescent="0.65">
      <c r="A272" s="275">
        <v>188</v>
      </c>
      <c r="B272" s="276" t="s">
        <v>507</v>
      </c>
      <c r="C272" s="275" t="s">
        <v>970</v>
      </c>
      <c r="D272" s="277">
        <v>1800</v>
      </c>
      <c r="E272" s="275" t="str">
        <f>VLOOKUP(A272,Estimate!A:D,4,FALSE)</f>
        <v xml:space="preserve">m²   </v>
      </c>
    </row>
    <row r="273" spans="1:5" x14ac:dyDescent="0.65">
      <c r="A273" s="275">
        <v>188.1</v>
      </c>
      <c r="B273" s="276" t="s">
        <v>96</v>
      </c>
      <c r="C273" s="275" t="s">
        <v>376</v>
      </c>
      <c r="D273" s="277">
        <v>175</v>
      </c>
      <c r="E273" s="275" t="str">
        <f>VLOOKUP(A273,Estimate!A:D,4,FALSE)</f>
        <v xml:space="preserve">hr   </v>
      </c>
    </row>
    <row r="274" spans="1:5" x14ac:dyDescent="0.65">
      <c r="A274" s="275">
        <v>189</v>
      </c>
      <c r="B274" s="276" t="s">
        <v>515</v>
      </c>
      <c r="C274" s="275" t="s">
        <v>970</v>
      </c>
      <c r="D274" s="277">
        <v>225</v>
      </c>
      <c r="E274" s="275" t="str">
        <f>VLOOKUP(A274,Estimate!A:D,4,FALSE)</f>
        <v xml:space="preserve">m³   </v>
      </c>
    </row>
    <row r="275" spans="1:5" x14ac:dyDescent="0.65">
      <c r="A275" s="275">
        <v>189.1</v>
      </c>
      <c r="B275" s="276" t="s">
        <v>96</v>
      </c>
      <c r="C275" s="275" t="s">
        <v>376</v>
      </c>
      <c r="D275" s="277">
        <v>77.778000000000006</v>
      </c>
      <c r="E275" s="275" t="str">
        <f>VLOOKUP(A275,Estimate!A:D,4,FALSE)</f>
        <v xml:space="preserve">hr   </v>
      </c>
    </row>
    <row r="276" spans="1:5" x14ac:dyDescent="0.65">
      <c r="A276" s="275">
        <v>190</v>
      </c>
      <c r="B276" s="276" t="s">
        <v>513</v>
      </c>
      <c r="C276" s="275" t="s">
        <v>970</v>
      </c>
      <c r="D276" s="277">
        <v>180</v>
      </c>
      <c r="E276" s="275" t="str">
        <f>VLOOKUP(A276,Estimate!A:D,4,FALSE)</f>
        <v xml:space="preserve">     </v>
      </c>
    </row>
    <row r="277" spans="1:5" x14ac:dyDescent="0.65">
      <c r="A277" s="275">
        <v>190.1</v>
      </c>
      <c r="B277" s="276" t="s">
        <v>96</v>
      </c>
      <c r="C277" s="275" t="s">
        <v>376</v>
      </c>
      <c r="D277" s="277">
        <v>77.778000000000006</v>
      </c>
      <c r="E277" s="275" t="str">
        <f>VLOOKUP(A277,Estimate!A:D,4,FALSE)</f>
        <v xml:space="preserve">hr   </v>
      </c>
    </row>
    <row r="278" spans="1:5" x14ac:dyDescent="0.65">
      <c r="A278" s="275">
        <v>191</v>
      </c>
      <c r="B278" s="276" t="s">
        <v>505</v>
      </c>
      <c r="C278" s="275" t="s">
        <v>970</v>
      </c>
      <c r="D278" s="277">
        <v>1800</v>
      </c>
      <c r="E278" s="275" t="str">
        <f>VLOOKUP(A278,Estimate!A:D,4,FALSE)</f>
        <v xml:space="preserve">m²   </v>
      </c>
    </row>
    <row r="279" spans="1:5" x14ac:dyDescent="0.65">
      <c r="A279" s="275">
        <v>192</v>
      </c>
      <c r="B279" s="276" t="s">
        <v>503</v>
      </c>
      <c r="C279" s="275" t="s">
        <v>970</v>
      </c>
      <c r="D279" s="277">
        <v>44</v>
      </c>
      <c r="E279" s="275" t="str">
        <f>VLOOKUP(A279,Estimate!A:D,4,FALSE)</f>
        <v xml:space="preserve">m    </v>
      </c>
    </row>
    <row r="280" spans="1:5" x14ac:dyDescent="0.65">
      <c r="A280" s="275">
        <v>193</v>
      </c>
      <c r="B280" s="276" t="s">
        <v>523</v>
      </c>
      <c r="C280" s="275" t="s">
        <v>970</v>
      </c>
      <c r="D280" s="277">
        <v>44</v>
      </c>
      <c r="E280" s="275" t="str">
        <f>VLOOKUP(A280,Estimate!A:D,4,FALSE)</f>
        <v xml:space="preserve">m    </v>
      </c>
    </row>
    <row r="281" spans="1:5" x14ac:dyDescent="0.65">
      <c r="A281" s="275">
        <v>193.1</v>
      </c>
      <c r="B281" s="276" t="s">
        <v>49</v>
      </c>
      <c r="C281" s="275" t="s">
        <v>376</v>
      </c>
      <c r="D281" s="277">
        <v>6</v>
      </c>
      <c r="E281" s="275" t="str">
        <f>VLOOKUP(A281,Estimate!A:D,4,FALSE)</f>
        <v xml:space="preserve">hr   </v>
      </c>
    </row>
    <row r="282" spans="1:5" x14ac:dyDescent="0.65">
      <c r="A282" s="275">
        <v>194</v>
      </c>
      <c r="B282" s="276" t="s">
        <v>521</v>
      </c>
      <c r="C282" s="275" t="s">
        <v>970</v>
      </c>
      <c r="D282" s="277">
        <v>44</v>
      </c>
      <c r="E282" s="275" t="str">
        <f>VLOOKUP(A282,Estimate!A:D,4,FALSE)</f>
        <v xml:space="preserve">m    </v>
      </c>
    </row>
    <row r="283" spans="1:5" x14ac:dyDescent="0.65">
      <c r="A283" s="275">
        <v>195</v>
      </c>
      <c r="B283" s="276" t="s">
        <v>499</v>
      </c>
      <c r="C283" s="275" t="s">
        <v>970</v>
      </c>
      <c r="D283" s="277">
        <v>20</v>
      </c>
      <c r="E283" s="275" t="str">
        <f>VLOOKUP(A283,Estimate!A:D,4,FALSE)</f>
        <v xml:space="preserve">m³   </v>
      </c>
    </row>
    <row r="284" spans="1:5" x14ac:dyDescent="0.65">
      <c r="A284" s="275">
        <v>195.1</v>
      </c>
      <c r="B284" s="276" t="s">
        <v>91</v>
      </c>
      <c r="C284" s="275" t="s">
        <v>376</v>
      </c>
      <c r="D284" s="277">
        <v>250</v>
      </c>
      <c r="E284" s="275" t="str">
        <f>VLOOKUP(A284,Estimate!A:D,4,FALSE)</f>
        <v xml:space="preserve">hr   </v>
      </c>
    </row>
    <row r="285" spans="1:5" x14ac:dyDescent="0.65">
      <c r="A285" s="275">
        <v>196</v>
      </c>
      <c r="B285" s="276" t="s">
        <v>535</v>
      </c>
      <c r="C285" s="275" t="s">
        <v>970</v>
      </c>
      <c r="D285" s="277">
        <v>26</v>
      </c>
      <c r="E285" s="275" t="str">
        <f>VLOOKUP(A285,Estimate!A:D,4,FALSE)</f>
        <v xml:space="preserve">m    </v>
      </c>
    </row>
    <row r="286" spans="1:5" x14ac:dyDescent="0.65">
      <c r="A286" s="275">
        <v>196.1</v>
      </c>
      <c r="B286" s="276" t="s">
        <v>55</v>
      </c>
      <c r="C286" s="275" t="s">
        <v>376</v>
      </c>
      <c r="D286" s="277">
        <v>6.6669999999999998</v>
      </c>
      <c r="E286" s="275" t="str">
        <f>VLOOKUP(A286,Estimate!A:D,4,FALSE)</f>
        <v xml:space="preserve">hr   </v>
      </c>
    </row>
    <row r="287" spans="1:5" x14ac:dyDescent="0.65">
      <c r="A287" s="275">
        <v>197</v>
      </c>
      <c r="B287" s="276" t="s">
        <v>517</v>
      </c>
      <c r="C287" s="275" t="s">
        <v>970</v>
      </c>
      <c r="D287" s="277">
        <v>1800</v>
      </c>
      <c r="E287" s="275" t="str">
        <f>VLOOKUP(A287,Estimate!A:D,4,FALSE)</f>
        <v xml:space="preserve">m²   </v>
      </c>
    </row>
    <row r="288" spans="1:5" x14ac:dyDescent="0.65">
      <c r="A288" s="275">
        <v>197.1</v>
      </c>
      <c r="B288" s="276" t="s">
        <v>96</v>
      </c>
      <c r="C288" s="275" t="s">
        <v>376</v>
      </c>
      <c r="D288" s="277">
        <v>150</v>
      </c>
      <c r="E288" s="275" t="str">
        <f>VLOOKUP(A288,Estimate!A:D,4,FALSE)</f>
        <v xml:space="preserve">hr   </v>
      </c>
    </row>
    <row r="289" spans="1:5" x14ac:dyDescent="0.65">
      <c r="A289" s="275">
        <v>198</v>
      </c>
      <c r="B289" s="276" t="s">
        <v>531</v>
      </c>
      <c r="C289" s="275" t="s">
        <v>970</v>
      </c>
      <c r="D289" s="277">
        <v>45</v>
      </c>
      <c r="E289" s="275" t="str">
        <f>VLOOKUP(A289,Estimate!A:D,4,FALSE)</f>
        <v xml:space="preserve">m    </v>
      </c>
    </row>
    <row r="290" spans="1:5" x14ac:dyDescent="0.65">
      <c r="A290" s="275">
        <v>198.1</v>
      </c>
      <c r="B290" s="276" t="s">
        <v>55</v>
      </c>
      <c r="C290" s="275" t="s">
        <v>376</v>
      </c>
      <c r="D290" s="277">
        <v>16.667000000000002</v>
      </c>
      <c r="E290" s="275" t="str">
        <f>VLOOKUP(A290,Estimate!A:D,4,FALSE)</f>
        <v xml:space="preserve">hr   </v>
      </c>
    </row>
    <row r="291" spans="1:5" x14ac:dyDescent="0.65">
      <c r="A291" s="275">
        <v>199</v>
      </c>
      <c r="B291" s="276" t="s">
        <v>533</v>
      </c>
      <c r="C291" s="275" t="s">
        <v>970</v>
      </c>
      <c r="D291" s="277">
        <v>45</v>
      </c>
      <c r="E291" s="275" t="str">
        <f>VLOOKUP(A291,Estimate!A:D,4,FALSE)</f>
        <v xml:space="preserve">m    </v>
      </c>
    </row>
    <row r="292" spans="1:5" x14ac:dyDescent="0.65">
      <c r="A292" s="275">
        <v>200</v>
      </c>
      <c r="B292" s="276" t="s">
        <v>525</v>
      </c>
      <c r="C292" s="275" t="s">
        <v>970</v>
      </c>
      <c r="D292" s="277">
        <v>10</v>
      </c>
      <c r="E292" s="275" t="str">
        <f>VLOOKUP(A292,Estimate!A:D,4,FALSE)</f>
        <v xml:space="preserve">ea   </v>
      </c>
    </row>
    <row r="293" spans="1:5" x14ac:dyDescent="0.65">
      <c r="A293" s="275">
        <v>201</v>
      </c>
      <c r="B293" s="276" t="s">
        <v>528</v>
      </c>
      <c r="C293" s="275" t="s">
        <v>970</v>
      </c>
      <c r="D293" s="277">
        <v>31</v>
      </c>
      <c r="E293" s="275" t="str">
        <f>VLOOKUP(A293,Estimate!A:D,4,FALSE)</f>
        <v xml:space="preserve">m    </v>
      </c>
    </row>
    <row r="294" spans="1:5" x14ac:dyDescent="0.65">
      <c r="A294" s="275">
        <v>202</v>
      </c>
      <c r="B294" s="276" t="s">
        <v>509</v>
      </c>
      <c r="C294" s="275" t="s">
        <v>970</v>
      </c>
      <c r="D294" s="277">
        <v>1</v>
      </c>
      <c r="E294" s="275" t="str">
        <f>VLOOKUP(A294,Estimate!A:D,4,FALSE)</f>
        <v xml:space="preserve">item </v>
      </c>
    </row>
    <row r="295" spans="1:5" x14ac:dyDescent="0.65">
      <c r="A295" s="275">
        <v>203</v>
      </c>
      <c r="B295" s="276" t="s">
        <v>968</v>
      </c>
      <c r="C295" s="275" t="s">
        <v>970</v>
      </c>
      <c r="D295" s="277">
        <v>0.21739130434782611</v>
      </c>
      <c r="E295" s="275" t="str">
        <f>VLOOKUP(A295,Estimate!A:D,4,FALSE)</f>
        <v xml:space="preserve">item </v>
      </c>
    </row>
    <row r="296" spans="1:5" x14ac:dyDescent="0.65">
      <c r="A296" s="275">
        <v>204</v>
      </c>
      <c r="B296" s="276" t="s">
        <v>537</v>
      </c>
      <c r="C296" s="275" t="s">
        <v>970</v>
      </c>
      <c r="D296" s="277">
        <v>1</v>
      </c>
      <c r="E296" s="275" t="str">
        <f>VLOOKUP(A296,Estimate!A:D,4,FALSE)</f>
        <v xml:space="preserve">     </v>
      </c>
    </row>
    <row r="297" spans="1:5" x14ac:dyDescent="0.65">
      <c r="A297" s="275">
        <v>205</v>
      </c>
      <c r="B297" s="276" t="s">
        <v>540</v>
      </c>
      <c r="C297" s="275" t="s">
        <v>970</v>
      </c>
      <c r="D297" s="277">
        <v>1341</v>
      </c>
      <c r="E297" s="275" t="str">
        <f>VLOOKUP(A297,Estimate!A:D,4,FALSE)</f>
        <v xml:space="preserve">m³   </v>
      </c>
    </row>
    <row r="298" spans="1:5" x14ac:dyDescent="0.65">
      <c r="A298" s="275">
        <v>205.1</v>
      </c>
      <c r="B298" s="276" t="s">
        <v>55</v>
      </c>
      <c r="C298" s="275" t="s">
        <v>376</v>
      </c>
      <c r="D298" s="277">
        <v>30</v>
      </c>
      <c r="E298" s="275" t="str">
        <f>VLOOKUP(A298,Estimate!A:D,4,FALSE)</f>
        <v xml:space="preserve">hr   </v>
      </c>
    </row>
    <row r="299" spans="1:5" x14ac:dyDescent="0.65">
      <c r="A299" s="275">
        <v>206</v>
      </c>
      <c r="B299" s="276" t="s">
        <v>511</v>
      </c>
      <c r="C299" s="275" t="s">
        <v>970</v>
      </c>
      <c r="D299" s="277">
        <v>1341</v>
      </c>
      <c r="E299" s="275" t="str">
        <f>VLOOKUP(A299,Estimate!A:D,4,FALSE)</f>
        <v xml:space="preserve">m³   </v>
      </c>
    </row>
    <row r="300" spans="1:5" x14ac:dyDescent="0.65">
      <c r="A300" s="275">
        <v>206.1</v>
      </c>
      <c r="B300" s="276" t="s">
        <v>101</v>
      </c>
      <c r="C300" s="275" t="s">
        <v>376</v>
      </c>
      <c r="D300" s="277">
        <v>133.333</v>
      </c>
      <c r="E300" s="275" t="str">
        <f>VLOOKUP(A300,Estimate!A:D,4,FALSE)</f>
        <v xml:space="preserve">hr   </v>
      </c>
    </row>
    <row r="301" spans="1:5" x14ac:dyDescent="0.65">
      <c r="A301" s="275">
        <v>206.2</v>
      </c>
      <c r="B301" s="276" t="s">
        <v>55</v>
      </c>
      <c r="C301" s="275" t="s">
        <v>376</v>
      </c>
      <c r="D301" s="277">
        <v>88.888999999999996</v>
      </c>
      <c r="E301" s="275" t="str">
        <f>VLOOKUP(A301,Estimate!A:D,4,FALSE)</f>
        <v xml:space="preserve">hr   </v>
      </c>
    </row>
    <row r="302" spans="1:5" x14ac:dyDescent="0.65">
      <c r="A302" s="275">
        <v>207</v>
      </c>
      <c r="B302" s="276" t="s">
        <v>542</v>
      </c>
      <c r="C302" s="275" t="s">
        <v>970</v>
      </c>
      <c r="D302" s="277">
        <v>1</v>
      </c>
      <c r="E302" s="275" t="str">
        <f>VLOOKUP(A302,Estimate!A:D,4,FALSE)</f>
        <v xml:space="preserve">item </v>
      </c>
    </row>
    <row r="303" spans="1:5" x14ac:dyDescent="0.65">
      <c r="A303" s="275">
        <v>208</v>
      </c>
      <c r="B303" s="276" t="s">
        <v>544</v>
      </c>
      <c r="C303" s="275" t="s">
        <v>970</v>
      </c>
      <c r="D303" s="277">
        <v>222.6</v>
      </c>
      <c r="E303" s="275" t="str">
        <f>VLOOKUP(A303,Estimate!A:D,4,FALSE)</f>
        <v xml:space="preserve">m³   </v>
      </c>
    </row>
    <row r="304" spans="1:5" x14ac:dyDescent="0.65">
      <c r="A304" s="275">
        <v>208.1</v>
      </c>
      <c r="B304" s="276" t="s">
        <v>55</v>
      </c>
      <c r="C304" s="275" t="s">
        <v>376</v>
      </c>
      <c r="D304" s="277">
        <v>30</v>
      </c>
      <c r="E304" s="275" t="str">
        <f>VLOOKUP(A304,Estimate!A:D,4,FALSE)</f>
        <v xml:space="preserve">hr   </v>
      </c>
    </row>
    <row r="305" spans="1:5" x14ac:dyDescent="0.65">
      <c r="A305" s="275">
        <v>208.2</v>
      </c>
      <c r="B305" s="276" t="s">
        <v>55</v>
      </c>
      <c r="C305" s="275" t="s">
        <v>376</v>
      </c>
      <c r="D305" s="277">
        <v>33.332999999999998</v>
      </c>
      <c r="E305" s="275" t="str">
        <f>VLOOKUP(A305,Estimate!A:D,4,FALSE)</f>
        <v xml:space="preserve">hr   </v>
      </c>
    </row>
    <row r="306" spans="1:5" x14ac:dyDescent="0.65">
      <c r="A306" s="275">
        <v>209</v>
      </c>
      <c r="B306" s="276" t="s">
        <v>511</v>
      </c>
      <c r="C306" s="275" t="s">
        <v>970</v>
      </c>
      <c r="D306" s="277">
        <v>222.6</v>
      </c>
      <c r="E306" s="275" t="str">
        <f>VLOOKUP(A306,Estimate!A:D,4,FALSE)</f>
        <v xml:space="preserve">m³   </v>
      </c>
    </row>
    <row r="307" spans="1:5" x14ac:dyDescent="0.65">
      <c r="A307" s="275">
        <v>209.1</v>
      </c>
      <c r="B307" s="276" t="s">
        <v>101</v>
      </c>
      <c r="C307" s="275" t="s">
        <v>376</v>
      </c>
      <c r="D307" s="277">
        <v>133.333</v>
      </c>
      <c r="E307" s="275" t="str">
        <f>VLOOKUP(A307,Estimate!A:D,4,FALSE)</f>
        <v xml:space="preserve">hr   </v>
      </c>
    </row>
    <row r="308" spans="1:5" x14ac:dyDescent="0.65">
      <c r="A308" s="275">
        <v>209.2</v>
      </c>
      <c r="B308" s="276" t="s">
        <v>55</v>
      </c>
      <c r="C308" s="275" t="s">
        <v>376</v>
      </c>
      <c r="D308" s="277">
        <v>88.888999999999996</v>
      </c>
      <c r="E308" s="275" t="str">
        <f>VLOOKUP(A308,Estimate!A:D,4,FALSE)</f>
        <v xml:space="preserve">hr   </v>
      </c>
    </row>
    <row r="309" spans="1:5" x14ac:dyDescent="0.65">
      <c r="A309" s="275">
        <v>210</v>
      </c>
      <c r="B309" s="276" t="s">
        <v>547</v>
      </c>
      <c r="C309" s="275" t="s">
        <v>970</v>
      </c>
      <c r="D309" s="277">
        <v>1</v>
      </c>
      <c r="E309" s="275" t="str">
        <f>VLOOKUP(A309,Estimate!A:D,4,FALSE)</f>
        <v xml:space="preserve">m²   </v>
      </c>
    </row>
    <row r="310" spans="1:5" x14ac:dyDescent="0.65">
      <c r="A310" s="275">
        <v>211</v>
      </c>
      <c r="B310" s="276" t="s">
        <v>549</v>
      </c>
      <c r="C310" s="275" t="s">
        <v>970</v>
      </c>
      <c r="D310" s="277">
        <v>36</v>
      </c>
      <c r="E310" s="275" t="str">
        <f>VLOOKUP(A310,Estimate!A:D,4,FALSE)</f>
        <v>tonne</v>
      </c>
    </row>
    <row r="311" spans="1:5" x14ac:dyDescent="0.65">
      <c r="A311" s="275">
        <v>211.1</v>
      </c>
      <c r="B311" s="276" t="s">
        <v>723</v>
      </c>
      <c r="C311" s="275" t="s">
        <v>376</v>
      </c>
      <c r="D311" s="277">
        <v>1</v>
      </c>
      <c r="E311" s="275" t="str">
        <f>VLOOKUP(A311,Estimate!A:D,4,FALSE)</f>
        <v>tonne</v>
      </c>
    </row>
    <row r="312" spans="1:5" x14ac:dyDescent="0.65">
      <c r="A312" s="275">
        <v>212</v>
      </c>
      <c r="B312" s="276" t="s">
        <v>551</v>
      </c>
      <c r="C312" s="275" t="s">
        <v>970</v>
      </c>
      <c r="D312" s="277">
        <v>3890</v>
      </c>
      <c r="E312" s="275" t="str">
        <f>VLOOKUP(A312,Estimate!A:D,4,FALSE)</f>
        <v xml:space="preserve">m²   </v>
      </c>
    </row>
    <row r="313" spans="1:5" x14ac:dyDescent="0.65">
      <c r="A313" s="275">
        <v>212.1</v>
      </c>
      <c r="B313" s="276" t="s">
        <v>813</v>
      </c>
      <c r="C313" s="275" t="s">
        <v>376</v>
      </c>
      <c r="D313" s="277">
        <v>55.555555555555557</v>
      </c>
      <c r="E313" s="275" t="str">
        <f>VLOOKUP(A313,Estimate!A:D,4,FALSE)</f>
        <v xml:space="preserve">hr   </v>
      </c>
    </row>
    <row r="314" spans="1:5" x14ac:dyDescent="0.65">
      <c r="A314" s="275">
        <v>213</v>
      </c>
      <c r="B314" s="276" t="s">
        <v>553</v>
      </c>
      <c r="C314" s="275" t="s">
        <v>970</v>
      </c>
      <c r="D314" s="277">
        <v>1</v>
      </c>
      <c r="E314" s="275" t="str">
        <f>VLOOKUP(A314,Estimate!A:D,4,FALSE)</f>
        <v xml:space="preserve">item </v>
      </c>
    </row>
    <row r="315" spans="1:5" x14ac:dyDescent="0.65">
      <c r="A315" s="275">
        <v>214</v>
      </c>
      <c r="B315" s="276" t="s">
        <v>555</v>
      </c>
      <c r="C315" s="275" t="s">
        <v>970</v>
      </c>
      <c r="D315" s="277">
        <v>1</v>
      </c>
      <c r="E315" s="275" t="str">
        <f>VLOOKUP(A315,Estimate!A:D,4,FALSE)</f>
        <v xml:space="preserve">m³   </v>
      </c>
    </row>
    <row r="316" spans="1:5" x14ac:dyDescent="0.65">
      <c r="A316" s="275">
        <v>215</v>
      </c>
      <c r="B316" s="276" t="s">
        <v>559</v>
      </c>
      <c r="C316" s="275" t="s">
        <v>970</v>
      </c>
      <c r="D316" s="277">
        <v>8</v>
      </c>
      <c r="E316" s="275" t="str">
        <f>VLOOKUP(A316,Estimate!A:D,4,FALSE)</f>
        <v xml:space="preserve">m³   </v>
      </c>
    </row>
    <row r="317" spans="1:5" x14ac:dyDescent="0.65">
      <c r="A317" s="275">
        <v>215.1</v>
      </c>
      <c r="B317" s="276" t="s">
        <v>49</v>
      </c>
      <c r="C317" s="275" t="s">
        <v>376</v>
      </c>
      <c r="D317" s="277">
        <v>6</v>
      </c>
      <c r="E317" s="275" t="str">
        <f>VLOOKUP(A317,Estimate!A:D,4,FALSE)</f>
        <v xml:space="preserve">hr   </v>
      </c>
    </row>
    <row r="318" spans="1:5" x14ac:dyDescent="0.65">
      <c r="A318" s="275">
        <v>216</v>
      </c>
      <c r="B318" s="276" t="s">
        <v>557</v>
      </c>
      <c r="C318" s="275" t="s">
        <v>970</v>
      </c>
      <c r="D318" s="277">
        <v>80</v>
      </c>
      <c r="E318" s="275" t="str">
        <f>VLOOKUP(A318,Estimate!A:D,4,FALSE)</f>
        <v xml:space="preserve">m²   </v>
      </c>
    </row>
    <row r="319" spans="1:5" ht="42.75" x14ac:dyDescent="0.65">
      <c r="A319" s="275">
        <v>217</v>
      </c>
      <c r="B319" s="276" t="s">
        <v>561</v>
      </c>
      <c r="C319" s="275" t="s">
        <v>970</v>
      </c>
      <c r="D319" s="277">
        <v>1</v>
      </c>
      <c r="E319" s="275" t="str">
        <f>VLOOKUP(A319,Estimate!A:D,4,FALSE)</f>
        <v xml:space="preserve">item </v>
      </c>
    </row>
    <row r="320" spans="1:5" x14ac:dyDescent="0.65">
      <c r="A320" s="275">
        <v>218</v>
      </c>
      <c r="B320" s="276" t="s">
        <v>563</v>
      </c>
      <c r="C320" s="275" t="s">
        <v>970</v>
      </c>
      <c r="D320" s="277">
        <v>1</v>
      </c>
      <c r="E320" s="275" t="str">
        <f>VLOOKUP(A320,Estimate!A:D,4,FALSE)</f>
        <v xml:space="preserve">     </v>
      </c>
    </row>
    <row r="321" spans="1:5" x14ac:dyDescent="0.65">
      <c r="A321" s="275">
        <v>219</v>
      </c>
      <c r="B321" s="276" t="s">
        <v>579</v>
      </c>
      <c r="C321" s="275" t="s">
        <v>970</v>
      </c>
      <c r="D321" s="277">
        <v>1</v>
      </c>
      <c r="E321" s="275" t="str">
        <f>VLOOKUP(A321,Estimate!A:D,4,FALSE)</f>
        <v xml:space="preserve">item </v>
      </c>
    </row>
    <row r="322" spans="1:5" x14ac:dyDescent="0.65">
      <c r="A322" s="275">
        <v>220</v>
      </c>
      <c r="B322" s="276" t="s">
        <v>575</v>
      </c>
      <c r="C322" s="275" t="s">
        <v>970</v>
      </c>
      <c r="D322" s="277">
        <v>1</v>
      </c>
      <c r="E322" s="275" t="str">
        <f>VLOOKUP(A322,Estimate!A:D,4,FALSE)</f>
        <v xml:space="preserve">item </v>
      </c>
    </row>
    <row r="323" spans="1:5" ht="28.5" x14ac:dyDescent="0.65">
      <c r="A323" s="275">
        <v>221</v>
      </c>
      <c r="B323" s="276" t="s">
        <v>571</v>
      </c>
      <c r="C323" s="275" t="s">
        <v>970</v>
      </c>
      <c r="D323" s="277">
        <v>1</v>
      </c>
      <c r="E323" s="275" t="str">
        <f>VLOOKUP(A323,Estimate!A:D,4,FALSE)</f>
        <v xml:space="preserve">item </v>
      </c>
    </row>
    <row r="324" spans="1:5" ht="28.5" x14ac:dyDescent="0.65">
      <c r="A324" s="275">
        <v>222</v>
      </c>
      <c r="B324" s="276" t="s">
        <v>577</v>
      </c>
      <c r="C324" s="275" t="s">
        <v>970</v>
      </c>
      <c r="D324" s="277">
        <v>1</v>
      </c>
      <c r="E324" s="275" t="str">
        <f>VLOOKUP(A324,Estimate!A:D,4,FALSE)</f>
        <v xml:space="preserve">item </v>
      </c>
    </row>
    <row r="325" spans="1:5" x14ac:dyDescent="0.65">
      <c r="A325" s="275">
        <v>223</v>
      </c>
      <c r="B325" s="276" t="s">
        <v>573</v>
      </c>
      <c r="C325" s="275" t="s">
        <v>970</v>
      </c>
      <c r="D325" s="277">
        <v>1</v>
      </c>
      <c r="E325" s="275" t="str">
        <f>VLOOKUP(A325,Estimate!A:D,4,FALSE)</f>
        <v xml:space="preserve">item </v>
      </c>
    </row>
    <row r="326" spans="1:5" ht="28.5" x14ac:dyDescent="0.65">
      <c r="A326" s="275">
        <v>224</v>
      </c>
      <c r="B326" s="276" t="s">
        <v>569</v>
      </c>
      <c r="C326" s="275" t="s">
        <v>970</v>
      </c>
      <c r="D326" s="277">
        <v>1</v>
      </c>
      <c r="E326" s="275" t="str">
        <f>VLOOKUP(A326,Estimate!A:D,4,FALSE)</f>
        <v xml:space="preserve">item </v>
      </c>
    </row>
    <row r="327" spans="1:5" ht="28.5" x14ac:dyDescent="0.65">
      <c r="A327" s="275">
        <v>225</v>
      </c>
      <c r="B327" s="276" t="s">
        <v>567</v>
      </c>
      <c r="C327" s="275" t="s">
        <v>970</v>
      </c>
      <c r="D327" s="277">
        <v>1</v>
      </c>
      <c r="E327" s="275" t="str">
        <f>VLOOKUP(A327,Estimate!A:D,4,FALSE)</f>
        <v xml:space="preserve">item </v>
      </c>
    </row>
    <row r="328" spans="1:5" x14ac:dyDescent="0.65">
      <c r="A328" s="275">
        <v>226</v>
      </c>
      <c r="B328" s="276" t="s">
        <v>565</v>
      </c>
      <c r="C328" s="275" t="s">
        <v>970</v>
      </c>
      <c r="D328" s="277">
        <v>1</v>
      </c>
      <c r="E328" s="275" t="str">
        <f>VLOOKUP(A328,Estimate!A:D,4,FALSE)</f>
        <v xml:space="preserve">item </v>
      </c>
    </row>
    <row r="329" spans="1:5" x14ac:dyDescent="0.65">
      <c r="A329" s="275">
        <v>227</v>
      </c>
      <c r="B329" s="276" t="s">
        <v>581</v>
      </c>
      <c r="C329" s="275" t="s">
        <v>970</v>
      </c>
      <c r="D329" s="277">
        <v>105</v>
      </c>
      <c r="E329" s="275" t="str">
        <f>VLOOKUP(A329,Estimate!A:D,4,FALSE)</f>
        <v xml:space="preserve">m    </v>
      </c>
    </row>
    <row r="330" spans="1:5" x14ac:dyDescent="0.65">
      <c r="A330" s="275">
        <v>228</v>
      </c>
      <c r="B330" s="276" t="s">
        <v>583</v>
      </c>
      <c r="C330" s="275" t="s">
        <v>970</v>
      </c>
      <c r="D330" s="277">
        <v>1</v>
      </c>
      <c r="E330" s="275" t="str">
        <f>VLOOKUP(A330,Estimate!A:D,4,FALSE)</f>
        <v xml:space="preserve">item </v>
      </c>
    </row>
    <row r="331" spans="1:5" x14ac:dyDescent="0.65">
      <c r="A331" s="275">
        <v>229</v>
      </c>
      <c r="B331" s="276" t="s">
        <v>595</v>
      </c>
      <c r="C331" s="275" t="s">
        <v>970</v>
      </c>
      <c r="D331" s="277">
        <v>36</v>
      </c>
      <c r="E331" s="275" t="str">
        <f>VLOOKUP(A331,Estimate!A:D,4,FALSE)</f>
        <v xml:space="preserve">m³   </v>
      </c>
    </row>
    <row r="332" spans="1:5" x14ac:dyDescent="0.65">
      <c r="A332" s="275">
        <v>229.1</v>
      </c>
      <c r="B332" s="276" t="s">
        <v>55</v>
      </c>
      <c r="C332" s="275" t="s">
        <v>376</v>
      </c>
      <c r="D332" s="277">
        <v>30</v>
      </c>
      <c r="E332" s="275" t="str">
        <f>VLOOKUP(A332,Estimate!A:D,4,FALSE)</f>
        <v xml:space="preserve">hr   </v>
      </c>
    </row>
    <row r="333" spans="1:5" x14ac:dyDescent="0.65">
      <c r="A333" s="275">
        <v>230</v>
      </c>
      <c r="B333" s="276" t="s">
        <v>589</v>
      </c>
      <c r="C333" s="275" t="s">
        <v>970</v>
      </c>
      <c r="D333" s="277">
        <v>160</v>
      </c>
      <c r="E333" s="275" t="str">
        <f>VLOOKUP(A333,Estimate!A:D,4,FALSE)</f>
        <v xml:space="preserve">m²   </v>
      </c>
    </row>
    <row r="334" spans="1:5" x14ac:dyDescent="0.65">
      <c r="A334" s="275">
        <v>230.1</v>
      </c>
      <c r="B334" s="276" t="s">
        <v>96</v>
      </c>
      <c r="C334" s="275" t="s">
        <v>376</v>
      </c>
      <c r="D334" s="277">
        <v>150</v>
      </c>
      <c r="E334" s="275" t="str">
        <f>VLOOKUP(A334,Estimate!A:D,4,FALSE)</f>
        <v xml:space="preserve">hr   </v>
      </c>
    </row>
    <row r="335" spans="1:5" x14ac:dyDescent="0.65">
      <c r="A335" s="275">
        <v>231</v>
      </c>
      <c r="B335" s="276" t="s">
        <v>591</v>
      </c>
      <c r="C335" s="275" t="s">
        <v>970</v>
      </c>
      <c r="D335" s="277">
        <v>45</v>
      </c>
      <c r="E335" s="275" t="str">
        <f>VLOOKUP(A335,Estimate!A:D,4,FALSE)</f>
        <v xml:space="preserve">m    </v>
      </c>
    </row>
    <row r="336" spans="1:5" x14ac:dyDescent="0.65">
      <c r="A336" s="275">
        <v>232</v>
      </c>
      <c r="B336" s="276" t="s">
        <v>585</v>
      </c>
      <c r="C336" s="275" t="s">
        <v>970</v>
      </c>
      <c r="D336" s="277">
        <v>36</v>
      </c>
      <c r="E336" s="275" t="str">
        <f>VLOOKUP(A336,Estimate!A:D,4,FALSE)</f>
        <v xml:space="preserve">m³   </v>
      </c>
    </row>
    <row r="337" spans="1:5" x14ac:dyDescent="0.65">
      <c r="A337" s="275">
        <v>232.1</v>
      </c>
      <c r="B337" s="276" t="s">
        <v>96</v>
      </c>
      <c r="C337" s="275" t="s">
        <v>376</v>
      </c>
      <c r="D337" s="277">
        <v>77.778000000000006</v>
      </c>
      <c r="E337" s="275" t="str">
        <f>VLOOKUP(A337,Estimate!A:D,4,FALSE)</f>
        <v xml:space="preserve">hr   </v>
      </c>
    </row>
    <row r="338" spans="1:5" x14ac:dyDescent="0.65">
      <c r="A338" s="275">
        <v>233</v>
      </c>
      <c r="B338" s="276" t="s">
        <v>587</v>
      </c>
      <c r="C338" s="275" t="s">
        <v>970</v>
      </c>
      <c r="D338" s="277">
        <v>160</v>
      </c>
      <c r="E338" s="275" t="str">
        <f>VLOOKUP(A338,Estimate!A:D,4,FALSE)</f>
        <v xml:space="preserve">m²   </v>
      </c>
    </row>
    <row r="339" spans="1:5" x14ac:dyDescent="0.65">
      <c r="A339" s="275">
        <v>234</v>
      </c>
      <c r="B339" s="276" t="s">
        <v>593</v>
      </c>
      <c r="C339" s="275" t="s">
        <v>970</v>
      </c>
      <c r="D339" s="277">
        <v>16</v>
      </c>
      <c r="E339" s="275" t="str">
        <f>VLOOKUP(A339,Estimate!A:D,4,FALSE)</f>
        <v>tonne</v>
      </c>
    </row>
    <row r="340" spans="1:5" x14ac:dyDescent="0.65">
      <c r="A340" s="275">
        <v>235</v>
      </c>
      <c r="B340" s="276" t="s">
        <v>597</v>
      </c>
      <c r="C340" s="275" t="s">
        <v>970</v>
      </c>
      <c r="D340" s="277">
        <v>1</v>
      </c>
      <c r="E340" s="275" t="str">
        <f>VLOOKUP(A340,Estimate!A:D,4,FALSE)</f>
        <v xml:space="preserve">item </v>
      </c>
    </row>
    <row r="341" spans="1:5" x14ac:dyDescent="0.65">
      <c r="A341" s="275">
        <v>236</v>
      </c>
      <c r="B341" s="276" t="s">
        <v>354</v>
      </c>
      <c r="C341" s="275" t="s">
        <v>970</v>
      </c>
      <c r="D341" s="277">
        <v>76</v>
      </c>
      <c r="E341" s="275" t="str">
        <f>VLOOKUP(A341,Estimate!A:D,4,FALSE)</f>
        <v xml:space="preserve">m³   </v>
      </c>
    </row>
    <row r="342" spans="1:5" x14ac:dyDescent="0.65">
      <c r="A342" s="275">
        <v>236.1</v>
      </c>
      <c r="B342" s="276" t="s">
        <v>101</v>
      </c>
      <c r="C342" s="275" t="s">
        <v>376</v>
      </c>
      <c r="D342" s="277">
        <v>133.333</v>
      </c>
      <c r="E342" s="275" t="str">
        <f>VLOOKUP(A342,Estimate!A:D,4,FALSE)</f>
        <v xml:space="preserve">hr   </v>
      </c>
    </row>
    <row r="343" spans="1:5" x14ac:dyDescent="0.65">
      <c r="A343" s="275">
        <v>236.2</v>
      </c>
      <c r="B343" s="276" t="s">
        <v>55</v>
      </c>
      <c r="C343" s="275" t="s">
        <v>376</v>
      </c>
      <c r="D343" s="277">
        <v>88.888999999999996</v>
      </c>
      <c r="E343" s="275" t="str">
        <f>VLOOKUP(A343,Estimate!A:D,4,FALSE)</f>
        <v xml:space="preserve">hr   </v>
      </c>
    </row>
    <row r="344" spans="1:5" x14ac:dyDescent="0.65">
      <c r="A344" s="275">
        <v>237</v>
      </c>
      <c r="B344" s="276" t="s">
        <v>599</v>
      </c>
      <c r="C344" s="275" t="s">
        <v>970</v>
      </c>
      <c r="D344" s="277">
        <v>25</v>
      </c>
      <c r="E344" s="275" t="str">
        <f>VLOOKUP(A344,Estimate!A:D,4,FALSE)</f>
        <v xml:space="preserve">m³   </v>
      </c>
    </row>
    <row r="345" spans="1:5" x14ac:dyDescent="0.65">
      <c r="A345" s="275">
        <v>237.1</v>
      </c>
      <c r="B345" s="276" t="s">
        <v>96</v>
      </c>
      <c r="C345" s="275" t="s">
        <v>376</v>
      </c>
      <c r="D345" s="277">
        <v>77.778000000000006</v>
      </c>
      <c r="E345" s="275" t="str">
        <f>VLOOKUP(A345,Estimate!A:D,4,FALSE)</f>
        <v xml:space="preserve">hr   </v>
      </c>
    </row>
    <row r="346" spans="1:5" x14ac:dyDescent="0.65">
      <c r="A346" s="275">
        <v>238</v>
      </c>
      <c r="B346" s="276" t="s">
        <v>602</v>
      </c>
      <c r="C346" s="275" t="s">
        <v>970</v>
      </c>
      <c r="D346" s="277">
        <v>1</v>
      </c>
      <c r="E346" s="275" t="str">
        <f>VLOOKUP(A346,Estimate!A:D,4,FALSE)</f>
        <v xml:space="preserve">item </v>
      </c>
    </row>
    <row r="347" spans="1:5" x14ac:dyDescent="0.65">
      <c r="A347" s="275">
        <v>239</v>
      </c>
      <c r="B347" s="276" t="s">
        <v>604</v>
      </c>
      <c r="C347" s="275" t="s">
        <v>970</v>
      </c>
      <c r="D347" s="277">
        <v>71</v>
      </c>
      <c r="E347" s="275" t="str">
        <f>VLOOKUP(A347,Estimate!A:D,4,FALSE)</f>
        <v xml:space="preserve">m    </v>
      </c>
    </row>
    <row r="348" spans="1:5" x14ac:dyDescent="0.65">
      <c r="A348" s="275">
        <v>240</v>
      </c>
      <c r="B348" s="276" t="s">
        <v>606</v>
      </c>
      <c r="C348" s="275" t="s">
        <v>970</v>
      </c>
      <c r="D348" s="277">
        <v>1</v>
      </c>
      <c r="E348" s="275" t="str">
        <f>VLOOKUP(A348,Estimate!A:D,4,FALSE)</f>
        <v xml:space="preserve">each </v>
      </c>
    </row>
    <row r="349" spans="1:5" ht="28.5" x14ac:dyDescent="0.65">
      <c r="A349" s="275">
        <v>241</v>
      </c>
      <c r="B349" s="276" t="s">
        <v>608</v>
      </c>
      <c r="C349" s="275" t="s">
        <v>970</v>
      </c>
      <c r="D349" s="277">
        <v>58</v>
      </c>
      <c r="E349" s="275" t="str">
        <f>VLOOKUP(A349,Estimate!A:D,4,FALSE)</f>
        <v xml:space="preserve">m    </v>
      </c>
    </row>
    <row r="350" spans="1:5" x14ac:dyDescent="0.65">
      <c r="A350" s="275">
        <v>242</v>
      </c>
      <c r="B350" s="276" t="s">
        <v>610</v>
      </c>
      <c r="C350" s="275" t="s">
        <v>970</v>
      </c>
      <c r="D350" s="277">
        <v>70.7</v>
      </c>
      <c r="E350" s="275" t="str">
        <f>VLOOKUP(A350,Estimate!A:D,4,FALSE)</f>
        <v>tonne</v>
      </c>
    </row>
    <row r="351" spans="1:5" x14ac:dyDescent="0.65">
      <c r="A351" s="275">
        <v>243</v>
      </c>
      <c r="B351" s="276" t="s">
        <v>612</v>
      </c>
      <c r="C351" s="275" t="s">
        <v>970</v>
      </c>
      <c r="D351" s="277">
        <v>1</v>
      </c>
      <c r="E351" s="275" t="str">
        <f>VLOOKUP(A351,Estimate!A:D,4,FALSE)</f>
        <v xml:space="preserve">item </v>
      </c>
    </row>
    <row r="352" spans="1:5" x14ac:dyDescent="0.65">
      <c r="A352" s="269" t="s">
        <v>448</v>
      </c>
    </row>
    <row r="353" spans="1:1" x14ac:dyDescent="0.65">
      <c r="A353" s="269" t="s">
        <v>448</v>
      </c>
    </row>
    <row r="354" spans="1:1" x14ac:dyDescent="0.65">
      <c r="A354" s="269" t="s">
        <v>448</v>
      </c>
    </row>
    <row r="355" spans="1:1" x14ac:dyDescent="0.65">
      <c r="A355" s="269" t="s">
        <v>448</v>
      </c>
    </row>
    <row r="356" spans="1:1" x14ac:dyDescent="0.65">
      <c r="A356" s="269" t="s">
        <v>448</v>
      </c>
    </row>
    <row r="357" spans="1:1" x14ac:dyDescent="0.65">
      <c r="A357" s="269" t="s">
        <v>448</v>
      </c>
    </row>
    <row r="358" spans="1:1" x14ac:dyDescent="0.65">
      <c r="A358" s="269" t="s">
        <v>448</v>
      </c>
    </row>
    <row r="359" spans="1:1" x14ac:dyDescent="0.65">
      <c r="A359" s="269" t="s">
        <v>448</v>
      </c>
    </row>
    <row r="360" spans="1:1" x14ac:dyDescent="0.65">
      <c r="A360" s="269" t="s">
        <v>448</v>
      </c>
    </row>
    <row r="361" spans="1:1" x14ac:dyDescent="0.65">
      <c r="A361" s="269" t="s">
        <v>448</v>
      </c>
    </row>
    <row r="362" spans="1:1" x14ac:dyDescent="0.65">
      <c r="A362" s="269" t="s">
        <v>448</v>
      </c>
    </row>
    <row r="363" spans="1:1" x14ac:dyDescent="0.65">
      <c r="A363" s="269" t="s">
        <v>448</v>
      </c>
    </row>
    <row r="364" spans="1:1" x14ac:dyDescent="0.65">
      <c r="A364" s="269" t="s">
        <v>448</v>
      </c>
    </row>
    <row r="365" spans="1:1" x14ac:dyDescent="0.65">
      <c r="A365" s="269" t="s">
        <v>448</v>
      </c>
    </row>
    <row r="366" spans="1:1" x14ac:dyDescent="0.65">
      <c r="A366" s="269" t="s">
        <v>448</v>
      </c>
    </row>
    <row r="367" spans="1:1" x14ac:dyDescent="0.65">
      <c r="A367" s="269" t="s">
        <v>448</v>
      </c>
    </row>
    <row r="368" spans="1:1" x14ac:dyDescent="0.65">
      <c r="A368" s="269" t="s">
        <v>448</v>
      </c>
    </row>
    <row r="369" spans="1:1" x14ac:dyDescent="0.65">
      <c r="A369" s="269" t="s">
        <v>448</v>
      </c>
    </row>
    <row r="370" spans="1:1" x14ac:dyDescent="0.65">
      <c r="A370" s="269" t="s">
        <v>448</v>
      </c>
    </row>
    <row r="371" spans="1:1" x14ac:dyDescent="0.65">
      <c r="A371" s="269" t="s">
        <v>448</v>
      </c>
    </row>
    <row r="372" spans="1:1" x14ac:dyDescent="0.65">
      <c r="A372" s="269" t="s">
        <v>448</v>
      </c>
    </row>
    <row r="373" spans="1:1" x14ac:dyDescent="0.65">
      <c r="A373" s="269" t="s">
        <v>448</v>
      </c>
    </row>
    <row r="374" spans="1:1" x14ac:dyDescent="0.65">
      <c r="A374" s="269" t="s">
        <v>448</v>
      </c>
    </row>
    <row r="375" spans="1:1" x14ac:dyDescent="0.65">
      <c r="A375" s="269" t="s">
        <v>448</v>
      </c>
    </row>
    <row r="376" spans="1:1" x14ac:dyDescent="0.65">
      <c r="A376" s="269" t="s">
        <v>448</v>
      </c>
    </row>
    <row r="377" spans="1:1" x14ac:dyDescent="0.65">
      <c r="A377" s="269" t="s">
        <v>448</v>
      </c>
    </row>
    <row r="378" spans="1:1" x14ac:dyDescent="0.65">
      <c r="A378" s="269" t="s">
        <v>448</v>
      </c>
    </row>
    <row r="379" spans="1:1" x14ac:dyDescent="0.65">
      <c r="A379" s="269" t="s">
        <v>448</v>
      </c>
    </row>
    <row r="380" spans="1:1" x14ac:dyDescent="0.65">
      <c r="A380" s="269" t="s">
        <v>448</v>
      </c>
    </row>
    <row r="381" spans="1:1" x14ac:dyDescent="0.65">
      <c r="A381" s="269" t="s">
        <v>448</v>
      </c>
    </row>
    <row r="382" spans="1:1" x14ac:dyDescent="0.65">
      <c r="A382" s="269" t="s">
        <v>448</v>
      </c>
    </row>
    <row r="383" spans="1:1" x14ac:dyDescent="0.65">
      <c r="A383" s="269" t="s">
        <v>448</v>
      </c>
    </row>
    <row r="384" spans="1:1" x14ac:dyDescent="0.65">
      <c r="A384" s="269" t="s">
        <v>448</v>
      </c>
    </row>
    <row r="385" spans="1:1" x14ac:dyDescent="0.65">
      <c r="A385" s="269" t="s">
        <v>448</v>
      </c>
    </row>
    <row r="386" spans="1:1" x14ac:dyDescent="0.65">
      <c r="A386" s="269" t="s">
        <v>448</v>
      </c>
    </row>
    <row r="387" spans="1:1" x14ac:dyDescent="0.65">
      <c r="A387" s="269" t="s">
        <v>448</v>
      </c>
    </row>
    <row r="388" spans="1:1" x14ac:dyDescent="0.65">
      <c r="A388" s="269" t="s">
        <v>448</v>
      </c>
    </row>
    <row r="389" spans="1:1" x14ac:dyDescent="0.65">
      <c r="A389" s="269" t="s">
        <v>448</v>
      </c>
    </row>
    <row r="390" spans="1:1" x14ac:dyDescent="0.65">
      <c r="A390" s="269" t="s">
        <v>448</v>
      </c>
    </row>
    <row r="391" spans="1:1" x14ac:dyDescent="0.65">
      <c r="A391" s="269" t="s">
        <v>448</v>
      </c>
    </row>
    <row r="392" spans="1:1" x14ac:dyDescent="0.65">
      <c r="A392" s="269" t="s">
        <v>448</v>
      </c>
    </row>
    <row r="393" spans="1:1" x14ac:dyDescent="0.65">
      <c r="A393" s="269" t="s">
        <v>448</v>
      </c>
    </row>
    <row r="394" spans="1:1" x14ac:dyDescent="0.65">
      <c r="A394" s="269" t="s">
        <v>448</v>
      </c>
    </row>
    <row r="395" spans="1:1" x14ac:dyDescent="0.65">
      <c r="A395" s="269" t="s">
        <v>448</v>
      </c>
    </row>
    <row r="396" spans="1:1" x14ac:dyDescent="0.65">
      <c r="A396" s="269" t="s">
        <v>448</v>
      </c>
    </row>
    <row r="397" spans="1:1" x14ac:dyDescent="0.65">
      <c r="A397" s="269" t="s">
        <v>448</v>
      </c>
    </row>
    <row r="398" spans="1:1" x14ac:dyDescent="0.65">
      <c r="A398" s="269" t="s">
        <v>448</v>
      </c>
    </row>
    <row r="399" spans="1:1" x14ac:dyDescent="0.65">
      <c r="A399" s="269" t="s">
        <v>448</v>
      </c>
    </row>
    <row r="400" spans="1:1" x14ac:dyDescent="0.65">
      <c r="A400" s="269" t="s">
        <v>448</v>
      </c>
    </row>
    <row r="401" spans="1:1" x14ac:dyDescent="0.65">
      <c r="A401" s="269" t="s">
        <v>448</v>
      </c>
    </row>
    <row r="402" spans="1:1" x14ac:dyDescent="0.65">
      <c r="A402" s="269" t="s">
        <v>448</v>
      </c>
    </row>
    <row r="403" spans="1:1" x14ac:dyDescent="0.65">
      <c r="A403" s="269" t="s">
        <v>448</v>
      </c>
    </row>
    <row r="404" spans="1:1" x14ac:dyDescent="0.65">
      <c r="A404" s="269" t="s">
        <v>448</v>
      </c>
    </row>
    <row r="405" spans="1:1" x14ac:dyDescent="0.65">
      <c r="A405" s="269" t="s">
        <v>448</v>
      </c>
    </row>
    <row r="406" spans="1:1" x14ac:dyDescent="0.65">
      <c r="A406" s="269" t="s">
        <v>448</v>
      </c>
    </row>
    <row r="407" spans="1:1" x14ac:dyDescent="0.65">
      <c r="A407" s="269" t="s">
        <v>448</v>
      </c>
    </row>
    <row r="408" spans="1:1" x14ac:dyDescent="0.65">
      <c r="A408" s="269" t="s">
        <v>448</v>
      </c>
    </row>
    <row r="409" spans="1:1" x14ac:dyDescent="0.65">
      <c r="A409" s="269" t="s">
        <v>448</v>
      </c>
    </row>
    <row r="410" spans="1:1" x14ac:dyDescent="0.65">
      <c r="A410" s="269" t="s">
        <v>448</v>
      </c>
    </row>
    <row r="411" spans="1:1" x14ac:dyDescent="0.65">
      <c r="A411" s="269" t="s">
        <v>448</v>
      </c>
    </row>
    <row r="412" spans="1:1" x14ac:dyDescent="0.65">
      <c r="A412" s="269" t="s">
        <v>448</v>
      </c>
    </row>
    <row r="413" spans="1:1" x14ac:dyDescent="0.65">
      <c r="A413" s="269" t="s">
        <v>448</v>
      </c>
    </row>
    <row r="414" spans="1:1" x14ac:dyDescent="0.65">
      <c r="A414" s="269" t="s">
        <v>448</v>
      </c>
    </row>
    <row r="415" spans="1:1" x14ac:dyDescent="0.65">
      <c r="A415" s="269" t="s">
        <v>448</v>
      </c>
    </row>
    <row r="416" spans="1:1" x14ac:dyDescent="0.65">
      <c r="A416" s="269" t="s">
        <v>448</v>
      </c>
    </row>
    <row r="417" spans="1:1" x14ac:dyDescent="0.65">
      <c r="A417" s="269" t="s">
        <v>448</v>
      </c>
    </row>
    <row r="418" spans="1:1" x14ac:dyDescent="0.65">
      <c r="A418" s="269" t="s">
        <v>448</v>
      </c>
    </row>
    <row r="419" spans="1:1" x14ac:dyDescent="0.65">
      <c r="A419" s="269" t="s">
        <v>448</v>
      </c>
    </row>
    <row r="420" spans="1:1" x14ac:dyDescent="0.65">
      <c r="A420" s="269" t="s">
        <v>448</v>
      </c>
    </row>
    <row r="421" spans="1:1" x14ac:dyDescent="0.65">
      <c r="A421" s="269" t="s">
        <v>448</v>
      </c>
    </row>
    <row r="422" spans="1:1" x14ac:dyDescent="0.65">
      <c r="A422" s="269" t="s">
        <v>448</v>
      </c>
    </row>
    <row r="423" spans="1:1" x14ac:dyDescent="0.65">
      <c r="A423" s="269" t="s">
        <v>448</v>
      </c>
    </row>
    <row r="424" spans="1:1" x14ac:dyDescent="0.65">
      <c r="A424" s="269" t="s">
        <v>448</v>
      </c>
    </row>
    <row r="425" spans="1:1" x14ac:dyDescent="0.65">
      <c r="A425" s="269" t="s">
        <v>448</v>
      </c>
    </row>
    <row r="426" spans="1:1" x14ac:dyDescent="0.65">
      <c r="A426" s="269" t="s">
        <v>448</v>
      </c>
    </row>
    <row r="427" spans="1:1" x14ac:dyDescent="0.65">
      <c r="A427" s="269" t="s">
        <v>448</v>
      </c>
    </row>
    <row r="428" spans="1:1" x14ac:dyDescent="0.65">
      <c r="A428" s="269" t="s">
        <v>448</v>
      </c>
    </row>
    <row r="429" spans="1:1" x14ac:dyDescent="0.65">
      <c r="A429" s="269" t="s">
        <v>448</v>
      </c>
    </row>
    <row r="430" spans="1:1" x14ac:dyDescent="0.65">
      <c r="A430" s="269" t="s">
        <v>448</v>
      </c>
    </row>
    <row r="431" spans="1:1" x14ac:dyDescent="0.65">
      <c r="A431" s="269" t="s">
        <v>448</v>
      </c>
    </row>
    <row r="432" spans="1:1" x14ac:dyDescent="0.65">
      <c r="A432" s="269" t="s">
        <v>448</v>
      </c>
    </row>
    <row r="433" spans="1:1" x14ac:dyDescent="0.65">
      <c r="A433" s="269" t="s">
        <v>448</v>
      </c>
    </row>
    <row r="434" spans="1:1" x14ac:dyDescent="0.65">
      <c r="A434" s="269" t="s">
        <v>448</v>
      </c>
    </row>
    <row r="435" spans="1:1" x14ac:dyDescent="0.65">
      <c r="A435" s="269" t="s">
        <v>448</v>
      </c>
    </row>
    <row r="436" spans="1:1" x14ac:dyDescent="0.65">
      <c r="A436" s="269" t="s">
        <v>448</v>
      </c>
    </row>
    <row r="437" spans="1:1" x14ac:dyDescent="0.65">
      <c r="A437" s="269" t="s">
        <v>448</v>
      </c>
    </row>
    <row r="438" spans="1:1" x14ac:dyDescent="0.65">
      <c r="A438" s="269" t="s">
        <v>448</v>
      </c>
    </row>
    <row r="439" spans="1:1" x14ac:dyDescent="0.65">
      <c r="A439" s="269" t="s">
        <v>448</v>
      </c>
    </row>
    <row r="440" spans="1:1" x14ac:dyDescent="0.65">
      <c r="A440" s="269" t="s">
        <v>448</v>
      </c>
    </row>
    <row r="441" spans="1:1" x14ac:dyDescent="0.65">
      <c r="A441" s="269" t="s">
        <v>448</v>
      </c>
    </row>
    <row r="442" spans="1:1" x14ac:dyDescent="0.65">
      <c r="A442" s="269" t="s">
        <v>448</v>
      </c>
    </row>
    <row r="443" spans="1:1" x14ac:dyDescent="0.65">
      <c r="A443" s="269" t="s">
        <v>448</v>
      </c>
    </row>
    <row r="444" spans="1:1" x14ac:dyDescent="0.65">
      <c r="A444" s="269" t="s">
        <v>448</v>
      </c>
    </row>
    <row r="445" spans="1:1" x14ac:dyDescent="0.65">
      <c r="A445" s="269" t="s">
        <v>448</v>
      </c>
    </row>
    <row r="446" spans="1:1" x14ac:dyDescent="0.65">
      <c r="A446" s="269" t="s">
        <v>448</v>
      </c>
    </row>
    <row r="447" spans="1:1" x14ac:dyDescent="0.65">
      <c r="A447" s="269" t="s">
        <v>448</v>
      </c>
    </row>
    <row r="448" spans="1:1" x14ac:dyDescent="0.65">
      <c r="A448" s="269" t="s">
        <v>448</v>
      </c>
    </row>
    <row r="449" spans="1:1" x14ac:dyDescent="0.65">
      <c r="A449" s="269" t="s">
        <v>448</v>
      </c>
    </row>
    <row r="450" spans="1:1" x14ac:dyDescent="0.65">
      <c r="A450" s="269" t="s">
        <v>448</v>
      </c>
    </row>
    <row r="451" spans="1:1" x14ac:dyDescent="0.65">
      <c r="A451" s="269" t="s">
        <v>448</v>
      </c>
    </row>
    <row r="452" spans="1:1" x14ac:dyDescent="0.65">
      <c r="A452" s="269" t="s">
        <v>448</v>
      </c>
    </row>
    <row r="453" spans="1:1" x14ac:dyDescent="0.65">
      <c r="A453" s="269" t="s">
        <v>448</v>
      </c>
    </row>
    <row r="454" spans="1:1" x14ac:dyDescent="0.65">
      <c r="A454" s="269" t="s">
        <v>448</v>
      </c>
    </row>
    <row r="455" spans="1:1" x14ac:dyDescent="0.65">
      <c r="A455" s="269" t="s">
        <v>448</v>
      </c>
    </row>
    <row r="456" spans="1:1" x14ac:dyDescent="0.65">
      <c r="A456" s="269" t="s">
        <v>448</v>
      </c>
    </row>
    <row r="457" spans="1:1" x14ac:dyDescent="0.65">
      <c r="A457" s="269" t="s">
        <v>448</v>
      </c>
    </row>
    <row r="458" spans="1:1" x14ac:dyDescent="0.65">
      <c r="A458" s="269" t="s">
        <v>448</v>
      </c>
    </row>
    <row r="459" spans="1:1" x14ac:dyDescent="0.65">
      <c r="A459" s="269" t="s">
        <v>448</v>
      </c>
    </row>
    <row r="460" spans="1:1" x14ac:dyDescent="0.65">
      <c r="A460" s="269" t="s">
        <v>448</v>
      </c>
    </row>
    <row r="461" spans="1:1" x14ac:dyDescent="0.65">
      <c r="A461" s="269" t="s">
        <v>448</v>
      </c>
    </row>
    <row r="462" spans="1:1" x14ac:dyDescent="0.65">
      <c r="A462" s="269" t="s">
        <v>448</v>
      </c>
    </row>
    <row r="463" spans="1:1" x14ac:dyDescent="0.65">
      <c r="A463" s="269" t="s">
        <v>448</v>
      </c>
    </row>
    <row r="464" spans="1:1" x14ac:dyDescent="0.65">
      <c r="A464" s="269" t="s">
        <v>448</v>
      </c>
    </row>
    <row r="465" spans="1:1" x14ac:dyDescent="0.65">
      <c r="A465" s="269" t="s">
        <v>448</v>
      </c>
    </row>
    <row r="466" spans="1:1" x14ac:dyDescent="0.65">
      <c r="A466" s="269" t="s">
        <v>448</v>
      </c>
    </row>
    <row r="467" spans="1:1" x14ac:dyDescent="0.65">
      <c r="A467" s="269" t="s">
        <v>448</v>
      </c>
    </row>
    <row r="468" spans="1:1" x14ac:dyDescent="0.65">
      <c r="A468" s="269" t="s">
        <v>448</v>
      </c>
    </row>
    <row r="469" spans="1:1" x14ac:dyDescent="0.65">
      <c r="A469" s="269" t="s">
        <v>448</v>
      </c>
    </row>
    <row r="470" spans="1:1" x14ac:dyDescent="0.65">
      <c r="A470" s="269" t="s">
        <v>448</v>
      </c>
    </row>
    <row r="471" spans="1:1" x14ac:dyDescent="0.65">
      <c r="A471" s="269" t="s">
        <v>448</v>
      </c>
    </row>
    <row r="472" spans="1:1" x14ac:dyDescent="0.65">
      <c r="A472" s="269" t="s">
        <v>448</v>
      </c>
    </row>
    <row r="473" spans="1:1" x14ac:dyDescent="0.65">
      <c r="A473" s="269" t="s">
        <v>448</v>
      </c>
    </row>
    <row r="474" spans="1:1" x14ac:dyDescent="0.65">
      <c r="A474" s="269" t="s">
        <v>448</v>
      </c>
    </row>
    <row r="475" spans="1:1" x14ac:dyDescent="0.65">
      <c r="A475" s="269" t="s">
        <v>448</v>
      </c>
    </row>
    <row r="476" spans="1:1" x14ac:dyDescent="0.65">
      <c r="A476" s="269" t="s">
        <v>448</v>
      </c>
    </row>
    <row r="477" spans="1:1" x14ac:dyDescent="0.65">
      <c r="A477" s="269" t="s">
        <v>448</v>
      </c>
    </row>
    <row r="478" spans="1:1" x14ac:dyDescent="0.65">
      <c r="A478" s="269" t="s">
        <v>448</v>
      </c>
    </row>
    <row r="479" spans="1:1" x14ac:dyDescent="0.65">
      <c r="A479" s="269" t="s">
        <v>448</v>
      </c>
    </row>
    <row r="480" spans="1:1" x14ac:dyDescent="0.65">
      <c r="A480" s="269" t="s">
        <v>448</v>
      </c>
    </row>
    <row r="481" spans="1:1" x14ac:dyDescent="0.65">
      <c r="A481" s="269" t="s">
        <v>448</v>
      </c>
    </row>
    <row r="482" spans="1:1" x14ac:dyDescent="0.65">
      <c r="A482" s="269" t="s">
        <v>448</v>
      </c>
    </row>
    <row r="483" spans="1:1" x14ac:dyDescent="0.65">
      <c r="A483" s="269" t="s">
        <v>448</v>
      </c>
    </row>
    <row r="484" spans="1:1" x14ac:dyDescent="0.65">
      <c r="A484" s="269" t="s">
        <v>448</v>
      </c>
    </row>
    <row r="485" spans="1:1" x14ac:dyDescent="0.65">
      <c r="A485" s="269" t="s">
        <v>448</v>
      </c>
    </row>
    <row r="486" spans="1:1" x14ac:dyDescent="0.65">
      <c r="A486" s="269" t="s">
        <v>448</v>
      </c>
    </row>
    <row r="487" spans="1:1" x14ac:dyDescent="0.65">
      <c r="A487" s="269" t="s">
        <v>448</v>
      </c>
    </row>
    <row r="488" spans="1:1" x14ac:dyDescent="0.65">
      <c r="A488" s="269" t="s">
        <v>448</v>
      </c>
    </row>
    <row r="489" spans="1:1" x14ac:dyDescent="0.65">
      <c r="A489" s="269" t="s">
        <v>448</v>
      </c>
    </row>
    <row r="490" spans="1:1" x14ac:dyDescent="0.65">
      <c r="A490" s="269" t="s">
        <v>448</v>
      </c>
    </row>
    <row r="491" spans="1:1" x14ac:dyDescent="0.65">
      <c r="A491" s="269" t="s">
        <v>448</v>
      </c>
    </row>
    <row r="492" spans="1:1" x14ac:dyDescent="0.65">
      <c r="A492" s="269" t="s">
        <v>448</v>
      </c>
    </row>
    <row r="493" spans="1:1" x14ac:dyDescent="0.65">
      <c r="A493" s="269" t="s">
        <v>448</v>
      </c>
    </row>
    <row r="494" spans="1:1" x14ac:dyDescent="0.65">
      <c r="A494" s="269" t="s">
        <v>448</v>
      </c>
    </row>
    <row r="495" spans="1:1" x14ac:dyDescent="0.65">
      <c r="A495" s="269" t="s">
        <v>448</v>
      </c>
    </row>
    <row r="496" spans="1:1" x14ac:dyDescent="0.65">
      <c r="A496" s="269" t="s">
        <v>448</v>
      </c>
    </row>
    <row r="497" spans="1:1" x14ac:dyDescent="0.65">
      <c r="A497" s="269" t="s">
        <v>448</v>
      </c>
    </row>
    <row r="498" spans="1:1" x14ac:dyDescent="0.65">
      <c r="A498" s="269" t="s">
        <v>448</v>
      </c>
    </row>
    <row r="499" spans="1:1" x14ac:dyDescent="0.65">
      <c r="A499" s="269" t="s">
        <v>448</v>
      </c>
    </row>
    <row r="500" spans="1:1" x14ac:dyDescent="0.65">
      <c r="A500" s="269" t="s">
        <v>448</v>
      </c>
    </row>
    <row r="501" spans="1:1" x14ac:dyDescent="0.65">
      <c r="A501" s="269" t="s">
        <v>448</v>
      </c>
    </row>
    <row r="502" spans="1:1" x14ac:dyDescent="0.65">
      <c r="A502" s="269" t="s">
        <v>448</v>
      </c>
    </row>
    <row r="503" spans="1:1" x14ac:dyDescent="0.65">
      <c r="A503" s="269" t="s">
        <v>448</v>
      </c>
    </row>
    <row r="504" spans="1:1" x14ac:dyDescent="0.65">
      <c r="A504" s="269" t="s">
        <v>448</v>
      </c>
    </row>
    <row r="505" spans="1:1" x14ac:dyDescent="0.65">
      <c r="A505" s="269" t="s">
        <v>448</v>
      </c>
    </row>
    <row r="506" spans="1:1" x14ac:dyDescent="0.65">
      <c r="A506" s="269" t="s">
        <v>448</v>
      </c>
    </row>
    <row r="507" spans="1:1" x14ac:dyDescent="0.65">
      <c r="A507" s="269" t="s">
        <v>448</v>
      </c>
    </row>
    <row r="508" spans="1:1" x14ac:dyDescent="0.65">
      <c r="A508" s="269" t="s">
        <v>448</v>
      </c>
    </row>
    <row r="509" spans="1:1" x14ac:dyDescent="0.65">
      <c r="A509" s="269" t="s">
        <v>448</v>
      </c>
    </row>
    <row r="510" spans="1:1" x14ac:dyDescent="0.65">
      <c r="A510" s="269" t="s">
        <v>448</v>
      </c>
    </row>
    <row r="511" spans="1:1" x14ac:dyDescent="0.65">
      <c r="A511" s="269" t="s">
        <v>448</v>
      </c>
    </row>
    <row r="512" spans="1:1" x14ac:dyDescent="0.65">
      <c r="A512" s="269" t="s">
        <v>448</v>
      </c>
    </row>
    <row r="513" spans="1:1" x14ac:dyDescent="0.65">
      <c r="A513" s="269" t="s">
        <v>448</v>
      </c>
    </row>
    <row r="514" spans="1:1" x14ac:dyDescent="0.65">
      <c r="A514" s="269" t="s">
        <v>448</v>
      </c>
    </row>
    <row r="515" spans="1:1" x14ac:dyDescent="0.65">
      <c r="A515" s="269" t="s">
        <v>448</v>
      </c>
    </row>
    <row r="516" spans="1:1" x14ac:dyDescent="0.65">
      <c r="A516" s="269" t="s">
        <v>448</v>
      </c>
    </row>
    <row r="517" spans="1:1" x14ac:dyDescent="0.65">
      <c r="A517" s="269" t="s">
        <v>448</v>
      </c>
    </row>
    <row r="518" spans="1:1" x14ac:dyDescent="0.65">
      <c r="A518" s="269" t="s">
        <v>448</v>
      </c>
    </row>
    <row r="519" spans="1:1" x14ac:dyDescent="0.65">
      <c r="A519" s="269" t="s">
        <v>448</v>
      </c>
    </row>
    <row r="520" spans="1:1" x14ac:dyDescent="0.65">
      <c r="A520" s="269" t="s">
        <v>448</v>
      </c>
    </row>
    <row r="521" spans="1:1" x14ac:dyDescent="0.65">
      <c r="A521" s="269" t="s">
        <v>448</v>
      </c>
    </row>
    <row r="522" spans="1:1" x14ac:dyDescent="0.65">
      <c r="A522" s="269" t="s">
        <v>448</v>
      </c>
    </row>
    <row r="523" spans="1:1" x14ac:dyDescent="0.65">
      <c r="A523" s="269" t="s">
        <v>448</v>
      </c>
    </row>
    <row r="524" spans="1:1" x14ac:dyDescent="0.65">
      <c r="A524" s="269" t="s">
        <v>448</v>
      </c>
    </row>
    <row r="525" spans="1:1" x14ac:dyDescent="0.65">
      <c r="A525" s="269" t="s">
        <v>448</v>
      </c>
    </row>
    <row r="526" spans="1:1" x14ac:dyDescent="0.65">
      <c r="A526" s="269" t="s">
        <v>448</v>
      </c>
    </row>
    <row r="527" spans="1:1" x14ac:dyDescent="0.65">
      <c r="A527" s="269" t="s">
        <v>448</v>
      </c>
    </row>
    <row r="528" spans="1:1" x14ac:dyDescent="0.65">
      <c r="A528" s="269" t="s">
        <v>448</v>
      </c>
    </row>
    <row r="529" spans="1:1" x14ac:dyDescent="0.65">
      <c r="A529" s="269" t="s">
        <v>448</v>
      </c>
    </row>
    <row r="530" spans="1:1" x14ac:dyDescent="0.65">
      <c r="A530" s="269" t="s">
        <v>448</v>
      </c>
    </row>
    <row r="531" spans="1:1" x14ac:dyDescent="0.65">
      <c r="A531" s="269" t="s">
        <v>448</v>
      </c>
    </row>
    <row r="532" spans="1:1" x14ac:dyDescent="0.65">
      <c r="A532" s="269" t="s">
        <v>448</v>
      </c>
    </row>
    <row r="533" spans="1:1" x14ac:dyDescent="0.65">
      <c r="A533" s="269" t="s">
        <v>448</v>
      </c>
    </row>
    <row r="534" spans="1:1" x14ac:dyDescent="0.65">
      <c r="A534" s="269" t="s">
        <v>448</v>
      </c>
    </row>
    <row r="535" spans="1:1" x14ac:dyDescent="0.65">
      <c r="A535" s="269" t="s">
        <v>448</v>
      </c>
    </row>
    <row r="536" spans="1:1" x14ac:dyDescent="0.65">
      <c r="A536" s="269" t="s">
        <v>448</v>
      </c>
    </row>
    <row r="537" spans="1:1" x14ac:dyDescent="0.65">
      <c r="A537" s="269" t="s">
        <v>448</v>
      </c>
    </row>
    <row r="538" spans="1:1" x14ac:dyDescent="0.65">
      <c r="A538" s="269" t="s">
        <v>448</v>
      </c>
    </row>
    <row r="539" spans="1:1" x14ac:dyDescent="0.65">
      <c r="A539" s="269" t="s">
        <v>448</v>
      </c>
    </row>
    <row r="540" spans="1:1" x14ac:dyDescent="0.65">
      <c r="A540" s="269" t="s">
        <v>448</v>
      </c>
    </row>
    <row r="541" spans="1:1" x14ac:dyDescent="0.65">
      <c r="A541" s="269" t="s">
        <v>448</v>
      </c>
    </row>
    <row r="542" spans="1:1" x14ac:dyDescent="0.65">
      <c r="A542" s="269" t="s">
        <v>448</v>
      </c>
    </row>
    <row r="543" spans="1:1" x14ac:dyDescent="0.65">
      <c r="A543" s="269" t="s">
        <v>448</v>
      </c>
    </row>
    <row r="544" spans="1:1" x14ac:dyDescent="0.65">
      <c r="A544" s="269" t="s">
        <v>448</v>
      </c>
    </row>
    <row r="545" spans="1:1" x14ac:dyDescent="0.65">
      <c r="A545" s="269" t="s">
        <v>448</v>
      </c>
    </row>
    <row r="546" spans="1:1" x14ac:dyDescent="0.65">
      <c r="A546" s="269" t="s">
        <v>448</v>
      </c>
    </row>
    <row r="547" spans="1:1" x14ac:dyDescent="0.65">
      <c r="A547" s="269" t="s">
        <v>448</v>
      </c>
    </row>
    <row r="548" spans="1:1" x14ac:dyDescent="0.65">
      <c r="A548" s="269" t="s">
        <v>448</v>
      </c>
    </row>
    <row r="549" spans="1:1" x14ac:dyDescent="0.65">
      <c r="A549" s="269" t="s">
        <v>448</v>
      </c>
    </row>
    <row r="550" spans="1:1" x14ac:dyDescent="0.65">
      <c r="A550" s="269" t="s">
        <v>448</v>
      </c>
    </row>
    <row r="551" spans="1:1" x14ac:dyDescent="0.65">
      <c r="A551" s="269" t="s">
        <v>448</v>
      </c>
    </row>
    <row r="552" spans="1:1" x14ac:dyDescent="0.65">
      <c r="A552" s="269" t="s">
        <v>448</v>
      </c>
    </row>
    <row r="553" spans="1:1" x14ac:dyDescent="0.65">
      <c r="A553" s="269" t="s">
        <v>448</v>
      </c>
    </row>
    <row r="554" spans="1:1" x14ac:dyDescent="0.65">
      <c r="A554" s="269" t="s">
        <v>448</v>
      </c>
    </row>
    <row r="555" spans="1:1" x14ac:dyDescent="0.65">
      <c r="A555" s="269" t="s">
        <v>448</v>
      </c>
    </row>
    <row r="556" spans="1:1" x14ac:dyDescent="0.65">
      <c r="A556" s="269" t="s">
        <v>448</v>
      </c>
    </row>
    <row r="557" spans="1:1" x14ac:dyDescent="0.65">
      <c r="A557" s="269" t="s">
        <v>448</v>
      </c>
    </row>
    <row r="558" spans="1:1" x14ac:dyDescent="0.65">
      <c r="A558" s="269" t="s">
        <v>448</v>
      </c>
    </row>
    <row r="559" spans="1:1" x14ac:dyDescent="0.65">
      <c r="A559" s="269" t="s">
        <v>448</v>
      </c>
    </row>
    <row r="560" spans="1:1" x14ac:dyDescent="0.65">
      <c r="A560" s="269" t="s">
        <v>448</v>
      </c>
    </row>
    <row r="561" spans="1:1" x14ac:dyDescent="0.65">
      <c r="A561" s="269" t="s">
        <v>448</v>
      </c>
    </row>
    <row r="562" spans="1:1" x14ac:dyDescent="0.65">
      <c r="A562" s="269" t="s">
        <v>448</v>
      </c>
    </row>
    <row r="563" spans="1:1" x14ac:dyDescent="0.65">
      <c r="A563" s="269" t="s">
        <v>448</v>
      </c>
    </row>
    <row r="564" spans="1:1" x14ac:dyDescent="0.65">
      <c r="A564" s="269" t="s">
        <v>448</v>
      </c>
    </row>
    <row r="565" spans="1:1" x14ac:dyDescent="0.65">
      <c r="A565" s="269" t="s">
        <v>448</v>
      </c>
    </row>
    <row r="566" spans="1:1" x14ac:dyDescent="0.65">
      <c r="A566" s="269" t="s">
        <v>448</v>
      </c>
    </row>
    <row r="567" spans="1:1" x14ac:dyDescent="0.65">
      <c r="A567" s="269" t="s">
        <v>448</v>
      </c>
    </row>
    <row r="568" spans="1:1" x14ac:dyDescent="0.65">
      <c r="A568" s="269" t="s">
        <v>448</v>
      </c>
    </row>
    <row r="569" spans="1:1" x14ac:dyDescent="0.65">
      <c r="A569" s="269" t="s">
        <v>448</v>
      </c>
    </row>
    <row r="570" spans="1:1" x14ac:dyDescent="0.65">
      <c r="A570" s="269" t="s">
        <v>448</v>
      </c>
    </row>
    <row r="571" spans="1:1" x14ac:dyDescent="0.65">
      <c r="A571" s="269" t="s">
        <v>448</v>
      </c>
    </row>
    <row r="572" spans="1:1" x14ac:dyDescent="0.65">
      <c r="A572" s="269" t="s">
        <v>448</v>
      </c>
    </row>
    <row r="573" spans="1:1" x14ac:dyDescent="0.65">
      <c r="A573" s="269" t="s">
        <v>448</v>
      </c>
    </row>
    <row r="574" spans="1:1" x14ac:dyDescent="0.65">
      <c r="A574" s="269" t="s">
        <v>448</v>
      </c>
    </row>
    <row r="575" spans="1:1" x14ac:dyDescent="0.65">
      <c r="A575" s="269" t="s">
        <v>448</v>
      </c>
    </row>
    <row r="576" spans="1:1" x14ac:dyDescent="0.65">
      <c r="A576" s="269" t="s">
        <v>448</v>
      </c>
    </row>
    <row r="577" spans="1:1" x14ac:dyDescent="0.65">
      <c r="A577" s="269" t="s">
        <v>448</v>
      </c>
    </row>
    <row r="578" spans="1:1" x14ac:dyDescent="0.65">
      <c r="A578" s="269" t="s">
        <v>448</v>
      </c>
    </row>
    <row r="579" spans="1:1" x14ac:dyDescent="0.65">
      <c r="A579" s="269" t="s">
        <v>448</v>
      </c>
    </row>
    <row r="580" spans="1:1" x14ac:dyDescent="0.65">
      <c r="A580" s="269" t="s">
        <v>448</v>
      </c>
    </row>
    <row r="581" spans="1:1" x14ac:dyDescent="0.65">
      <c r="A581" s="269" t="s">
        <v>448</v>
      </c>
    </row>
    <row r="582" spans="1:1" x14ac:dyDescent="0.65">
      <c r="A582" s="269" t="s">
        <v>448</v>
      </c>
    </row>
    <row r="583" spans="1:1" x14ac:dyDescent="0.65">
      <c r="A583" s="269" t="s">
        <v>448</v>
      </c>
    </row>
    <row r="584" spans="1:1" x14ac:dyDescent="0.65">
      <c r="A584" s="269" t="s">
        <v>448</v>
      </c>
    </row>
    <row r="585" spans="1:1" x14ac:dyDescent="0.65">
      <c r="A585" s="269" t="s">
        <v>448</v>
      </c>
    </row>
    <row r="586" spans="1:1" x14ac:dyDescent="0.65">
      <c r="A586" s="269" t="s">
        <v>448</v>
      </c>
    </row>
    <row r="587" spans="1:1" x14ac:dyDescent="0.65">
      <c r="A587" s="269" t="s">
        <v>448</v>
      </c>
    </row>
    <row r="588" spans="1:1" x14ac:dyDescent="0.65">
      <c r="A588" s="269" t="s">
        <v>448</v>
      </c>
    </row>
    <row r="589" spans="1:1" x14ac:dyDescent="0.65">
      <c r="A589" s="269" t="s">
        <v>448</v>
      </c>
    </row>
    <row r="590" spans="1:1" x14ac:dyDescent="0.65">
      <c r="A590" s="269" t="s">
        <v>448</v>
      </c>
    </row>
    <row r="591" spans="1:1" x14ac:dyDescent="0.65">
      <c r="A591" s="269" t="s">
        <v>448</v>
      </c>
    </row>
    <row r="592" spans="1:1" x14ac:dyDescent="0.65">
      <c r="A592" s="269" t="s">
        <v>448</v>
      </c>
    </row>
    <row r="593" spans="1:1" x14ac:dyDescent="0.65">
      <c r="A593" s="269" t="s">
        <v>448</v>
      </c>
    </row>
    <row r="594" spans="1:1" x14ac:dyDescent="0.65">
      <c r="A594" s="269" t="s">
        <v>448</v>
      </c>
    </row>
    <row r="595" spans="1:1" x14ac:dyDescent="0.65">
      <c r="A595" s="269" t="s">
        <v>448</v>
      </c>
    </row>
    <row r="596" spans="1:1" x14ac:dyDescent="0.65">
      <c r="A596" s="269" t="s">
        <v>448</v>
      </c>
    </row>
    <row r="597" spans="1:1" x14ac:dyDescent="0.65">
      <c r="A597" s="269" t="s">
        <v>448</v>
      </c>
    </row>
    <row r="598" spans="1:1" x14ac:dyDescent="0.65">
      <c r="A598" s="269" t="s">
        <v>448</v>
      </c>
    </row>
    <row r="599" spans="1:1" x14ac:dyDescent="0.65">
      <c r="A599" s="269" t="s">
        <v>448</v>
      </c>
    </row>
    <row r="600" spans="1:1" x14ac:dyDescent="0.65">
      <c r="A600" s="269" t="s">
        <v>448</v>
      </c>
    </row>
    <row r="601" spans="1:1" x14ac:dyDescent="0.65">
      <c r="A601" s="269" t="s">
        <v>448</v>
      </c>
    </row>
    <row r="602" spans="1:1" x14ac:dyDescent="0.65">
      <c r="A602" s="269" t="s">
        <v>448</v>
      </c>
    </row>
    <row r="603" spans="1:1" x14ac:dyDescent="0.65">
      <c r="A603" s="269" t="s">
        <v>448</v>
      </c>
    </row>
    <row r="604" spans="1:1" x14ac:dyDescent="0.65">
      <c r="A604" s="269" t="s">
        <v>448</v>
      </c>
    </row>
    <row r="605" spans="1:1" x14ac:dyDescent="0.65">
      <c r="A605" s="269" t="s">
        <v>448</v>
      </c>
    </row>
    <row r="606" spans="1:1" x14ac:dyDescent="0.65">
      <c r="A606" s="269" t="s">
        <v>448</v>
      </c>
    </row>
    <row r="607" spans="1:1" x14ac:dyDescent="0.65">
      <c r="A607" s="269" t="s">
        <v>448</v>
      </c>
    </row>
    <row r="608" spans="1:1" x14ac:dyDescent="0.65">
      <c r="A608" s="269" t="s">
        <v>448</v>
      </c>
    </row>
    <row r="609" spans="1:1" x14ac:dyDescent="0.65">
      <c r="A609" s="269" t="s">
        <v>448</v>
      </c>
    </row>
    <row r="610" spans="1:1" x14ac:dyDescent="0.65">
      <c r="A610" s="269" t="s">
        <v>448</v>
      </c>
    </row>
    <row r="611" spans="1:1" x14ac:dyDescent="0.65">
      <c r="A611" s="269" t="s">
        <v>448</v>
      </c>
    </row>
    <row r="612" spans="1:1" x14ac:dyDescent="0.65">
      <c r="A612" s="269" t="s">
        <v>448</v>
      </c>
    </row>
    <row r="613" spans="1:1" x14ac:dyDescent="0.65">
      <c r="A613" s="269" t="s">
        <v>448</v>
      </c>
    </row>
    <row r="614" spans="1:1" x14ac:dyDescent="0.65">
      <c r="A614" s="269" t="s">
        <v>448</v>
      </c>
    </row>
    <row r="615" spans="1:1" x14ac:dyDescent="0.65">
      <c r="A615" s="269" t="s">
        <v>448</v>
      </c>
    </row>
    <row r="616" spans="1:1" x14ac:dyDescent="0.65">
      <c r="A616" s="269" t="s">
        <v>448</v>
      </c>
    </row>
    <row r="617" spans="1:1" x14ac:dyDescent="0.65">
      <c r="A617" s="269" t="s">
        <v>448</v>
      </c>
    </row>
    <row r="618" spans="1:1" x14ac:dyDescent="0.65">
      <c r="A618" s="269" t="s">
        <v>448</v>
      </c>
    </row>
    <row r="619" spans="1:1" x14ac:dyDescent="0.65">
      <c r="A619" s="269" t="s">
        <v>448</v>
      </c>
    </row>
    <row r="620" spans="1:1" x14ac:dyDescent="0.65">
      <c r="A620" s="269" t="s">
        <v>448</v>
      </c>
    </row>
    <row r="621" spans="1:1" x14ac:dyDescent="0.65">
      <c r="A621" s="269" t="s">
        <v>448</v>
      </c>
    </row>
    <row r="622" spans="1:1" x14ac:dyDescent="0.65">
      <c r="A622" s="269" t="s">
        <v>448</v>
      </c>
    </row>
    <row r="623" spans="1:1" x14ac:dyDescent="0.65">
      <c r="A623" s="269" t="s">
        <v>448</v>
      </c>
    </row>
    <row r="624" spans="1:1" x14ac:dyDescent="0.65">
      <c r="A624" s="269" t="s">
        <v>448</v>
      </c>
    </row>
    <row r="625" spans="1:1" x14ac:dyDescent="0.65">
      <c r="A625" s="269" t="s">
        <v>448</v>
      </c>
    </row>
    <row r="626" spans="1:1" x14ac:dyDescent="0.65">
      <c r="A626" s="269" t="s">
        <v>448</v>
      </c>
    </row>
    <row r="627" spans="1:1" x14ac:dyDescent="0.65">
      <c r="A627" s="269" t="s">
        <v>448</v>
      </c>
    </row>
    <row r="628" spans="1:1" x14ac:dyDescent="0.65">
      <c r="A628" s="269" t="s">
        <v>448</v>
      </c>
    </row>
    <row r="629" spans="1:1" x14ac:dyDescent="0.65">
      <c r="A629" s="269" t="s">
        <v>448</v>
      </c>
    </row>
    <row r="630" spans="1:1" x14ac:dyDescent="0.65">
      <c r="A630" s="269" t="s">
        <v>448</v>
      </c>
    </row>
    <row r="631" spans="1:1" x14ac:dyDescent="0.65">
      <c r="A631" s="269" t="s">
        <v>448</v>
      </c>
    </row>
    <row r="632" spans="1:1" x14ac:dyDescent="0.65">
      <c r="A632" s="269" t="s">
        <v>448</v>
      </c>
    </row>
    <row r="633" spans="1:1" x14ac:dyDescent="0.65">
      <c r="A633" s="269" t="s">
        <v>448</v>
      </c>
    </row>
    <row r="634" spans="1:1" x14ac:dyDescent="0.65">
      <c r="A634" s="269" t="s">
        <v>448</v>
      </c>
    </row>
    <row r="635" spans="1:1" x14ac:dyDescent="0.65">
      <c r="A635" s="269" t="s">
        <v>448</v>
      </c>
    </row>
    <row r="636" spans="1:1" x14ac:dyDescent="0.65">
      <c r="A636" s="269" t="s">
        <v>448</v>
      </c>
    </row>
    <row r="637" spans="1:1" x14ac:dyDescent="0.65">
      <c r="A637" s="269" t="s">
        <v>448</v>
      </c>
    </row>
    <row r="638" spans="1:1" x14ac:dyDescent="0.65">
      <c r="A638" s="269" t="s">
        <v>448</v>
      </c>
    </row>
    <row r="639" spans="1:1" x14ac:dyDescent="0.65">
      <c r="A639" s="269" t="s">
        <v>448</v>
      </c>
    </row>
    <row r="640" spans="1:1" x14ac:dyDescent="0.65">
      <c r="A640" s="269" t="s">
        <v>448</v>
      </c>
    </row>
    <row r="641" spans="1:1" x14ac:dyDescent="0.65">
      <c r="A641" s="269" t="s">
        <v>448</v>
      </c>
    </row>
    <row r="642" spans="1:1" x14ac:dyDescent="0.65">
      <c r="A642" s="269" t="s">
        <v>448</v>
      </c>
    </row>
    <row r="643" spans="1:1" x14ac:dyDescent="0.65">
      <c r="A643" s="269" t="s">
        <v>448</v>
      </c>
    </row>
    <row r="644" spans="1:1" x14ac:dyDescent="0.65">
      <c r="A644" s="269" t="s">
        <v>448</v>
      </c>
    </row>
    <row r="645" spans="1:1" x14ac:dyDescent="0.65">
      <c r="A645" s="269" t="s">
        <v>448</v>
      </c>
    </row>
    <row r="646" spans="1:1" x14ac:dyDescent="0.65">
      <c r="A646" s="269" t="s">
        <v>448</v>
      </c>
    </row>
    <row r="647" spans="1:1" x14ac:dyDescent="0.65">
      <c r="A647" s="269" t="s">
        <v>448</v>
      </c>
    </row>
    <row r="648" spans="1:1" x14ac:dyDescent="0.65">
      <c r="A648" s="269" t="s">
        <v>448</v>
      </c>
    </row>
    <row r="649" spans="1:1" x14ac:dyDescent="0.65">
      <c r="A649" s="269" t="s">
        <v>448</v>
      </c>
    </row>
    <row r="650" spans="1:1" x14ac:dyDescent="0.65">
      <c r="A650" s="269" t="s">
        <v>448</v>
      </c>
    </row>
    <row r="651" spans="1:1" x14ac:dyDescent="0.65">
      <c r="A651" s="269" t="s">
        <v>448</v>
      </c>
    </row>
    <row r="652" spans="1:1" x14ac:dyDescent="0.65">
      <c r="A652" s="269" t="s">
        <v>448</v>
      </c>
    </row>
    <row r="653" spans="1:1" x14ac:dyDescent="0.65">
      <c r="A653" s="269" t="s">
        <v>448</v>
      </c>
    </row>
    <row r="654" spans="1:1" x14ac:dyDescent="0.65">
      <c r="A654" s="269" t="s">
        <v>448</v>
      </c>
    </row>
    <row r="655" spans="1:1" x14ac:dyDescent="0.65">
      <c r="A655" s="269" t="s">
        <v>448</v>
      </c>
    </row>
    <row r="656" spans="1:1" x14ac:dyDescent="0.65">
      <c r="A656" s="269" t="s">
        <v>448</v>
      </c>
    </row>
    <row r="657" spans="1:1" x14ac:dyDescent="0.65">
      <c r="A657" s="269" t="s">
        <v>448</v>
      </c>
    </row>
    <row r="658" spans="1:1" x14ac:dyDescent="0.65">
      <c r="A658" s="269" t="s">
        <v>448</v>
      </c>
    </row>
    <row r="659" spans="1:1" x14ac:dyDescent="0.65">
      <c r="A659" s="269" t="s">
        <v>448</v>
      </c>
    </row>
    <row r="660" spans="1:1" x14ac:dyDescent="0.65">
      <c r="A660" s="269" t="s">
        <v>448</v>
      </c>
    </row>
    <row r="661" spans="1:1" x14ac:dyDescent="0.65">
      <c r="A661" s="269" t="s">
        <v>448</v>
      </c>
    </row>
    <row r="662" spans="1:1" x14ac:dyDescent="0.65">
      <c r="A662" s="269" t="s">
        <v>448</v>
      </c>
    </row>
    <row r="663" spans="1:1" x14ac:dyDescent="0.65">
      <c r="A663" s="269" t="s">
        <v>448</v>
      </c>
    </row>
    <row r="664" spans="1:1" x14ac:dyDescent="0.65">
      <c r="A664" s="269" t="s">
        <v>448</v>
      </c>
    </row>
    <row r="665" spans="1:1" x14ac:dyDescent="0.65">
      <c r="A665" s="269" t="s">
        <v>448</v>
      </c>
    </row>
    <row r="666" spans="1:1" x14ac:dyDescent="0.65">
      <c r="A666" s="269" t="s">
        <v>448</v>
      </c>
    </row>
    <row r="667" spans="1:1" x14ac:dyDescent="0.65">
      <c r="A667" s="269" t="s">
        <v>448</v>
      </c>
    </row>
    <row r="668" spans="1:1" x14ac:dyDescent="0.65">
      <c r="A668" s="269" t="s">
        <v>448</v>
      </c>
    </row>
    <row r="669" spans="1:1" x14ac:dyDescent="0.65">
      <c r="A669" s="269" t="s">
        <v>448</v>
      </c>
    </row>
    <row r="670" spans="1:1" x14ac:dyDescent="0.65">
      <c r="A670" s="269" t="s">
        <v>448</v>
      </c>
    </row>
    <row r="671" spans="1:1" x14ac:dyDescent="0.65">
      <c r="A671" s="269" t="s">
        <v>448</v>
      </c>
    </row>
    <row r="672" spans="1:1" x14ac:dyDescent="0.65">
      <c r="A672" s="269" t="s">
        <v>448</v>
      </c>
    </row>
    <row r="673" spans="1:1" x14ac:dyDescent="0.65">
      <c r="A673" s="269" t="s">
        <v>448</v>
      </c>
    </row>
    <row r="674" spans="1:1" x14ac:dyDescent="0.65">
      <c r="A674" s="269" t="s">
        <v>448</v>
      </c>
    </row>
    <row r="675" spans="1:1" x14ac:dyDescent="0.65">
      <c r="A675" s="269" t="s">
        <v>448</v>
      </c>
    </row>
    <row r="676" spans="1:1" x14ac:dyDescent="0.65">
      <c r="A676" s="269" t="s">
        <v>448</v>
      </c>
    </row>
    <row r="677" spans="1:1" x14ac:dyDescent="0.65">
      <c r="A677" s="269" t="s">
        <v>448</v>
      </c>
    </row>
    <row r="678" spans="1:1" x14ac:dyDescent="0.65">
      <c r="A678" s="269" t="s">
        <v>448</v>
      </c>
    </row>
    <row r="679" spans="1:1" x14ac:dyDescent="0.65">
      <c r="A679" s="269" t="s">
        <v>448</v>
      </c>
    </row>
    <row r="680" spans="1:1" x14ac:dyDescent="0.65">
      <c r="A680" s="269" t="s">
        <v>448</v>
      </c>
    </row>
    <row r="681" spans="1:1" x14ac:dyDescent="0.65">
      <c r="A681" s="269" t="s">
        <v>448</v>
      </c>
    </row>
    <row r="682" spans="1:1" x14ac:dyDescent="0.65">
      <c r="A682" s="269" t="s">
        <v>448</v>
      </c>
    </row>
    <row r="683" spans="1:1" x14ac:dyDescent="0.65">
      <c r="A683" s="269" t="s">
        <v>448</v>
      </c>
    </row>
    <row r="684" spans="1:1" x14ac:dyDescent="0.65">
      <c r="A684" s="269" t="s">
        <v>448</v>
      </c>
    </row>
    <row r="685" spans="1:1" x14ac:dyDescent="0.65">
      <c r="A685" s="269" t="s">
        <v>448</v>
      </c>
    </row>
    <row r="686" spans="1:1" x14ac:dyDescent="0.65">
      <c r="A686" s="269" t="s">
        <v>448</v>
      </c>
    </row>
    <row r="687" spans="1:1" x14ac:dyDescent="0.65">
      <c r="A687" s="269" t="s">
        <v>448</v>
      </c>
    </row>
    <row r="688" spans="1:1" x14ac:dyDescent="0.65">
      <c r="A688" s="269" t="s">
        <v>448</v>
      </c>
    </row>
    <row r="689" spans="1:1" x14ac:dyDescent="0.65">
      <c r="A689" s="269" t="s">
        <v>448</v>
      </c>
    </row>
    <row r="690" spans="1:1" x14ac:dyDescent="0.65">
      <c r="A690" s="269" t="s">
        <v>448</v>
      </c>
    </row>
    <row r="691" spans="1:1" x14ac:dyDescent="0.65">
      <c r="A691" s="269" t="s">
        <v>448</v>
      </c>
    </row>
    <row r="692" spans="1:1" x14ac:dyDescent="0.65">
      <c r="A692" s="269" t="s">
        <v>448</v>
      </c>
    </row>
    <row r="693" spans="1:1" x14ac:dyDescent="0.65">
      <c r="A693" s="269" t="s">
        <v>448</v>
      </c>
    </row>
    <row r="694" spans="1:1" x14ac:dyDescent="0.65">
      <c r="A694" s="269" t="s">
        <v>448</v>
      </c>
    </row>
    <row r="695" spans="1:1" x14ac:dyDescent="0.65">
      <c r="A695" s="269" t="s">
        <v>448</v>
      </c>
    </row>
    <row r="696" spans="1:1" x14ac:dyDescent="0.65">
      <c r="A696" s="269" t="s">
        <v>448</v>
      </c>
    </row>
    <row r="697" spans="1:1" x14ac:dyDescent="0.65">
      <c r="A697" s="269" t="s">
        <v>448</v>
      </c>
    </row>
    <row r="698" spans="1:1" x14ac:dyDescent="0.65">
      <c r="A698" s="269" t="s">
        <v>448</v>
      </c>
    </row>
    <row r="699" spans="1:1" x14ac:dyDescent="0.65">
      <c r="A699" s="269" t="s">
        <v>448</v>
      </c>
    </row>
    <row r="700" spans="1:1" x14ac:dyDescent="0.65">
      <c r="A700" s="269" t="s">
        <v>448</v>
      </c>
    </row>
    <row r="701" spans="1:1" x14ac:dyDescent="0.65">
      <c r="A701" s="269" t="s">
        <v>448</v>
      </c>
    </row>
    <row r="702" spans="1:1" x14ac:dyDescent="0.65">
      <c r="A702" s="269" t="s">
        <v>448</v>
      </c>
    </row>
    <row r="703" spans="1:1" x14ac:dyDescent="0.65">
      <c r="A703" s="269" t="s">
        <v>448</v>
      </c>
    </row>
    <row r="704" spans="1:1" x14ac:dyDescent="0.65">
      <c r="A704" s="269" t="s">
        <v>448</v>
      </c>
    </row>
    <row r="705" spans="1:1" x14ac:dyDescent="0.65">
      <c r="A705" s="269" t="s">
        <v>448</v>
      </c>
    </row>
    <row r="706" spans="1:1" x14ac:dyDescent="0.65">
      <c r="A706" s="269" t="s">
        <v>448</v>
      </c>
    </row>
    <row r="707" spans="1:1" x14ac:dyDescent="0.65">
      <c r="A707" s="269" t="s">
        <v>448</v>
      </c>
    </row>
    <row r="708" spans="1:1" x14ac:dyDescent="0.65">
      <c r="A708" s="269" t="s">
        <v>448</v>
      </c>
    </row>
    <row r="709" spans="1:1" x14ac:dyDescent="0.65">
      <c r="A709" s="269" t="s">
        <v>448</v>
      </c>
    </row>
    <row r="710" spans="1:1" x14ac:dyDescent="0.65">
      <c r="A710" s="269" t="s">
        <v>448</v>
      </c>
    </row>
    <row r="711" spans="1:1" x14ac:dyDescent="0.65">
      <c r="A711" s="269" t="s">
        <v>448</v>
      </c>
    </row>
    <row r="712" spans="1:1" x14ac:dyDescent="0.65">
      <c r="A712" s="269" t="s">
        <v>448</v>
      </c>
    </row>
    <row r="713" spans="1:1" x14ac:dyDescent="0.65">
      <c r="A713" s="269" t="s">
        <v>448</v>
      </c>
    </row>
    <row r="714" spans="1:1" x14ac:dyDescent="0.65">
      <c r="A714" s="269" t="s">
        <v>448</v>
      </c>
    </row>
    <row r="715" spans="1:1" x14ac:dyDescent="0.65">
      <c r="A715" s="269" t="s">
        <v>448</v>
      </c>
    </row>
    <row r="716" spans="1:1" x14ac:dyDescent="0.65">
      <c r="A716" s="269" t="s">
        <v>448</v>
      </c>
    </row>
    <row r="717" spans="1:1" x14ac:dyDescent="0.65">
      <c r="A717" s="269" t="s">
        <v>448</v>
      </c>
    </row>
    <row r="718" spans="1:1" x14ac:dyDescent="0.65">
      <c r="A718" s="269" t="s">
        <v>448</v>
      </c>
    </row>
    <row r="719" spans="1:1" x14ac:dyDescent="0.65">
      <c r="A719" s="269" t="s">
        <v>448</v>
      </c>
    </row>
    <row r="720" spans="1:1" x14ac:dyDescent="0.65">
      <c r="A720" s="269" t="s">
        <v>448</v>
      </c>
    </row>
    <row r="721" spans="1:1" x14ac:dyDescent="0.65">
      <c r="A721" s="269" t="s">
        <v>448</v>
      </c>
    </row>
    <row r="722" spans="1:1" x14ac:dyDescent="0.65">
      <c r="A722" s="269" t="s">
        <v>448</v>
      </c>
    </row>
    <row r="723" spans="1:1" x14ac:dyDescent="0.65">
      <c r="A723" s="269" t="s">
        <v>448</v>
      </c>
    </row>
    <row r="724" spans="1:1" x14ac:dyDescent="0.65">
      <c r="A724" s="269" t="s">
        <v>448</v>
      </c>
    </row>
    <row r="725" spans="1:1" x14ac:dyDescent="0.65">
      <c r="A725" s="269" t="s">
        <v>448</v>
      </c>
    </row>
    <row r="726" spans="1:1" x14ac:dyDescent="0.65">
      <c r="A726" s="269" t="s">
        <v>448</v>
      </c>
    </row>
    <row r="727" spans="1:1" x14ac:dyDescent="0.65">
      <c r="A727" s="269" t="s">
        <v>448</v>
      </c>
    </row>
    <row r="728" spans="1:1" x14ac:dyDescent="0.65">
      <c r="A728" s="269" t="s">
        <v>448</v>
      </c>
    </row>
    <row r="729" spans="1:1" x14ac:dyDescent="0.65">
      <c r="A729" s="269" t="s">
        <v>448</v>
      </c>
    </row>
    <row r="730" spans="1:1" x14ac:dyDescent="0.65">
      <c r="A730" s="269" t="s">
        <v>448</v>
      </c>
    </row>
    <row r="731" spans="1:1" x14ac:dyDescent="0.65">
      <c r="A731" s="269" t="s">
        <v>448</v>
      </c>
    </row>
    <row r="732" spans="1:1" x14ac:dyDescent="0.65">
      <c r="A732" s="269" t="s">
        <v>448</v>
      </c>
    </row>
    <row r="733" spans="1:1" x14ac:dyDescent="0.65">
      <c r="A733" s="269" t="s">
        <v>448</v>
      </c>
    </row>
    <row r="734" spans="1:1" x14ac:dyDescent="0.65">
      <c r="A734" s="269" t="s">
        <v>448</v>
      </c>
    </row>
    <row r="735" spans="1:1" x14ac:dyDescent="0.65">
      <c r="A735" s="269" t="s">
        <v>448</v>
      </c>
    </row>
    <row r="736" spans="1:1" x14ac:dyDescent="0.65">
      <c r="A736" s="269" t="s">
        <v>448</v>
      </c>
    </row>
    <row r="737" spans="1:1" x14ac:dyDescent="0.65">
      <c r="A737" s="269" t="s">
        <v>448</v>
      </c>
    </row>
    <row r="738" spans="1:1" x14ac:dyDescent="0.65">
      <c r="A738" s="269" t="s">
        <v>448</v>
      </c>
    </row>
    <row r="739" spans="1:1" x14ac:dyDescent="0.65">
      <c r="A739" s="269" t="s">
        <v>448</v>
      </c>
    </row>
    <row r="740" spans="1:1" x14ac:dyDescent="0.65">
      <c r="A740" s="269" t="s">
        <v>448</v>
      </c>
    </row>
    <row r="741" spans="1:1" x14ac:dyDescent="0.65">
      <c r="A741" s="269" t="s">
        <v>448</v>
      </c>
    </row>
    <row r="742" spans="1:1" x14ac:dyDescent="0.65">
      <c r="A742" s="269" t="s">
        <v>448</v>
      </c>
    </row>
    <row r="743" spans="1:1" x14ac:dyDescent="0.65">
      <c r="A743" s="269" t="s">
        <v>448</v>
      </c>
    </row>
    <row r="744" spans="1:1" x14ac:dyDescent="0.65">
      <c r="A744" s="269" t="s">
        <v>448</v>
      </c>
    </row>
    <row r="745" spans="1:1" x14ac:dyDescent="0.65">
      <c r="A745" s="269" t="s">
        <v>448</v>
      </c>
    </row>
    <row r="746" spans="1:1" x14ac:dyDescent="0.65">
      <c r="A746" s="269" t="s">
        <v>448</v>
      </c>
    </row>
    <row r="747" spans="1:1" x14ac:dyDescent="0.65">
      <c r="A747" s="269" t="s">
        <v>448</v>
      </c>
    </row>
    <row r="748" spans="1:1" x14ac:dyDescent="0.65">
      <c r="A748" s="269" t="s">
        <v>448</v>
      </c>
    </row>
    <row r="749" spans="1:1" x14ac:dyDescent="0.65">
      <c r="A749" s="269" t="s">
        <v>448</v>
      </c>
    </row>
    <row r="750" spans="1:1" x14ac:dyDescent="0.65">
      <c r="A750" s="269" t="s">
        <v>448</v>
      </c>
    </row>
    <row r="751" spans="1:1" x14ac:dyDescent="0.65">
      <c r="A751" s="269" t="s">
        <v>448</v>
      </c>
    </row>
    <row r="752" spans="1:1" x14ac:dyDescent="0.65">
      <c r="A752" s="269" t="s">
        <v>448</v>
      </c>
    </row>
    <row r="753" spans="1:1" x14ac:dyDescent="0.65">
      <c r="A753" s="269" t="s">
        <v>448</v>
      </c>
    </row>
    <row r="754" spans="1:1" x14ac:dyDescent="0.65">
      <c r="A754" s="269" t="s">
        <v>448</v>
      </c>
    </row>
    <row r="755" spans="1:1" x14ac:dyDescent="0.65">
      <c r="A755" s="269" t="s">
        <v>448</v>
      </c>
    </row>
    <row r="756" spans="1:1" x14ac:dyDescent="0.65">
      <c r="A756" s="269" t="s">
        <v>448</v>
      </c>
    </row>
    <row r="757" spans="1:1" x14ac:dyDescent="0.65">
      <c r="A757" s="269" t="s">
        <v>448</v>
      </c>
    </row>
    <row r="758" spans="1:1" x14ac:dyDescent="0.65">
      <c r="A758" s="269" t="s">
        <v>448</v>
      </c>
    </row>
    <row r="759" spans="1:1" x14ac:dyDescent="0.65">
      <c r="A759" s="269" t="s">
        <v>448</v>
      </c>
    </row>
    <row r="760" spans="1:1" x14ac:dyDescent="0.65">
      <c r="A760" s="269" t="s">
        <v>448</v>
      </c>
    </row>
    <row r="761" spans="1:1" x14ac:dyDescent="0.65">
      <c r="A761" s="269" t="s">
        <v>448</v>
      </c>
    </row>
    <row r="762" spans="1:1" x14ac:dyDescent="0.65">
      <c r="A762" s="269" t="s">
        <v>448</v>
      </c>
    </row>
    <row r="763" spans="1:1" x14ac:dyDescent="0.65">
      <c r="A763" s="269" t="s">
        <v>448</v>
      </c>
    </row>
    <row r="764" spans="1:1" x14ac:dyDescent="0.65">
      <c r="A764" s="269" t="s">
        <v>448</v>
      </c>
    </row>
    <row r="765" spans="1:1" x14ac:dyDescent="0.65">
      <c r="A765" s="269" t="s">
        <v>448</v>
      </c>
    </row>
    <row r="766" spans="1:1" x14ac:dyDescent="0.65">
      <c r="A766" s="269" t="s">
        <v>448</v>
      </c>
    </row>
    <row r="767" spans="1:1" x14ac:dyDescent="0.65">
      <c r="A767" s="269" t="s">
        <v>448</v>
      </c>
    </row>
    <row r="768" spans="1:1" x14ac:dyDescent="0.65">
      <c r="A768" s="269" t="s">
        <v>448</v>
      </c>
    </row>
    <row r="769" spans="1:1" x14ac:dyDescent="0.65">
      <c r="A769" s="269" t="s">
        <v>448</v>
      </c>
    </row>
    <row r="770" spans="1:1" x14ac:dyDescent="0.65">
      <c r="A770" s="269" t="s">
        <v>448</v>
      </c>
    </row>
    <row r="771" spans="1:1" x14ac:dyDescent="0.65">
      <c r="A771" s="269" t="s">
        <v>448</v>
      </c>
    </row>
    <row r="772" spans="1:1" x14ac:dyDescent="0.65">
      <c r="A772" s="269" t="s">
        <v>448</v>
      </c>
    </row>
    <row r="773" spans="1:1" x14ac:dyDescent="0.65">
      <c r="A773" s="269" t="s">
        <v>448</v>
      </c>
    </row>
    <row r="774" spans="1:1" x14ac:dyDescent="0.65">
      <c r="A774" s="269" t="s">
        <v>448</v>
      </c>
    </row>
    <row r="775" spans="1:1" x14ac:dyDescent="0.65">
      <c r="A775" s="269" t="s">
        <v>448</v>
      </c>
    </row>
    <row r="776" spans="1:1" x14ac:dyDescent="0.65">
      <c r="A776" s="269" t="s">
        <v>448</v>
      </c>
    </row>
    <row r="777" spans="1:1" x14ac:dyDescent="0.65">
      <c r="A777" s="269" t="s">
        <v>448</v>
      </c>
    </row>
    <row r="778" spans="1:1" x14ac:dyDescent="0.65">
      <c r="A778" s="269" t="s">
        <v>448</v>
      </c>
    </row>
    <row r="779" spans="1:1" x14ac:dyDescent="0.65">
      <c r="A779" s="269" t="s">
        <v>448</v>
      </c>
    </row>
    <row r="780" spans="1:1" x14ac:dyDescent="0.65">
      <c r="A780" s="269" t="s">
        <v>448</v>
      </c>
    </row>
    <row r="781" spans="1:1" x14ac:dyDescent="0.65">
      <c r="A781" s="269" t="s">
        <v>448</v>
      </c>
    </row>
    <row r="782" spans="1:1" x14ac:dyDescent="0.65">
      <c r="A782" s="269" t="s">
        <v>448</v>
      </c>
    </row>
    <row r="783" spans="1:1" x14ac:dyDescent="0.65">
      <c r="A783" s="269" t="s">
        <v>448</v>
      </c>
    </row>
    <row r="784" spans="1:1" x14ac:dyDescent="0.65">
      <c r="A784" s="269" t="s">
        <v>448</v>
      </c>
    </row>
    <row r="785" spans="1:1" x14ac:dyDescent="0.65">
      <c r="A785" s="269" t="s">
        <v>448</v>
      </c>
    </row>
    <row r="786" spans="1:1" x14ac:dyDescent="0.65">
      <c r="A786" s="269" t="s">
        <v>448</v>
      </c>
    </row>
    <row r="787" spans="1:1" x14ac:dyDescent="0.65">
      <c r="A787" s="269" t="s">
        <v>448</v>
      </c>
    </row>
    <row r="788" spans="1:1" x14ac:dyDescent="0.65">
      <c r="A788" s="269" t="s">
        <v>448</v>
      </c>
    </row>
    <row r="789" spans="1:1" x14ac:dyDescent="0.65">
      <c r="A789" s="269" t="s">
        <v>448</v>
      </c>
    </row>
    <row r="790" spans="1:1" x14ac:dyDescent="0.65">
      <c r="A790" s="269" t="s">
        <v>448</v>
      </c>
    </row>
    <row r="791" spans="1:1" x14ac:dyDescent="0.65">
      <c r="A791" s="269" t="s">
        <v>448</v>
      </c>
    </row>
    <row r="792" spans="1:1" x14ac:dyDescent="0.65">
      <c r="A792" s="269" t="s">
        <v>448</v>
      </c>
    </row>
    <row r="793" spans="1:1" x14ac:dyDescent="0.65">
      <c r="A793" s="269" t="s">
        <v>448</v>
      </c>
    </row>
    <row r="794" spans="1:1" x14ac:dyDescent="0.65">
      <c r="A794" s="269" t="s">
        <v>448</v>
      </c>
    </row>
    <row r="795" spans="1:1" x14ac:dyDescent="0.65">
      <c r="A795" s="269" t="s">
        <v>448</v>
      </c>
    </row>
    <row r="796" spans="1:1" x14ac:dyDescent="0.65">
      <c r="A796" s="269" t="s">
        <v>448</v>
      </c>
    </row>
    <row r="797" spans="1:1" x14ac:dyDescent="0.65">
      <c r="A797" s="269" t="s">
        <v>448</v>
      </c>
    </row>
    <row r="798" spans="1:1" x14ac:dyDescent="0.65">
      <c r="A798" s="269" t="s">
        <v>448</v>
      </c>
    </row>
    <row r="799" spans="1:1" x14ac:dyDescent="0.65">
      <c r="A799" s="269" t="s">
        <v>448</v>
      </c>
    </row>
    <row r="800" spans="1:1" x14ac:dyDescent="0.65">
      <c r="A800" s="269" t="s">
        <v>448</v>
      </c>
    </row>
    <row r="801" spans="1:1" x14ac:dyDescent="0.65">
      <c r="A801" s="269" t="s">
        <v>448</v>
      </c>
    </row>
    <row r="802" spans="1:1" x14ac:dyDescent="0.65">
      <c r="A802" s="269" t="s">
        <v>448</v>
      </c>
    </row>
    <row r="803" spans="1:1" x14ac:dyDescent="0.65">
      <c r="A803" s="269" t="s">
        <v>448</v>
      </c>
    </row>
    <row r="804" spans="1:1" x14ac:dyDescent="0.65">
      <c r="A804" s="269" t="s">
        <v>448</v>
      </c>
    </row>
    <row r="805" spans="1:1" x14ac:dyDescent="0.65">
      <c r="A805" s="269" t="s">
        <v>448</v>
      </c>
    </row>
    <row r="806" spans="1:1" x14ac:dyDescent="0.65">
      <c r="A806" s="269" t="s">
        <v>448</v>
      </c>
    </row>
    <row r="807" spans="1:1" x14ac:dyDescent="0.65">
      <c r="A807" s="269" t="s">
        <v>448</v>
      </c>
    </row>
    <row r="808" spans="1:1" x14ac:dyDescent="0.65">
      <c r="A808" s="269" t="s">
        <v>448</v>
      </c>
    </row>
    <row r="809" spans="1:1" x14ac:dyDescent="0.65">
      <c r="A809" s="269" t="s">
        <v>448</v>
      </c>
    </row>
    <row r="810" spans="1:1" x14ac:dyDescent="0.65">
      <c r="A810" s="269" t="s">
        <v>448</v>
      </c>
    </row>
    <row r="811" spans="1:1" x14ac:dyDescent="0.65">
      <c r="A811" s="269" t="s">
        <v>448</v>
      </c>
    </row>
    <row r="812" spans="1:1" x14ac:dyDescent="0.65">
      <c r="A812" s="269" t="s">
        <v>448</v>
      </c>
    </row>
    <row r="813" spans="1:1" x14ac:dyDescent="0.65">
      <c r="A813" s="269" t="s">
        <v>448</v>
      </c>
    </row>
    <row r="814" spans="1:1" x14ac:dyDescent="0.65">
      <c r="A814" s="269" t="s">
        <v>448</v>
      </c>
    </row>
    <row r="815" spans="1:1" x14ac:dyDescent="0.65">
      <c r="A815" s="269" t="s">
        <v>448</v>
      </c>
    </row>
    <row r="816" spans="1:1" x14ac:dyDescent="0.65">
      <c r="A816" s="269" t="s">
        <v>448</v>
      </c>
    </row>
    <row r="817" spans="1:1" x14ac:dyDescent="0.65">
      <c r="A817" s="269" t="s">
        <v>448</v>
      </c>
    </row>
    <row r="818" spans="1:1" x14ac:dyDescent="0.65">
      <c r="A818" s="269" t="s">
        <v>448</v>
      </c>
    </row>
    <row r="819" spans="1:1" x14ac:dyDescent="0.65">
      <c r="A819" s="269" t="s">
        <v>448</v>
      </c>
    </row>
    <row r="820" spans="1:1" x14ac:dyDescent="0.65">
      <c r="A820" s="269" t="s">
        <v>448</v>
      </c>
    </row>
    <row r="821" spans="1:1" x14ac:dyDescent="0.65">
      <c r="A821" s="269" t="s">
        <v>448</v>
      </c>
    </row>
    <row r="822" spans="1:1" x14ac:dyDescent="0.65">
      <c r="A822" s="269" t="s">
        <v>448</v>
      </c>
    </row>
    <row r="823" spans="1:1" x14ac:dyDescent="0.65">
      <c r="A823" s="269" t="s">
        <v>448</v>
      </c>
    </row>
    <row r="824" spans="1:1" x14ac:dyDescent="0.65">
      <c r="A824" s="269" t="s">
        <v>448</v>
      </c>
    </row>
    <row r="825" spans="1:1" x14ac:dyDescent="0.65">
      <c r="A825" s="269" t="s">
        <v>448</v>
      </c>
    </row>
    <row r="826" spans="1:1" x14ac:dyDescent="0.65">
      <c r="A826" s="269" t="s">
        <v>448</v>
      </c>
    </row>
    <row r="827" spans="1:1" x14ac:dyDescent="0.65">
      <c r="A827" s="269" t="s">
        <v>448</v>
      </c>
    </row>
    <row r="828" spans="1:1" x14ac:dyDescent="0.65">
      <c r="A828" s="269" t="s">
        <v>448</v>
      </c>
    </row>
    <row r="829" spans="1:1" x14ac:dyDescent="0.65">
      <c r="A829" s="269" t="s">
        <v>448</v>
      </c>
    </row>
    <row r="830" spans="1:1" x14ac:dyDescent="0.65">
      <c r="A830" s="269" t="s">
        <v>448</v>
      </c>
    </row>
    <row r="831" spans="1:1" x14ac:dyDescent="0.65">
      <c r="A831" s="269" t="s">
        <v>448</v>
      </c>
    </row>
    <row r="832" spans="1:1" x14ac:dyDescent="0.65">
      <c r="A832" s="269" t="s">
        <v>448</v>
      </c>
    </row>
    <row r="833" spans="1:1" x14ac:dyDescent="0.65">
      <c r="A833" s="269" t="s">
        <v>448</v>
      </c>
    </row>
    <row r="834" spans="1:1" x14ac:dyDescent="0.65">
      <c r="A834" s="269" t="s">
        <v>448</v>
      </c>
    </row>
    <row r="835" spans="1:1" x14ac:dyDescent="0.65">
      <c r="A835" s="269" t="s">
        <v>448</v>
      </c>
    </row>
    <row r="836" spans="1:1" x14ac:dyDescent="0.65">
      <c r="A836" s="269" t="s">
        <v>448</v>
      </c>
    </row>
    <row r="837" spans="1:1" x14ac:dyDescent="0.65">
      <c r="A837" s="269" t="s">
        <v>448</v>
      </c>
    </row>
    <row r="838" spans="1:1" x14ac:dyDescent="0.65">
      <c r="A838" s="269" t="s">
        <v>448</v>
      </c>
    </row>
    <row r="839" spans="1:1" x14ac:dyDescent="0.65">
      <c r="A839" s="269" t="s">
        <v>448</v>
      </c>
    </row>
    <row r="840" spans="1:1" x14ac:dyDescent="0.65">
      <c r="A840" s="269" t="s">
        <v>448</v>
      </c>
    </row>
    <row r="841" spans="1:1" x14ac:dyDescent="0.65">
      <c r="A841" s="269" t="s">
        <v>448</v>
      </c>
    </row>
    <row r="842" spans="1:1" x14ac:dyDescent="0.65">
      <c r="A842" s="269" t="s">
        <v>448</v>
      </c>
    </row>
    <row r="843" spans="1:1" x14ac:dyDescent="0.65">
      <c r="A843" s="269" t="s">
        <v>448</v>
      </c>
    </row>
    <row r="844" spans="1:1" x14ac:dyDescent="0.65">
      <c r="A844" s="269" t="s">
        <v>448</v>
      </c>
    </row>
    <row r="845" spans="1:1" x14ac:dyDescent="0.65">
      <c r="A845" s="269" t="s">
        <v>448</v>
      </c>
    </row>
    <row r="846" spans="1:1" x14ac:dyDescent="0.65">
      <c r="A846" s="269" t="s">
        <v>448</v>
      </c>
    </row>
    <row r="847" spans="1:1" x14ac:dyDescent="0.65">
      <c r="A847" s="269" t="s">
        <v>448</v>
      </c>
    </row>
    <row r="848" spans="1:1" x14ac:dyDescent="0.65">
      <c r="A848" s="269" t="s">
        <v>448</v>
      </c>
    </row>
    <row r="849" spans="1:1" x14ac:dyDescent="0.65">
      <c r="A849" s="269" t="s">
        <v>448</v>
      </c>
    </row>
    <row r="850" spans="1:1" x14ac:dyDescent="0.65">
      <c r="A850" s="269" t="s">
        <v>448</v>
      </c>
    </row>
    <row r="851" spans="1:1" x14ac:dyDescent="0.65">
      <c r="A851" s="269" t="s">
        <v>448</v>
      </c>
    </row>
    <row r="852" spans="1:1" x14ac:dyDescent="0.65">
      <c r="A852" s="269" t="s">
        <v>448</v>
      </c>
    </row>
    <row r="853" spans="1:1" x14ac:dyDescent="0.65">
      <c r="A853" s="269" t="s">
        <v>448</v>
      </c>
    </row>
    <row r="854" spans="1:1" x14ac:dyDescent="0.65">
      <c r="A854" s="269" t="s">
        <v>448</v>
      </c>
    </row>
    <row r="855" spans="1:1" x14ac:dyDescent="0.65">
      <c r="A855" s="269" t="s">
        <v>448</v>
      </c>
    </row>
    <row r="856" spans="1:1" x14ac:dyDescent="0.65">
      <c r="A856" s="269" t="s">
        <v>448</v>
      </c>
    </row>
    <row r="857" spans="1:1" x14ac:dyDescent="0.65">
      <c r="A857" s="269" t="s">
        <v>448</v>
      </c>
    </row>
    <row r="858" spans="1:1" x14ac:dyDescent="0.65">
      <c r="A858" s="269" t="s">
        <v>448</v>
      </c>
    </row>
    <row r="859" spans="1:1" x14ac:dyDescent="0.65">
      <c r="A859" s="269" t="s">
        <v>448</v>
      </c>
    </row>
    <row r="860" spans="1:1" x14ac:dyDescent="0.65">
      <c r="A860" s="269" t="s">
        <v>448</v>
      </c>
    </row>
    <row r="861" spans="1:1" x14ac:dyDescent="0.65">
      <c r="A861" s="269" t="s">
        <v>448</v>
      </c>
    </row>
    <row r="862" spans="1:1" x14ac:dyDescent="0.65">
      <c r="A862" s="269" t="s">
        <v>448</v>
      </c>
    </row>
    <row r="863" spans="1:1" x14ac:dyDescent="0.65">
      <c r="A863" s="269" t="s">
        <v>448</v>
      </c>
    </row>
    <row r="864" spans="1:1" x14ac:dyDescent="0.65">
      <c r="A864" s="269" t="s">
        <v>448</v>
      </c>
    </row>
    <row r="865" spans="1:1" x14ac:dyDescent="0.65">
      <c r="A865" s="269" t="s">
        <v>448</v>
      </c>
    </row>
    <row r="866" spans="1:1" x14ac:dyDescent="0.65">
      <c r="A866" s="269" t="s">
        <v>448</v>
      </c>
    </row>
    <row r="867" spans="1:1" x14ac:dyDescent="0.65">
      <c r="A867" s="269" t="s">
        <v>448</v>
      </c>
    </row>
    <row r="868" spans="1:1" x14ac:dyDescent="0.65">
      <c r="A868" s="269" t="s">
        <v>448</v>
      </c>
    </row>
    <row r="869" spans="1:1" x14ac:dyDescent="0.65">
      <c r="A869" s="269" t="s">
        <v>448</v>
      </c>
    </row>
    <row r="870" spans="1:1" x14ac:dyDescent="0.65">
      <c r="A870" s="269" t="s">
        <v>448</v>
      </c>
    </row>
    <row r="871" spans="1:1" x14ac:dyDescent="0.65">
      <c r="A871" s="269" t="s">
        <v>448</v>
      </c>
    </row>
    <row r="872" spans="1:1" x14ac:dyDescent="0.65">
      <c r="A872" s="269" t="s">
        <v>448</v>
      </c>
    </row>
    <row r="873" spans="1:1" x14ac:dyDescent="0.65">
      <c r="A873" s="269" t="s">
        <v>448</v>
      </c>
    </row>
    <row r="874" spans="1:1" x14ac:dyDescent="0.65">
      <c r="A874" s="269" t="s">
        <v>448</v>
      </c>
    </row>
    <row r="875" spans="1:1" x14ac:dyDescent="0.65">
      <c r="A875" s="269" t="s">
        <v>448</v>
      </c>
    </row>
    <row r="876" spans="1:1" x14ac:dyDescent="0.65">
      <c r="A876" s="269" t="s">
        <v>448</v>
      </c>
    </row>
    <row r="877" spans="1:1" x14ac:dyDescent="0.65">
      <c r="A877" s="269" t="s">
        <v>448</v>
      </c>
    </row>
    <row r="878" spans="1:1" x14ac:dyDescent="0.65">
      <c r="A878" s="269" t="s">
        <v>448</v>
      </c>
    </row>
    <row r="879" spans="1:1" x14ac:dyDescent="0.65">
      <c r="A879" s="269" t="s">
        <v>448</v>
      </c>
    </row>
    <row r="880" spans="1:1" x14ac:dyDescent="0.65">
      <c r="A880" s="269" t="s">
        <v>448</v>
      </c>
    </row>
    <row r="881" spans="1:1" x14ac:dyDescent="0.65">
      <c r="A881" s="269" t="s">
        <v>448</v>
      </c>
    </row>
    <row r="882" spans="1:1" x14ac:dyDescent="0.65">
      <c r="A882" s="269" t="s">
        <v>448</v>
      </c>
    </row>
    <row r="883" spans="1:1" x14ac:dyDescent="0.65">
      <c r="A883" s="269" t="s">
        <v>448</v>
      </c>
    </row>
    <row r="884" spans="1:1" x14ac:dyDescent="0.65">
      <c r="A884" s="269" t="s">
        <v>448</v>
      </c>
    </row>
    <row r="885" spans="1:1" x14ac:dyDescent="0.65">
      <c r="A885" s="269" t="s">
        <v>448</v>
      </c>
    </row>
    <row r="886" spans="1:1" x14ac:dyDescent="0.65">
      <c r="A886" s="269" t="s">
        <v>448</v>
      </c>
    </row>
    <row r="887" spans="1:1" x14ac:dyDescent="0.65">
      <c r="A887" s="269" t="s">
        <v>448</v>
      </c>
    </row>
    <row r="888" spans="1:1" x14ac:dyDescent="0.65">
      <c r="A888" s="269" t="s">
        <v>448</v>
      </c>
    </row>
    <row r="889" spans="1:1" x14ac:dyDescent="0.65">
      <c r="A889" s="269" t="s">
        <v>448</v>
      </c>
    </row>
    <row r="890" spans="1:1" x14ac:dyDescent="0.65">
      <c r="A890" s="269" t="s">
        <v>448</v>
      </c>
    </row>
    <row r="891" spans="1:1" x14ac:dyDescent="0.65">
      <c r="A891" s="269" t="s">
        <v>448</v>
      </c>
    </row>
    <row r="892" spans="1:1" x14ac:dyDescent="0.65">
      <c r="A892" s="269" t="s">
        <v>448</v>
      </c>
    </row>
    <row r="893" spans="1:1" x14ac:dyDescent="0.65">
      <c r="A893" s="269" t="s">
        <v>448</v>
      </c>
    </row>
    <row r="894" spans="1:1" x14ac:dyDescent="0.65">
      <c r="A894" s="269" t="s">
        <v>448</v>
      </c>
    </row>
    <row r="895" spans="1:1" x14ac:dyDescent="0.65">
      <c r="A895" s="269" t="s">
        <v>448</v>
      </c>
    </row>
    <row r="896" spans="1:1" x14ac:dyDescent="0.65">
      <c r="A896" s="269" t="s">
        <v>448</v>
      </c>
    </row>
    <row r="897" spans="1:1" x14ac:dyDescent="0.65">
      <c r="A897" s="269" t="s">
        <v>448</v>
      </c>
    </row>
    <row r="898" spans="1:1" x14ac:dyDescent="0.65">
      <c r="A898" s="269" t="s">
        <v>448</v>
      </c>
    </row>
    <row r="899" spans="1:1" x14ac:dyDescent="0.65">
      <c r="A899" s="269" t="s">
        <v>448</v>
      </c>
    </row>
    <row r="900" spans="1:1" x14ac:dyDescent="0.65">
      <c r="A900" s="269" t="s">
        <v>448</v>
      </c>
    </row>
    <row r="901" spans="1:1" x14ac:dyDescent="0.65">
      <c r="A901" s="269" t="s">
        <v>448</v>
      </c>
    </row>
    <row r="902" spans="1:1" x14ac:dyDescent="0.65">
      <c r="A902" s="269" t="s">
        <v>448</v>
      </c>
    </row>
    <row r="903" spans="1:1" x14ac:dyDescent="0.65">
      <c r="A903" s="269" t="s">
        <v>448</v>
      </c>
    </row>
    <row r="904" spans="1:1" x14ac:dyDescent="0.65">
      <c r="A904" s="269" t="s">
        <v>448</v>
      </c>
    </row>
    <row r="905" spans="1:1" x14ac:dyDescent="0.65">
      <c r="A905" s="269" t="s">
        <v>448</v>
      </c>
    </row>
    <row r="906" spans="1:1" x14ac:dyDescent="0.65">
      <c r="A906" s="269" t="s">
        <v>448</v>
      </c>
    </row>
    <row r="907" spans="1:1" x14ac:dyDescent="0.65">
      <c r="A907" s="269" t="s">
        <v>448</v>
      </c>
    </row>
    <row r="908" spans="1:1" x14ac:dyDescent="0.65">
      <c r="A908" s="269" t="s">
        <v>448</v>
      </c>
    </row>
    <row r="909" spans="1:1" x14ac:dyDescent="0.65">
      <c r="A909" s="269" t="s">
        <v>448</v>
      </c>
    </row>
    <row r="910" spans="1:1" x14ac:dyDescent="0.65">
      <c r="A910" s="269" t="s">
        <v>448</v>
      </c>
    </row>
    <row r="911" spans="1:1" x14ac:dyDescent="0.65">
      <c r="A911" s="269" t="s">
        <v>448</v>
      </c>
    </row>
    <row r="912" spans="1:1" x14ac:dyDescent="0.65">
      <c r="A912" s="269" t="s">
        <v>448</v>
      </c>
    </row>
    <row r="913" spans="1:1" x14ac:dyDescent="0.65">
      <c r="A913" s="269" t="s">
        <v>448</v>
      </c>
    </row>
    <row r="914" spans="1:1" x14ac:dyDescent="0.65">
      <c r="A914" s="269" t="s">
        <v>448</v>
      </c>
    </row>
    <row r="915" spans="1:1" x14ac:dyDescent="0.65">
      <c r="A915" s="269" t="s">
        <v>448</v>
      </c>
    </row>
    <row r="916" spans="1:1" x14ac:dyDescent="0.65">
      <c r="A916" s="269" t="s">
        <v>448</v>
      </c>
    </row>
    <row r="917" spans="1:1" x14ac:dyDescent="0.65">
      <c r="A917" s="269" t="s">
        <v>448</v>
      </c>
    </row>
    <row r="918" spans="1:1" x14ac:dyDescent="0.65">
      <c r="A918" s="269" t="s">
        <v>448</v>
      </c>
    </row>
    <row r="919" spans="1:1" x14ac:dyDescent="0.65">
      <c r="A919" s="269" t="s">
        <v>448</v>
      </c>
    </row>
    <row r="920" spans="1:1" x14ac:dyDescent="0.65">
      <c r="A920" s="269" t="s">
        <v>448</v>
      </c>
    </row>
    <row r="921" spans="1:1" x14ac:dyDescent="0.65">
      <c r="A921" s="269" t="s">
        <v>448</v>
      </c>
    </row>
    <row r="922" spans="1:1" x14ac:dyDescent="0.65">
      <c r="A922" s="269" t="s">
        <v>448</v>
      </c>
    </row>
    <row r="923" spans="1:1" x14ac:dyDescent="0.65">
      <c r="A923" s="269" t="s">
        <v>448</v>
      </c>
    </row>
    <row r="924" spans="1:1" x14ac:dyDescent="0.65">
      <c r="A924" s="269" t="s">
        <v>448</v>
      </c>
    </row>
    <row r="925" spans="1:1" x14ac:dyDescent="0.65">
      <c r="A925" s="269" t="s">
        <v>448</v>
      </c>
    </row>
    <row r="926" spans="1:1" x14ac:dyDescent="0.65">
      <c r="A926" s="269" t="s">
        <v>448</v>
      </c>
    </row>
    <row r="927" spans="1:1" x14ac:dyDescent="0.65">
      <c r="A927" s="269" t="s">
        <v>448</v>
      </c>
    </row>
    <row r="928" spans="1:1" x14ac:dyDescent="0.65">
      <c r="A928" s="269" t="s">
        <v>448</v>
      </c>
    </row>
    <row r="929" spans="1:1" x14ac:dyDescent="0.65">
      <c r="A929" s="269" t="s">
        <v>448</v>
      </c>
    </row>
    <row r="930" spans="1:1" x14ac:dyDescent="0.65">
      <c r="A930" s="269" t="s">
        <v>448</v>
      </c>
    </row>
    <row r="931" spans="1:1" x14ac:dyDescent="0.65">
      <c r="A931" s="269" t="s">
        <v>448</v>
      </c>
    </row>
    <row r="932" spans="1:1" x14ac:dyDescent="0.65">
      <c r="A932" s="269" t="s">
        <v>448</v>
      </c>
    </row>
    <row r="933" spans="1:1" x14ac:dyDescent="0.65">
      <c r="A933" s="269" t="s">
        <v>448</v>
      </c>
    </row>
    <row r="934" spans="1:1" x14ac:dyDescent="0.65">
      <c r="A934" s="269" t="s">
        <v>448</v>
      </c>
    </row>
    <row r="935" spans="1:1" x14ac:dyDescent="0.65">
      <c r="A935" s="269" t="s">
        <v>448</v>
      </c>
    </row>
    <row r="936" spans="1:1" x14ac:dyDescent="0.65">
      <c r="A936" s="269" t="s">
        <v>448</v>
      </c>
    </row>
    <row r="937" spans="1:1" x14ac:dyDescent="0.65">
      <c r="A937" s="269" t="s">
        <v>448</v>
      </c>
    </row>
    <row r="938" spans="1:1" x14ac:dyDescent="0.65">
      <c r="A938" s="269" t="s">
        <v>448</v>
      </c>
    </row>
    <row r="939" spans="1:1" x14ac:dyDescent="0.65">
      <c r="A939" s="269" t="s">
        <v>448</v>
      </c>
    </row>
    <row r="940" spans="1:1" x14ac:dyDescent="0.65">
      <c r="A940" s="269" t="s">
        <v>448</v>
      </c>
    </row>
    <row r="941" spans="1:1" x14ac:dyDescent="0.65">
      <c r="A941" s="269" t="s">
        <v>448</v>
      </c>
    </row>
    <row r="942" spans="1:1" x14ac:dyDescent="0.65">
      <c r="A942" s="269" t="s">
        <v>448</v>
      </c>
    </row>
    <row r="943" spans="1:1" x14ac:dyDescent="0.65">
      <c r="A943" s="269" t="s">
        <v>448</v>
      </c>
    </row>
    <row r="944" spans="1:1" x14ac:dyDescent="0.65">
      <c r="A944" s="269" t="s">
        <v>448</v>
      </c>
    </row>
    <row r="945" spans="1:1" x14ac:dyDescent="0.65">
      <c r="A945" s="269" t="s">
        <v>448</v>
      </c>
    </row>
    <row r="946" spans="1:1" x14ac:dyDescent="0.65">
      <c r="A946" s="269" t="s">
        <v>448</v>
      </c>
    </row>
    <row r="947" spans="1:1" x14ac:dyDescent="0.65">
      <c r="A947" s="269" t="s">
        <v>448</v>
      </c>
    </row>
    <row r="948" spans="1:1" x14ac:dyDescent="0.65">
      <c r="A948" s="269" t="s">
        <v>448</v>
      </c>
    </row>
    <row r="949" spans="1:1" x14ac:dyDescent="0.65">
      <c r="A949" s="269" t="s">
        <v>448</v>
      </c>
    </row>
    <row r="950" spans="1:1" x14ac:dyDescent="0.65">
      <c r="A950" s="269" t="s">
        <v>448</v>
      </c>
    </row>
    <row r="951" spans="1:1" x14ac:dyDescent="0.65">
      <c r="A951" s="269" t="s">
        <v>448</v>
      </c>
    </row>
    <row r="952" spans="1:1" x14ac:dyDescent="0.65">
      <c r="A952" s="269" t="s">
        <v>448</v>
      </c>
    </row>
    <row r="953" spans="1:1" x14ac:dyDescent="0.65">
      <c r="A953" s="269" t="s">
        <v>448</v>
      </c>
    </row>
    <row r="954" spans="1:1" x14ac:dyDescent="0.65">
      <c r="A954" s="269" t="s">
        <v>448</v>
      </c>
    </row>
    <row r="955" spans="1:1" x14ac:dyDescent="0.65">
      <c r="A955" s="269" t="s">
        <v>448</v>
      </c>
    </row>
    <row r="956" spans="1:1" x14ac:dyDescent="0.65">
      <c r="A956" s="269" t="s">
        <v>448</v>
      </c>
    </row>
    <row r="957" spans="1:1" x14ac:dyDescent="0.65">
      <c r="A957" s="269" t="s">
        <v>448</v>
      </c>
    </row>
    <row r="958" spans="1:1" x14ac:dyDescent="0.65">
      <c r="A958" s="269" t="s">
        <v>448</v>
      </c>
    </row>
    <row r="959" spans="1:1" x14ac:dyDescent="0.65">
      <c r="A959" s="269" t="s">
        <v>448</v>
      </c>
    </row>
    <row r="960" spans="1:1" x14ac:dyDescent="0.65">
      <c r="A960" s="269" t="s">
        <v>448</v>
      </c>
    </row>
    <row r="961" spans="1:1" x14ac:dyDescent="0.65">
      <c r="A961" s="269" t="s">
        <v>448</v>
      </c>
    </row>
    <row r="962" spans="1:1" x14ac:dyDescent="0.65">
      <c r="A962" s="269" t="s">
        <v>448</v>
      </c>
    </row>
    <row r="963" spans="1:1" x14ac:dyDescent="0.65">
      <c r="A963" s="269" t="s">
        <v>448</v>
      </c>
    </row>
    <row r="964" spans="1:1" x14ac:dyDescent="0.65">
      <c r="A964" s="269" t="s">
        <v>448</v>
      </c>
    </row>
    <row r="965" spans="1:1" x14ac:dyDescent="0.65">
      <c r="A965" s="269" t="s">
        <v>448</v>
      </c>
    </row>
    <row r="966" spans="1:1" x14ac:dyDescent="0.65">
      <c r="A966" s="269" t="s">
        <v>448</v>
      </c>
    </row>
    <row r="967" spans="1:1" x14ac:dyDescent="0.65">
      <c r="A967" s="269" t="s">
        <v>448</v>
      </c>
    </row>
    <row r="968" spans="1:1" x14ac:dyDescent="0.65">
      <c r="A968" s="269" t="s">
        <v>448</v>
      </c>
    </row>
    <row r="969" spans="1:1" x14ac:dyDescent="0.65">
      <c r="A969" s="269" t="s">
        <v>448</v>
      </c>
    </row>
    <row r="970" spans="1:1" x14ac:dyDescent="0.65">
      <c r="A970" s="269" t="s">
        <v>448</v>
      </c>
    </row>
    <row r="971" spans="1:1" x14ac:dyDescent="0.65">
      <c r="A971" s="269" t="s">
        <v>448</v>
      </c>
    </row>
    <row r="972" spans="1:1" x14ac:dyDescent="0.65">
      <c r="A972" s="269" t="s">
        <v>448</v>
      </c>
    </row>
    <row r="973" spans="1:1" x14ac:dyDescent="0.65">
      <c r="A973" s="269" t="s">
        <v>448</v>
      </c>
    </row>
    <row r="974" spans="1:1" x14ac:dyDescent="0.65">
      <c r="A974" s="269" t="s">
        <v>448</v>
      </c>
    </row>
    <row r="975" spans="1:1" x14ac:dyDescent="0.65">
      <c r="A975" s="269" t="s">
        <v>448</v>
      </c>
    </row>
    <row r="976" spans="1:1" x14ac:dyDescent="0.65">
      <c r="A976" s="269" t="s">
        <v>448</v>
      </c>
    </row>
    <row r="977" spans="1:1" x14ac:dyDescent="0.65">
      <c r="A977" s="269" t="s">
        <v>448</v>
      </c>
    </row>
    <row r="978" spans="1:1" x14ac:dyDescent="0.65">
      <c r="A978" s="269" t="s">
        <v>448</v>
      </c>
    </row>
    <row r="979" spans="1:1" x14ac:dyDescent="0.65">
      <c r="A979" s="269" t="s">
        <v>448</v>
      </c>
    </row>
    <row r="980" spans="1:1" x14ac:dyDescent="0.65">
      <c r="A980" s="269" t="s">
        <v>448</v>
      </c>
    </row>
    <row r="981" spans="1:1" x14ac:dyDescent="0.65">
      <c r="A981" s="269" t="s">
        <v>448</v>
      </c>
    </row>
    <row r="982" spans="1:1" x14ac:dyDescent="0.65">
      <c r="A982" s="269" t="s">
        <v>448</v>
      </c>
    </row>
    <row r="983" spans="1:1" x14ac:dyDescent="0.65">
      <c r="A983" s="269" t="s">
        <v>448</v>
      </c>
    </row>
    <row r="984" spans="1:1" x14ac:dyDescent="0.65">
      <c r="A984" s="269" t="s">
        <v>448</v>
      </c>
    </row>
    <row r="985" spans="1:1" x14ac:dyDescent="0.65">
      <c r="A985" s="269" t="s">
        <v>448</v>
      </c>
    </row>
    <row r="986" spans="1:1" x14ac:dyDescent="0.65">
      <c r="A986" s="269" t="s">
        <v>448</v>
      </c>
    </row>
    <row r="987" spans="1:1" x14ac:dyDescent="0.65">
      <c r="A987" s="269" t="s">
        <v>448</v>
      </c>
    </row>
    <row r="988" spans="1:1" x14ac:dyDescent="0.65">
      <c r="A988" s="269" t="s">
        <v>448</v>
      </c>
    </row>
    <row r="989" spans="1:1" x14ac:dyDescent="0.65">
      <c r="A989" s="269" t="s">
        <v>448</v>
      </c>
    </row>
    <row r="990" spans="1:1" x14ac:dyDescent="0.65">
      <c r="A990" s="269" t="s">
        <v>448</v>
      </c>
    </row>
    <row r="991" spans="1:1" x14ac:dyDescent="0.65">
      <c r="A991" s="269" t="s">
        <v>448</v>
      </c>
    </row>
    <row r="992" spans="1:1" x14ac:dyDescent="0.65">
      <c r="A992" s="269" t="s">
        <v>448</v>
      </c>
    </row>
    <row r="993" spans="1:1" x14ac:dyDescent="0.65">
      <c r="A993" s="269" t="s">
        <v>448</v>
      </c>
    </row>
    <row r="994" spans="1:1" x14ac:dyDescent="0.65">
      <c r="A994" s="269" t="s">
        <v>448</v>
      </c>
    </row>
    <row r="995" spans="1:1" x14ac:dyDescent="0.65">
      <c r="A995" s="269" t="s">
        <v>448</v>
      </c>
    </row>
    <row r="996" spans="1:1" x14ac:dyDescent="0.65">
      <c r="A996" s="269" t="s">
        <v>448</v>
      </c>
    </row>
    <row r="997" spans="1:1" x14ac:dyDescent="0.65">
      <c r="A997" s="269" t="s">
        <v>448</v>
      </c>
    </row>
    <row r="998" spans="1:1" x14ac:dyDescent="0.65">
      <c r="A998" s="269" t="s">
        <v>448</v>
      </c>
    </row>
    <row r="999" spans="1:1" x14ac:dyDescent="0.65">
      <c r="A999" s="269" t="s">
        <v>448</v>
      </c>
    </row>
    <row r="1000" spans="1:1" x14ac:dyDescent="0.65">
      <c r="A1000" s="269" t="s">
        <v>448</v>
      </c>
    </row>
    <row r="1001" spans="1:1" x14ac:dyDescent="0.65">
      <c r="A1001" s="269" t="s">
        <v>448</v>
      </c>
    </row>
    <row r="1002" spans="1:1" x14ac:dyDescent="0.65">
      <c r="A1002" s="269" t="s">
        <v>448</v>
      </c>
    </row>
    <row r="1003" spans="1:1" x14ac:dyDescent="0.65">
      <c r="A1003" s="269" t="s">
        <v>448</v>
      </c>
    </row>
    <row r="1004" spans="1:1" x14ac:dyDescent="0.65">
      <c r="A1004" s="269" t="s">
        <v>448</v>
      </c>
    </row>
    <row r="1005" spans="1:1" x14ac:dyDescent="0.65">
      <c r="A1005" s="269" t="s">
        <v>448</v>
      </c>
    </row>
    <row r="1006" spans="1:1" x14ac:dyDescent="0.65">
      <c r="A1006" s="269" t="s">
        <v>448</v>
      </c>
    </row>
    <row r="1007" spans="1:1" x14ac:dyDescent="0.65">
      <c r="A1007" s="269" t="s">
        <v>448</v>
      </c>
    </row>
    <row r="1008" spans="1:1" x14ac:dyDescent="0.65">
      <c r="A1008" s="269" t="s">
        <v>448</v>
      </c>
    </row>
    <row r="1009" spans="1:1" x14ac:dyDescent="0.65">
      <c r="A1009" s="269" t="s">
        <v>448</v>
      </c>
    </row>
    <row r="1010" spans="1:1" x14ac:dyDescent="0.65">
      <c r="A1010" s="269" t="s">
        <v>448</v>
      </c>
    </row>
    <row r="1011" spans="1:1" x14ac:dyDescent="0.65">
      <c r="A1011" s="269" t="s">
        <v>448</v>
      </c>
    </row>
    <row r="1012" spans="1:1" x14ac:dyDescent="0.65">
      <c r="A1012" s="269" t="s">
        <v>448</v>
      </c>
    </row>
    <row r="1013" spans="1:1" x14ac:dyDescent="0.65">
      <c r="A1013" s="269" t="s">
        <v>448</v>
      </c>
    </row>
    <row r="1014" spans="1:1" x14ac:dyDescent="0.65">
      <c r="A1014" s="269" t="s">
        <v>448</v>
      </c>
    </row>
    <row r="1015" spans="1:1" x14ac:dyDescent="0.65">
      <c r="A1015" s="269" t="s">
        <v>448</v>
      </c>
    </row>
    <row r="1016" spans="1:1" x14ac:dyDescent="0.65">
      <c r="A1016" s="269" t="s">
        <v>448</v>
      </c>
    </row>
    <row r="1017" spans="1:1" x14ac:dyDescent="0.65">
      <c r="A1017" s="269" t="s">
        <v>448</v>
      </c>
    </row>
    <row r="1018" spans="1:1" x14ac:dyDescent="0.65">
      <c r="A1018" s="269" t="s">
        <v>448</v>
      </c>
    </row>
    <row r="1019" spans="1:1" x14ac:dyDescent="0.65">
      <c r="A1019" s="269" t="s">
        <v>448</v>
      </c>
    </row>
    <row r="1020" spans="1:1" x14ac:dyDescent="0.65">
      <c r="A1020" s="269" t="s">
        <v>448</v>
      </c>
    </row>
    <row r="1021" spans="1:1" x14ac:dyDescent="0.65">
      <c r="A1021" s="269" t="s">
        <v>448</v>
      </c>
    </row>
    <row r="1022" spans="1:1" x14ac:dyDescent="0.65">
      <c r="A1022" s="269" t="s">
        <v>448</v>
      </c>
    </row>
    <row r="1023" spans="1:1" x14ac:dyDescent="0.65">
      <c r="A1023" s="269" t="s">
        <v>448</v>
      </c>
    </row>
    <row r="1024" spans="1:1" x14ac:dyDescent="0.65">
      <c r="A1024" s="269" t="s">
        <v>448</v>
      </c>
    </row>
    <row r="1025" spans="1:1" x14ac:dyDescent="0.65">
      <c r="A1025" s="269" t="s">
        <v>448</v>
      </c>
    </row>
    <row r="1026" spans="1:1" x14ac:dyDescent="0.65">
      <c r="A1026" s="269" t="s">
        <v>448</v>
      </c>
    </row>
    <row r="1027" spans="1:1" x14ac:dyDescent="0.65">
      <c r="A1027" s="269" t="s">
        <v>448</v>
      </c>
    </row>
    <row r="1028" spans="1:1" x14ac:dyDescent="0.65">
      <c r="A1028" s="269" t="s">
        <v>448</v>
      </c>
    </row>
    <row r="1029" spans="1:1" x14ac:dyDescent="0.65">
      <c r="A1029" s="269" t="s">
        <v>448</v>
      </c>
    </row>
    <row r="1030" spans="1:1" x14ac:dyDescent="0.65">
      <c r="A1030" s="269" t="s">
        <v>448</v>
      </c>
    </row>
    <row r="1031" spans="1:1" x14ac:dyDescent="0.65">
      <c r="A1031" s="269" t="s">
        <v>448</v>
      </c>
    </row>
    <row r="1032" spans="1:1" x14ac:dyDescent="0.65">
      <c r="A1032" s="269" t="s">
        <v>448</v>
      </c>
    </row>
    <row r="1033" spans="1:1" x14ac:dyDescent="0.65">
      <c r="A1033" s="269" t="s">
        <v>448</v>
      </c>
    </row>
    <row r="1034" spans="1:1" x14ac:dyDescent="0.65">
      <c r="A1034" s="269" t="s">
        <v>448</v>
      </c>
    </row>
    <row r="1035" spans="1:1" x14ac:dyDescent="0.65">
      <c r="A1035" s="269" t="s">
        <v>448</v>
      </c>
    </row>
    <row r="1036" spans="1:1" x14ac:dyDescent="0.65">
      <c r="A1036" s="269" t="s">
        <v>448</v>
      </c>
    </row>
    <row r="1037" spans="1:1" x14ac:dyDescent="0.65">
      <c r="A1037" s="269" t="s">
        <v>448</v>
      </c>
    </row>
    <row r="1038" spans="1:1" x14ac:dyDescent="0.65">
      <c r="A1038" s="269" t="s">
        <v>448</v>
      </c>
    </row>
    <row r="1039" spans="1:1" x14ac:dyDescent="0.65">
      <c r="A1039" s="269" t="s">
        <v>448</v>
      </c>
    </row>
    <row r="1040" spans="1:1" x14ac:dyDescent="0.65">
      <c r="A1040" s="269" t="s">
        <v>448</v>
      </c>
    </row>
    <row r="1041" spans="1:1" x14ac:dyDescent="0.65">
      <c r="A1041" s="269" t="s">
        <v>448</v>
      </c>
    </row>
    <row r="1042" spans="1:1" x14ac:dyDescent="0.65">
      <c r="A1042" s="269" t="s">
        <v>448</v>
      </c>
    </row>
    <row r="1043" spans="1:1" x14ac:dyDescent="0.65">
      <c r="A1043" s="269" t="s">
        <v>448</v>
      </c>
    </row>
    <row r="1044" spans="1:1" x14ac:dyDescent="0.65">
      <c r="A1044" s="269" t="s">
        <v>448</v>
      </c>
    </row>
    <row r="1045" spans="1:1" x14ac:dyDescent="0.65">
      <c r="A1045" s="269" t="s">
        <v>448</v>
      </c>
    </row>
    <row r="1046" spans="1:1" x14ac:dyDescent="0.65">
      <c r="A1046" s="269" t="s">
        <v>448</v>
      </c>
    </row>
    <row r="1047" spans="1:1" x14ac:dyDescent="0.65">
      <c r="A1047" s="269" t="s">
        <v>448</v>
      </c>
    </row>
    <row r="1048" spans="1:1" x14ac:dyDescent="0.65">
      <c r="A1048" s="269" t="s">
        <v>448</v>
      </c>
    </row>
    <row r="1049" spans="1:1" x14ac:dyDescent="0.65">
      <c r="A1049" s="269" t="s">
        <v>448</v>
      </c>
    </row>
    <row r="1050" spans="1:1" x14ac:dyDescent="0.65">
      <c r="A1050" s="269" t="s">
        <v>448</v>
      </c>
    </row>
    <row r="1051" spans="1:1" x14ac:dyDescent="0.65">
      <c r="A1051" s="269" t="s">
        <v>448</v>
      </c>
    </row>
    <row r="1052" spans="1:1" x14ac:dyDescent="0.65">
      <c r="A1052" s="269" t="s">
        <v>448</v>
      </c>
    </row>
    <row r="1053" spans="1:1" x14ac:dyDescent="0.65">
      <c r="A1053" s="269" t="s">
        <v>448</v>
      </c>
    </row>
    <row r="1054" spans="1:1" x14ac:dyDescent="0.65">
      <c r="A1054" s="269" t="s">
        <v>448</v>
      </c>
    </row>
    <row r="1055" spans="1:1" x14ac:dyDescent="0.65">
      <c r="A1055" s="269" t="s">
        <v>448</v>
      </c>
    </row>
    <row r="1056" spans="1:1" x14ac:dyDescent="0.65">
      <c r="A1056" s="269" t="s">
        <v>448</v>
      </c>
    </row>
    <row r="1057" spans="1:1" x14ac:dyDescent="0.65">
      <c r="A1057" s="269" t="s">
        <v>448</v>
      </c>
    </row>
    <row r="1058" spans="1:1" x14ac:dyDescent="0.65">
      <c r="A1058" s="269" t="s">
        <v>448</v>
      </c>
    </row>
    <row r="1059" spans="1:1" x14ac:dyDescent="0.65">
      <c r="A1059" s="269" t="s">
        <v>448</v>
      </c>
    </row>
    <row r="1060" spans="1:1" x14ac:dyDescent="0.65">
      <c r="A1060" s="269" t="s">
        <v>448</v>
      </c>
    </row>
    <row r="1061" spans="1:1" x14ac:dyDescent="0.65">
      <c r="A1061" s="269" t="s">
        <v>448</v>
      </c>
    </row>
    <row r="1062" spans="1:1" x14ac:dyDescent="0.65">
      <c r="A1062" s="269" t="s">
        <v>448</v>
      </c>
    </row>
    <row r="1063" spans="1:1" x14ac:dyDescent="0.65">
      <c r="A1063" s="269" t="s">
        <v>448</v>
      </c>
    </row>
    <row r="1064" spans="1:1" x14ac:dyDescent="0.65">
      <c r="A1064" s="269" t="s">
        <v>448</v>
      </c>
    </row>
    <row r="1065" spans="1:1" x14ac:dyDescent="0.65">
      <c r="A1065" s="269" t="s">
        <v>448</v>
      </c>
    </row>
    <row r="1066" spans="1:1" x14ac:dyDescent="0.65">
      <c r="A1066" s="269" t="s">
        <v>448</v>
      </c>
    </row>
    <row r="1067" spans="1:1" x14ac:dyDescent="0.65">
      <c r="A1067" s="269" t="s">
        <v>448</v>
      </c>
    </row>
    <row r="1068" spans="1:1" x14ac:dyDescent="0.65">
      <c r="A1068" s="269" t="s">
        <v>448</v>
      </c>
    </row>
    <row r="1069" spans="1:1" x14ac:dyDescent="0.65">
      <c r="A1069" s="269" t="s">
        <v>448</v>
      </c>
    </row>
    <row r="1070" spans="1:1" x14ac:dyDescent="0.65">
      <c r="A1070" s="269" t="s">
        <v>448</v>
      </c>
    </row>
    <row r="1071" spans="1:1" x14ac:dyDescent="0.65">
      <c r="A1071" s="269" t="s">
        <v>448</v>
      </c>
    </row>
    <row r="1072" spans="1:1" x14ac:dyDescent="0.65">
      <c r="A1072" s="269" t="s">
        <v>448</v>
      </c>
    </row>
    <row r="1073" spans="1:1" x14ac:dyDescent="0.65">
      <c r="A1073" s="269" t="s">
        <v>448</v>
      </c>
    </row>
    <row r="1074" spans="1:1" x14ac:dyDescent="0.65">
      <c r="A1074" s="269" t="s">
        <v>448</v>
      </c>
    </row>
    <row r="1075" spans="1:1" x14ac:dyDescent="0.65">
      <c r="A1075" s="269" t="s">
        <v>448</v>
      </c>
    </row>
    <row r="1076" spans="1:1" x14ac:dyDescent="0.65">
      <c r="A1076" s="269" t="s">
        <v>448</v>
      </c>
    </row>
    <row r="1077" spans="1:1" x14ac:dyDescent="0.65">
      <c r="A1077" s="269" t="s">
        <v>448</v>
      </c>
    </row>
    <row r="1078" spans="1:1" x14ac:dyDescent="0.65">
      <c r="A1078" s="269" t="s">
        <v>448</v>
      </c>
    </row>
    <row r="1079" spans="1:1" x14ac:dyDescent="0.65">
      <c r="A1079" s="269" t="s">
        <v>448</v>
      </c>
    </row>
    <row r="1080" spans="1:1" x14ac:dyDescent="0.65">
      <c r="A1080" s="269" t="s">
        <v>448</v>
      </c>
    </row>
    <row r="1081" spans="1:1" x14ac:dyDescent="0.65">
      <c r="A1081" s="269" t="s">
        <v>448</v>
      </c>
    </row>
    <row r="1082" spans="1:1" x14ac:dyDescent="0.65">
      <c r="A1082" s="269" t="s">
        <v>448</v>
      </c>
    </row>
    <row r="1083" spans="1:1" x14ac:dyDescent="0.65">
      <c r="A1083" s="269" t="s">
        <v>448</v>
      </c>
    </row>
    <row r="1084" spans="1:1" x14ac:dyDescent="0.65">
      <c r="A1084" s="269" t="s">
        <v>448</v>
      </c>
    </row>
    <row r="1085" spans="1:1" x14ac:dyDescent="0.65">
      <c r="A1085" s="269" t="s">
        <v>448</v>
      </c>
    </row>
    <row r="1086" spans="1:1" x14ac:dyDescent="0.65">
      <c r="A1086" s="269" t="s">
        <v>448</v>
      </c>
    </row>
    <row r="1087" spans="1:1" x14ac:dyDescent="0.65">
      <c r="A1087" s="269" t="s">
        <v>448</v>
      </c>
    </row>
    <row r="1088" spans="1:1" x14ac:dyDescent="0.65">
      <c r="A1088" s="269" t="s">
        <v>448</v>
      </c>
    </row>
    <row r="1089" spans="1:1" x14ac:dyDescent="0.65">
      <c r="A1089" s="269" t="s">
        <v>448</v>
      </c>
    </row>
    <row r="1090" spans="1:1" x14ac:dyDescent="0.65">
      <c r="A1090" s="269" t="s">
        <v>448</v>
      </c>
    </row>
    <row r="1091" spans="1:1" x14ac:dyDescent="0.65">
      <c r="A1091" s="269" t="s">
        <v>448</v>
      </c>
    </row>
    <row r="1092" spans="1:1" x14ac:dyDescent="0.65">
      <c r="A1092" s="269" t="s">
        <v>448</v>
      </c>
    </row>
    <row r="1093" spans="1:1" x14ac:dyDescent="0.65">
      <c r="A1093" s="269" t="s">
        <v>448</v>
      </c>
    </row>
    <row r="1094" spans="1:1" x14ac:dyDescent="0.65">
      <c r="A1094" s="269" t="s">
        <v>448</v>
      </c>
    </row>
    <row r="1095" spans="1:1" x14ac:dyDescent="0.65">
      <c r="A1095" s="269" t="s">
        <v>448</v>
      </c>
    </row>
    <row r="1096" spans="1:1" x14ac:dyDescent="0.65">
      <c r="A1096" s="269" t="s">
        <v>448</v>
      </c>
    </row>
    <row r="1097" spans="1:1" x14ac:dyDescent="0.65">
      <c r="A1097" s="269" t="s">
        <v>448</v>
      </c>
    </row>
    <row r="1098" spans="1:1" x14ac:dyDescent="0.65">
      <c r="A1098" s="269" t="s">
        <v>448</v>
      </c>
    </row>
    <row r="1099" spans="1:1" x14ac:dyDescent="0.65">
      <c r="A1099" s="269" t="s">
        <v>448</v>
      </c>
    </row>
    <row r="1100" spans="1:1" x14ac:dyDescent="0.65">
      <c r="A1100" s="269" t="s">
        <v>448</v>
      </c>
    </row>
    <row r="1101" spans="1:1" x14ac:dyDescent="0.65">
      <c r="A1101" s="269" t="s">
        <v>448</v>
      </c>
    </row>
    <row r="1102" spans="1:1" x14ac:dyDescent="0.65">
      <c r="A1102" s="269" t="s">
        <v>448</v>
      </c>
    </row>
    <row r="1103" spans="1:1" x14ac:dyDescent="0.65">
      <c r="A1103" s="269" t="s">
        <v>448</v>
      </c>
    </row>
    <row r="1104" spans="1:1" x14ac:dyDescent="0.65">
      <c r="A1104" s="269" t="s">
        <v>448</v>
      </c>
    </row>
    <row r="1105" spans="1:1" x14ac:dyDescent="0.65">
      <c r="A1105" s="269" t="s">
        <v>448</v>
      </c>
    </row>
    <row r="1106" spans="1:1" x14ac:dyDescent="0.65">
      <c r="A1106" s="269" t="s">
        <v>448</v>
      </c>
    </row>
    <row r="1107" spans="1:1" x14ac:dyDescent="0.65">
      <c r="A1107" s="269" t="s">
        <v>448</v>
      </c>
    </row>
    <row r="1108" spans="1:1" x14ac:dyDescent="0.65">
      <c r="A1108" s="269" t="s">
        <v>448</v>
      </c>
    </row>
    <row r="1109" spans="1:1" x14ac:dyDescent="0.65">
      <c r="A1109" s="269" t="s">
        <v>448</v>
      </c>
    </row>
    <row r="1110" spans="1:1" x14ac:dyDescent="0.65">
      <c r="A1110" s="269" t="s">
        <v>448</v>
      </c>
    </row>
    <row r="1111" spans="1:1" x14ac:dyDescent="0.65">
      <c r="A1111" s="269" t="s">
        <v>448</v>
      </c>
    </row>
    <row r="1112" spans="1:1" x14ac:dyDescent="0.65">
      <c r="A1112" s="269" t="s">
        <v>448</v>
      </c>
    </row>
    <row r="1113" spans="1:1" x14ac:dyDescent="0.65">
      <c r="A1113" s="269" t="s">
        <v>448</v>
      </c>
    </row>
    <row r="1114" spans="1:1" x14ac:dyDescent="0.65">
      <c r="A1114" s="269" t="s">
        <v>448</v>
      </c>
    </row>
    <row r="1115" spans="1:1" x14ac:dyDescent="0.65">
      <c r="A1115" s="269" t="s">
        <v>448</v>
      </c>
    </row>
    <row r="1116" spans="1:1" x14ac:dyDescent="0.65">
      <c r="A1116" s="269" t="s">
        <v>448</v>
      </c>
    </row>
    <row r="1117" spans="1:1" x14ac:dyDescent="0.65">
      <c r="A1117" s="269" t="s">
        <v>448</v>
      </c>
    </row>
    <row r="1118" spans="1:1" x14ac:dyDescent="0.65">
      <c r="A1118" s="269" t="s">
        <v>448</v>
      </c>
    </row>
    <row r="1119" spans="1:1" x14ac:dyDescent="0.65">
      <c r="A1119" s="269" t="s">
        <v>448</v>
      </c>
    </row>
    <row r="1120" spans="1:1" x14ac:dyDescent="0.65">
      <c r="A1120" s="269" t="s">
        <v>448</v>
      </c>
    </row>
    <row r="1121" spans="1:1" x14ac:dyDescent="0.65">
      <c r="A1121" s="269" t="s">
        <v>448</v>
      </c>
    </row>
    <row r="1122" spans="1:1" x14ac:dyDescent="0.65">
      <c r="A1122" s="269" t="s">
        <v>448</v>
      </c>
    </row>
    <row r="1123" spans="1:1" x14ac:dyDescent="0.65">
      <c r="A1123" s="269" t="s">
        <v>448</v>
      </c>
    </row>
    <row r="1124" spans="1:1" x14ac:dyDescent="0.65">
      <c r="A1124" s="269" t="s">
        <v>448</v>
      </c>
    </row>
    <row r="1125" spans="1:1" x14ac:dyDescent="0.65">
      <c r="A1125" s="269" t="s">
        <v>448</v>
      </c>
    </row>
    <row r="1126" spans="1:1" x14ac:dyDescent="0.65">
      <c r="A1126" s="269" t="s">
        <v>448</v>
      </c>
    </row>
    <row r="1127" spans="1:1" x14ac:dyDescent="0.65">
      <c r="A1127" s="269" t="s">
        <v>448</v>
      </c>
    </row>
    <row r="1128" spans="1:1" x14ac:dyDescent="0.65">
      <c r="A1128" s="269" t="s">
        <v>448</v>
      </c>
    </row>
    <row r="1129" spans="1:1" x14ac:dyDescent="0.65">
      <c r="A1129" s="269" t="s">
        <v>448</v>
      </c>
    </row>
    <row r="1130" spans="1:1" x14ac:dyDescent="0.65">
      <c r="A1130" s="269" t="s">
        <v>448</v>
      </c>
    </row>
    <row r="1131" spans="1:1" x14ac:dyDescent="0.65">
      <c r="A1131" s="269" t="s">
        <v>448</v>
      </c>
    </row>
    <row r="1132" spans="1:1" x14ac:dyDescent="0.65">
      <c r="A1132" s="269" t="s">
        <v>448</v>
      </c>
    </row>
    <row r="1133" spans="1:1" x14ac:dyDescent="0.65">
      <c r="A1133" s="269" t="s">
        <v>448</v>
      </c>
    </row>
    <row r="1134" spans="1:1" x14ac:dyDescent="0.65">
      <c r="A1134" s="269" t="s">
        <v>448</v>
      </c>
    </row>
    <row r="1135" spans="1:1" x14ac:dyDescent="0.65">
      <c r="A1135" s="269" t="s">
        <v>448</v>
      </c>
    </row>
    <row r="1136" spans="1:1" x14ac:dyDescent="0.65">
      <c r="A1136" s="269" t="s">
        <v>448</v>
      </c>
    </row>
    <row r="1137" spans="1:1" x14ac:dyDescent="0.65">
      <c r="A1137" s="269" t="s">
        <v>448</v>
      </c>
    </row>
    <row r="1138" spans="1:1" x14ac:dyDescent="0.65">
      <c r="A1138" s="269" t="s">
        <v>448</v>
      </c>
    </row>
    <row r="1139" spans="1:1" x14ac:dyDescent="0.65">
      <c r="A1139" s="269" t="s">
        <v>448</v>
      </c>
    </row>
    <row r="1140" spans="1:1" x14ac:dyDescent="0.65">
      <c r="A1140" s="269" t="s">
        <v>448</v>
      </c>
    </row>
    <row r="1141" spans="1:1" x14ac:dyDescent="0.65">
      <c r="A1141" s="269" t="s">
        <v>448</v>
      </c>
    </row>
    <row r="1142" spans="1:1" x14ac:dyDescent="0.65">
      <c r="A1142" s="269" t="s">
        <v>448</v>
      </c>
    </row>
    <row r="1143" spans="1:1" x14ac:dyDescent="0.65">
      <c r="A1143" s="269" t="s">
        <v>448</v>
      </c>
    </row>
    <row r="1144" spans="1:1" x14ac:dyDescent="0.65">
      <c r="A1144" s="269" t="s">
        <v>448</v>
      </c>
    </row>
    <row r="1145" spans="1:1" x14ac:dyDescent="0.65">
      <c r="A1145" s="269" t="s">
        <v>448</v>
      </c>
    </row>
    <row r="1146" spans="1:1" x14ac:dyDescent="0.65">
      <c r="A1146" s="269" t="s">
        <v>448</v>
      </c>
    </row>
    <row r="1147" spans="1:1" x14ac:dyDescent="0.65">
      <c r="A1147" s="269" t="s">
        <v>448</v>
      </c>
    </row>
    <row r="1148" spans="1:1" x14ac:dyDescent="0.65">
      <c r="A1148" s="269" t="s">
        <v>448</v>
      </c>
    </row>
    <row r="1149" spans="1:1" x14ac:dyDescent="0.65">
      <c r="A1149" s="269" t="s">
        <v>448</v>
      </c>
    </row>
    <row r="1150" spans="1:1" x14ac:dyDescent="0.65">
      <c r="A1150" s="269" t="s">
        <v>448</v>
      </c>
    </row>
    <row r="1151" spans="1:1" x14ac:dyDescent="0.65">
      <c r="A1151" s="269" t="s">
        <v>448</v>
      </c>
    </row>
    <row r="1152" spans="1:1" x14ac:dyDescent="0.65">
      <c r="A1152" s="269" t="s">
        <v>448</v>
      </c>
    </row>
    <row r="1153" spans="1:1" x14ac:dyDescent="0.65">
      <c r="A1153" s="269" t="s">
        <v>448</v>
      </c>
    </row>
    <row r="1154" spans="1:1" x14ac:dyDescent="0.65">
      <c r="A1154" s="269" t="s">
        <v>448</v>
      </c>
    </row>
    <row r="1155" spans="1:1" x14ac:dyDescent="0.65">
      <c r="A1155" s="269" t="s">
        <v>448</v>
      </c>
    </row>
    <row r="1156" spans="1:1" x14ac:dyDescent="0.65">
      <c r="A1156" s="269" t="s">
        <v>448</v>
      </c>
    </row>
    <row r="1157" spans="1:1" x14ac:dyDescent="0.65">
      <c r="A1157" s="269" t="s">
        <v>448</v>
      </c>
    </row>
    <row r="1158" spans="1:1" x14ac:dyDescent="0.65">
      <c r="A1158" s="269" t="s">
        <v>448</v>
      </c>
    </row>
    <row r="1159" spans="1:1" x14ac:dyDescent="0.65">
      <c r="A1159" s="269" t="s">
        <v>448</v>
      </c>
    </row>
    <row r="1160" spans="1:1" x14ac:dyDescent="0.65">
      <c r="A1160" s="269" t="s">
        <v>448</v>
      </c>
    </row>
    <row r="1161" spans="1:1" x14ac:dyDescent="0.65">
      <c r="A1161" s="269" t="s">
        <v>448</v>
      </c>
    </row>
    <row r="1162" spans="1:1" x14ac:dyDescent="0.65">
      <c r="A1162" s="269" t="s">
        <v>448</v>
      </c>
    </row>
    <row r="1163" spans="1:1" x14ac:dyDescent="0.65">
      <c r="A1163" s="269" t="s">
        <v>448</v>
      </c>
    </row>
    <row r="1164" spans="1:1" x14ac:dyDescent="0.65">
      <c r="A1164" s="269" t="s">
        <v>448</v>
      </c>
    </row>
    <row r="1165" spans="1:1" x14ac:dyDescent="0.65">
      <c r="A1165" s="269" t="s">
        <v>448</v>
      </c>
    </row>
    <row r="1166" spans="1:1" x14ac:dyDescent="0.65">
      <c r="A1166" s="269" t="s">
        <v>448</v>
      </c>
    </row>
    <row r="1167" spans="1:1" x14ac:dyDescent="0.65">
      <c r="A1167" s="269" t="s">
        <v>448</v>
      </c>
    </row>
    <row r="1168" spans="1:1" x14ac:dyDescent="0.65">
      <c r="A1168" s="269" t="s">
        <v>448</v>
      </c>
    </row>
    <row r="1169" spans="1:1" x14ac:dyDescent="0.65">
      <c r="A1169" s="269" t="s">
        <v>448</v>
      </c>
    </row>
    <row r="1170" spans="1:1" x14ac:dyDescent="0.65">
      <c r="A1170" s="269" t="s">
        <v>448</v>
      </c>
    </row>
    <row r="1171" spans="1:1" x14ac:dyDescent="0.65">
      <c r="A1171" s="269" t="s">
        <v>448</v>
      </c>
    </row>
    <row r="1172" spans="1:1" x14ac:dyDescent="0.65">
      <c r="A1172" s="269" t="s">
        <v>448</v>
      </c>
    </row>
    <row r="1173" spans="1:1" x14ac:dyDescent="0.65">
      <c r="A1173" s="269" t="s">
        <v>448</v>
      </c>
    </row>
    <row r="1174" spans="1:1" x14ac:dyDescent="0.65">
      <c r="A1174" s="269" t="s">
        <v>448</v>
      </c>
    </row>
    <row r="1175" spans="1:1" x14ac:dyDescent="0.65">
      <c r="A1175" s="269" t="s">
        <v>448</v>
      </c>
    </row>
    <row r="1176" spans="1:1" x14ac:dyDescent="0.65">
      <c r="A1176" s="269" t="s">
        <v>448</v>
      </c>
    </row>
    <row r="1177" spans="1:1" x14ac:dyDescent="0.65">
      <c r="A1177" s="269" t="s">
        <v>448</v>
      </c>
    </row>
    <row r="1178" spans="1:1" x14ac:dyDescent="0.65">
      <c r="A1178" s="269" t="s">
        <v>448</v>
      </c>
    </row>
    <row r="1179" spans="1:1" x14ac:dyDescent="0.65">
      <c r="A1179" s="269" t="s">
        <v>448</v>
      </c>
    </row>
    <row r="1180" spans="1:1" x14ac:dyDescent="0.65">
      <c r="A1180" s="269" t="s">
        <v>448</v>
      </c>
    </row>
    <row r="1181" spans="1:1" x14ac:dyDescent="0.65">
      <c r="A1181" s="269" t="s">
        <v>448</v>
      </c>
    </row>
    <row r="1182" spans="1:1" x14ac:dyDescent="0.65">
      <c r="A1182" s="269" t="s">
        <v>448</v>
      </c>
    </row>
    <row r="1183" spans="1:1" x14ac:dyDescent="0.65">
      <c r="A1183" s="269" t="s">
        <v>448</v>
      </c>
    </row>
    <row r="1184" spans="1:1" x14ac:dyDescent="0.65">
      <c r="A1184" s="269" t="s">
        <v>448</v>
      </c>
    </row>
    <row r="1185" spans="1:1" x14ac:dyDescent="0.65">
      <c r="A1185" s="269" t="s">
        <v>448</v>
      </c>
    </row>
    <row r="1186" spans="1:1" x14ac:dyDescent="0.65">
      <c r="A1186" s="269" t="s">
        <v>448</v>
      </c>
    </row>
    <row r="1187" spans="1:1" x14ac:dyDescent="0.65">
      <c r="A1187" s="269" t="s">
        <v>448</v>
      </c>
    </row>
    <row r="1188" spans="1:1" x14ac:dyDescent="0.65">
      <c r="A1188" s="269" t="s">
        <v>448</v>
      </c>
    </row>
    <row r="1189" spans="1:1" x14ac:dyDescent="0.65">
      <c r="A1189" s="269" t="s">
        <v>448</v>
      </c>
    </row>
    <row r="1190" spans="1:1" x14ac:dyDescent="0.65">
      <c r="A1190" s="269" t="s">
        <v>448</v>
      </c>
    </row>
    <row r="1191" spans="1:1" x14ac:dyDescent="0.65">
      <c r="A1191" s="269" t="s">
        <v>448</v>
      </c>
    </row>
    <row r="1192" spans="1:1" x14ac:dyDescent="0.65">
      <c r="A1192" s="269" t="s">
        <v>448</v>
      </c>
    </row>
    <row r="1193" spans="1:1" x14ac:dyDescent="0.65">
      <c r="A1193" s="269" t="s">
        <v>448</v>
      </c>
    </row>
    <row r="1194" spans="1:1" x14ac:dyDescent="0.65">
      <c r="A1194" s="269" t="s">
        <v>448</v>
      </c>
    </row>
    <row r="1195" spans="1:1" x14ac:dyDescent="0.65">
      <c r="A1195" s="269" t="s">
        <v>448</v>
      </c>
    </row>
    <row r="1196" spans="1:1" x14ac:dyDescent="0.65">
      <c r="A1196" s="269" t="s">
        <v>448</v>
      </c>
    </row>
    <row r="1197" spans="1:1" x14ac:dyDescent="0.65">
      <c r="A1197" s="269" t="s">
        <v>448</v>
      </c>
    </row>
    <row r="1198" spans="1:1" x14ac:dyDescent="0.65">
      <c r="A1198" s="269" t="s">
        <v>448</v>
      </c>
    </row>
    <row r="1199" spans="1:1" x14ac:dyDescent="0.65">
      <c r="A1199" s="269" t="s">
        <v>448</v>
      </c>
    </row>
    <row r="1200" spans="1:1" x14ac:dyDescent="0.65">
      <c r="A1200" s="269" t="s">
        <v>448</v>
      </c>
    </row>
    <row r="1201" spans="1:1" x14ac:dyDescent="0.65">
      <c r="A1201" s="269" t="s">
        <v>448</v>
      </c>
    </row>
    <row r="1202" spans="1:1" x14ac:dyDescent="0.65">
      <c r="A1202" s="269" t="s">
        <v>448</v>
      </c>
    </row>
    <row r="1203" spans="1:1" x14ac:dyDescent="0.65">
      <c r="A1203" s="269" t="s">
        <v>448</v>
      </c>
    </row>
  </sheetData>
  <sortState ref="A1:A121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2"/>
  <sheetViews>
    <sheetView topLeftCell="A36" workbookViewId="0">
      <selection activeCell="N19" sqref="N19"/>
    </sheetView>
  </sheetViews>
  <sheetFormatPr baseColWidth="10" defaultColWidth="8.7265625" defaultRowHeight="14.25" x14ac:dyDescent="0.65"/>
  <cols>
    <col min="1" max="1" width="24.40625" bestFit="1" customWidth="1"/>
    <col min="2" max="3" width="10.1328125" bestFit="1" customWidth="1"/>
    <col min="4" max="4" width="12.54296875" bestFit="1" customWidth="1"/>
    <col min="5" max="11" width="10.1328125" bestFit="1" customWidth="1"/>
  </cols>
  <sheetData>
    <row r="1" spans="2:15" s="27" customFormat="1" ht="15.75" thickBot="1" x14ac:dyDescent="0.3">
      <c r="B1" s="332" t="s">
        <v>931</v>
      </c>
      <c r="C1" s="332"/>
      <c r="D1" s="332"/>
      <c r="E1" s="332"/>
      <c r="F1" s="332"/>
      <c r="G1" s="332"/>
      <c r="H1" s="332"/>
      <c r="I1" s="332"/>
      <c r="J1" s="332"/>
      <c r="K1" s="332"/>
    </row>
    <row r="2" spans="2:15" s="27" customFormat="1" ht="15" x14ac:dyDescent="0.25">
      <c r="B2" s="333">
        <v>40544</v>
      </c>
      <c r="C2" s="334"/>
      <c r="D2" s="335">
        <v>40909</v>
      </c>
      <c r="E2" s="335"/>
      <c r="F2" s="334">
        <v>41275</v>
      </c>
      <c r="G2" s="334"/>
      <c r="H2" s="335">
        <v>41640</v>
      </c>
      <c r="I2" s="335"/>
      <c r="J2" s="334">
        <v>42005</v>
      </c>
      <c r="K2" s="336"/>
    </row>
    <row r="3" spans="2:15" s="81" customFormat="1" ht="15" x14ac:dyDescent="0.25">
      <c r="B3" s="77">
        <f>B5</f>
        <v>40551</v>
      </c>
      <c r="C3" s="78">
        <f>C5</f>
        <v>40552</v>
      </c>
      <c r="D3" s="79">
        <f t="shared" ref="D3:K3" si="0">D6</f>
        <v>40922</v>
      </c>
      <c r="E3" s="79">
        <f t="shared" si="0"/>
        <v>40923</v>
      </c>
      <c r="F3" s="78">
        <f t="shared" si="0"/>
        <v>41293</v>
      </c>
      <c r="G3" s="78">
        <f t="shared" si="0"/>
        <v>41294</v>
      </c>
      <c r="H3" s="79">
        <f t="shared" si="0"/>
        <v>41657</v>
      </c>
      <c r="I3" s="79">
        <f t="shared" si="0"/>
        <v>41658</v>
      </c>
      <c r="J3" s="78">
        <f t="shared" si="0"/>
        <v>42021</v>
      </c>
      <c r="K3" s="80">
        <f t="shared" si="0"/>
        <v>42022</v>
      </c>
    </row>
    <row r="4" spans="2:15" ht="15" x14ac:dyDescent="0.25">
      <c r="B4" s="60">
        <v>40544</v>
      </c>
      <c r="C4" s="61">
        <f t="shared" ref="C4:C35" si="1">B4+1</f>
        <v>40545</v>
      </c>
      <c r="D4" s="62"/>
      <c r="E4" s="62">
        <v>40909</v>
      </c>
      <c r="F4" s="61">
        <v>41279</v>
      </c>
      <c r="G4" s="61">
        <f t="shared" ref="G4:G35" si="2">F4+1</f>
        <v>41280</v>
      </c>
      <c r="H4" s="62">
        <v>41643</v>
      </c>
      <c r="I4" s="62">
        <f t="shared" ref="I4:I35" si="3">H4+1</f>
        <v>41644</v>
      </c>
      <c r="J4" s="61">
        <v>42007</v>
      </c>
      <c r="K4" s="63">
        <f t="shared" ref="K4:K35" si="4">J4+1</f>
        <v>42008</v>
      </c>
      <c r="N4" s="26"/>
      <c r="O4" s="26"/>
    </row>
    <row r="5" spans="2:15" ht="15" x14ac:dyDescent="0.25">
      <c r="B5" s="60">
        <f t="shared" ref="B5:B36" si="5">B4+7</f>
        <v>40551</v>
      </c>
      <c r="C5" s="61">
        <f t="shared" si="1"/>
        <v>40552</v>
      </c>
      <c r="D5" s="62">
        <f>E4+6</f>
        <v>40915</v>
      </c>
      <c r="E5" s="62">
        <f t="shared" ref="E5:E36" si="6">D5+1</f>
        <v>40916</v>
      </c>
      <c r="F5" s="61">
        <f t="shared" ref="F5:F36" si="7">F4+7</f>
        <v>41286</v>
      </c>
      <c r="G5" s="61">
        <f t="shared" si="2"/>
        <v>41287</v>
      </c>
      <c r="H5" s="62">
        <f t="shared" ref="H5:H36" si="8">H4+7</f>
        <v>41650</v>
      </c>
      <c r="I5" s="62">
        <f t="shared" si="3"/>
        <v>41651</v>
      </c>
      <c r="J5" s="61">
        <f t="shared" ref="J5:J36" si="9">J4+7</f>
        <v>42014</v>
      </c>
      <c r="K5" s="63">
        <f t="shared" si="4"/>
        <v>42015</v>
      </c>
    </row>
    <row r="6" spans="2:15" ht="15" x14ac:dyDescent="0.25">
      <c r="B6" s="60">
        <f t="shared" si="5"/>
        <v>40558</v>
      </c>
      <c r="C6" s="61">
        <f t="shared" si="1"/>
        <v>40559</v>
      </c>
      <c r="D6" s="62">
        <f t="shared" ref="D6:D37" si="10">D5+7</f>
        <v>40922</v>
      </c>
      <c r="E6" s="62">
        <f t="shared" si="6"/>
        <v>40923</v>
      </c>
      <c r="F6" s="61">
        <f t="shared" si="7"/>
        <v>41293</v>
      </c>
      <c r="G6" s="61">
        <f t="shared" si="2"/>
        <v>41294</v>
      </c>
      <c r="H6" s="62">
        <f t="shared" si="8"/>
        <v>41657</v>
      </c>
      <c r="I6" s="62">
        <f t="shared" si="3"/>
        <v>41658</v>
      </c>
      <c r="J6" s="61">
        <f t="shared" si="9"/>
        <v>42021</v>
      </c>
      <c r="K6" s="63">
        <f t="shared" si="4"/>
        <v>42022</v>
      </c>
    </row>
    <row r="7" spans="2:15" ht="15" x14ac:dyDescent="0.25">
      <c r="B7" s="60">
        <f t="shared" si="5"/>
        <v>40565</v>
      </c>
      <c r="C7" s="61">
        <f t="shared" si="1"/>
        <v>40566</v>
      </c>
      <c r="D7" s="62">
        <f t="shared" si="10"/>
        <v>40929</v>
      </c>
      <c r="E7" s="62">
        <f t="shared" si="6"/>
        <v>40930</v>
      </c>
      <c r="F7" s="61">
        <f t="shared" si="7"/>
        <v>41300</v>
      </c>
      <c r="G7" s="61">
        <f t="shared" si="2"/>
        <v>41301</v>
      </c>
      <c r="H7" s="62">
        <f t="shared" si="8"/>
        <v>41664</v>
      </c>
      <c r="I7" s="62">
        <f t="shared" si="3"/>
        <v>41665</v>
      </c>
      <c r="J7" s="61">
        <f t="shared" si="9"/>
        <v>42028</v>
      </c>
      <c r="K7" s="63">
        <f t="shared" si="4"/>
        <v>42029</v>
      </c>
    </row>
    <row r="8" spans="2:15" ht="15" x14ac:dyDescent="0.25">
      <c r="B8" s="60">
        <f t="shared" si="5"/>
        <v>40572</v>
      </c>
      <c r="C8" s="61">
        <f t="shared" si="1"/>
        <v>40573</v>
      </c>
      <c r="D8" s="62">
        <f t="shared" si="10"/>
        <v>40936</v>
      </c>
      <c r="E8" s="62">
        <f t="shared" si="6"/>
        <v>40937</v>
      </c>
      <c r="F8" s="61">
        <f t="shared" si="7"/>
        <v>41307</v>
      </c>
      <c r="G8" s="61">
        <f t="shared" si="2"/>
        <v>41308</v>
      </c>
      <c r="H8" s="62">
        <f t="shared" si="8"/>
        <v>41671</v>
      </c>
      <c r="I8" s="62">
        <f t="shared" si="3"/>
        <v>41672</v>
      </c>
      <c r="J8" s="61">
        <f t="shared" si="9"/>
        <v>42035</v>
      </c>
      <c r="K8" s="63">
        <f t="shared" si="4"/>
        <v>42036</v>
      </c>
      <c r="M8" s="26"/>
    </row>
    <row r="9" spans="2:15" ht="15" x14ac:dyDescent="0.25">
      <c r="B9" s="60">
        <f t="shared" si="5"/>
        <v>40579</v>
      </c>
      <c r="C9" s="61">
        <f t="shared" si="1"/>
        <v>40580</v>
      </c>
      <c r="D9" s="62">
        <f t="shared" si="10"/>
        <v>40943</v>
      </c>
      <c r="E9" s="62">
        <f t="shared" si="6"/>
        <v>40944</v>
      </c>
      <c r="F9" s="61">
        <f t="shared" si="7"/>
        <v>41314</v>
      </c>
      <c r="G9" s="61">
        <f t="shared" si="2"/>
        <v>41315</v>
      </c>
      <c r="H9" s="62">
        <f t="shared" si="8"/>
        <v>41678</v>
      </c>
      <c r="I9" s="62">
        <f t="shared" si="3"/>
        <v>41679</v>
      </c>
      <c r="J9" s="61">
        <f t="shared" si="9"/>
        <v>42042</v>
      </c>
      <c r="K9" s="63">
        <f t="shared" si="4"/>
        <v>42043</v>
      </c>
    </row>
    <row r="10" spans="2:15" ht="15" x14ac:dyDescent="0.25">
      <c r="B10" s="60">
        <f t="shared" si="5"/>
        <v>40586</v>
      </c>
      <c r="C10" s="61">
        <f t="shared" si="1"/>
        <v>40587</v>
      </c>
      <c r="D10" s="62">
        <f t="shared" si="10"/>
        <v>40950</v>
      </c>
      <c r="E10" s="62">
        <f t="shared" si="6"/>
        <v>40951</v>
      </c>
      <c r="F10" s="61">
        <f t="shared" si="7"/>
        <v>41321</v>
      </c>
      <c r="G10" s="61">
        <f t="shared" si="2"/>
        <v>41322</v>
      </c>
      <c r="H10" s="62">
        <f t="shared" si="8"/>
        <v>41685</v>
      </c>
      <c r="I10" s="62">
        <f t="shared" si="3"/>
        <v>41686</v>
      </c>
      <c r="J10" s="61">
        <f t="shared" si="9"/>
        <v>42049</v>
      </c>
      <c r="K10" s="63">
        <f t="shared" si="4"/>
        <v>42050</v>
      </c>
    </row>
    <row r="11" spans="2:15" ht="15" x14ac:dyDescent="0.25">
      <c r="B11" s="60">
        <f t="shared" si="5"/>
        <v>40593</v>
      </c>
      <c r="C11" s="61">
        <f t="shared" si="1"/>
        <v>40594</v>
      </c>
      <c r="D11" s="62">
        <f t="shared" si="10"/>
        <v>40957</v>
      </c>
      <c r="E11" s="62">
        <f t="shared" si="6"/>
        <v>40958</v>
      </c>
      <c r="F11" s="61">
        <f t="shared" si="7"/>
        <v>41328</v>
      </c>
      <c r="G11" s="61">
        <f t="shared" si="2"/>
        <v>41329</v>
      </c>
      <c r="H11" s="62">
        <f t="shared" si="8"/>
        <v>41692</v>
      </c>
      <c r="I11" s="62">
        <f t="shared" si="3"/>
        <v>41693</v>
      </c>
      <c r="J11" s="61">
        <f t="shared" si="9"/>
        <v>42056</v>
      </c>
      <c r="K11" s="63">
        <f t="shared" si="4"/>
        <v>42057</v>
      </c>
    </row>
    <row r="12" spans="2:15" ht="15" x14ac:dyDescent="0.25">
      <c r="B12" s="60">
        <f t="shared" si="5"/>
        <v>40600</v>
      </c>
      <c r="C12" s="61">
        <f t="shared" si="1"/>
        <v>40601</v>
      </c>
      <c r="D12" s="62">
        <f t="shared" si="10"/>
        <v>40964</v>
      </c>
      <c r="E12" s="62">
        <f t="shared" si="6"/>
        <v>40965</v>
      </c>
      <c r="F12" s="61">
        <f t="shared" si="7"/>
        <v>41335</v>
      </c>
      <c r="G12" s="61">
        <f t="shared" si="2"/>
        <v>41336</v>
      </c>
      <c r="H12" s="62">
        <f t="shared" si="8"/>
        <v>41699</v>
      </c>
      <c r="I12" s="62">
        <f t="shared" si="3"/>
        <v>41700</v>
      </c>
      <c r="J12" s="61">
        <f t="shared" si="9"/>
        <v>42063</v>
      </c>
      <c r="K12" s="63">
        <f t="shared" si="4"/>
        <v>42064</v>
      </c>
    </row>
    <row r="13" spans="2:15" ht="15" x14ac:dyDescent="0.25">
      <c r="B13" s="60">
        <f t="shared" si="5"/>
        <v>40607</v>
      </c>
      <c r="C13" s="61">
        <f t="shared" si="1"/>
        <v>40608</v>
      </c>
      <c r="D13" s="62">
        <f t="shared" si="10"/>
        <v>40971</v>
      </c>
      <c r="E13" s="62">
        <f t="shared" si="6"/>
        <v>40972</v>
      </c>
      <c r="F13" s="61">
        <f t="shared" si="7"/>
        <v>41342</v>
      </c>
      <c r="G13" s="61">
        <f t="shared" si="2"/>
        <v>41343</v>
      </c>
      <c r="H13" s="62">
        <f t="shared" si="8"/>
        <v>41706</v>
      </c>
      <c r="I13" s="62">
        <f t="shared" si="3"/>
        <v>41707</v>
      </c>
      <c r="J13" s="61">
        <f t="shared" si="9"/>
        <v>42070</v>
      </c>
      <c r="K13" s="63">
        <f t="shared" si="4"/>
        <v>42071</v>
      </c>
    </row>
    <row r="14" spans="2:15" ht="15" x14ac:dyDescent="0.25">
      <c r="B14" s="60">
        <f t="shared" si="5"/>
        <v>40614</v>
      </c>
      <c r="C14" s="61">
        <f t="shared" si="1"/>
        <v>40615</v>
      </c>
      <c r="D14" s="62">
        <f t="shared" si="10"/>
        <v>40978</v>
      </c>
      <c r="E14" s="62">
        <f t="shared" si="6"/>
        <v>40979</v>
      </c>
      <c r="F14" s="61">
        <f t="shared" si="7"/>
        <v>41349</v>
      </c>
      <c r="G14" s="61">
        <f t="shared" si="2"/>
        <v>41350</v>
      </c>
      <c r="H14" s="62">
        <f t="shared" si="8"/>
        <v>41713</v>
      </c>
      <c r="I14" s="62">
        <f t="shared" si="3"/>
        <v>41714</v>
      </c>
      <c r="J14" s="61">
        <f t="shared" si="9"/>
        <v>42077</v>
      </c>
      <c r="K14" s="63">
        <f t="shared" si="4"/>
        <v>42078</v>
      </c>
    </row>
    <row r="15" spans="2:15" ht="15" x14ac:dyDescent="0.25">
      <c r="B15" s="60">
        <f t="shared" si="5"/>
        <v>40621</v>
      </c>
      <c r="C15" s="61">
        <f t="shared" si="1"/>
        <v>40622</v>
      </c>
      <c r="D15" s="62">
        <f t="shared" si="10"/>
        <v>40985</v>
      </c>
      <c r="E15" s="62">
        <f t="shared" si="6"/>
        <v>40986</v>
      </c>
      <c r="F15" s="61">
        <f t="shared" si="7"/>
        <v>41356</v>
      </c>
      <c r="G15" s="61">
        <f t="shared" si="2"/>
        <v>41357</v>
      </c>
      <c r="H15" s="62">
        <f t="shared" si="8"/>
        <v>41720</v>
      </c>
      <c r="I15" s="62">
        <f t="shared" si="3"/>
        <v>41721</v>
      </c>
      <c r="J15" s="61">
        <f t="shared" si="9"/>
        <v>42084</v>
      </c>
      <c r="K15" s="63">
        <f t="shared" si="4"/>
        <v>42085</v>
      </c>
    </row>
    <row r="16" spans="2:15" ht="15" x14ac:dyDescent="0.25">
      <c r="B16" s="60">
        <f t="shared" si="5"/>
        <v>40628</v>
      </c>
      <c r="C16" s="61">
        <f t="shared" si="1"/>
        <v>40629</v>
      </c>
      <c r="D16" s="62">
        <f t="shared" si="10"/>
        <v>40992</v>
      </c>
      <c r="E16" s="62">
        <f t="shared" si="6"/>
        <v>40993</v>
      </c>
      <c r="F16" s="61">
        <f t="shared" si="7"/>
        <v>41363</v>
      </c>
      <c r="G16" s="61">
        <f t="shared" si="2"/>
        <v>41364</v>
      </c>
      <c r="H16" s="62">
        <f t="shared" si="8"/>
        <v>41727</v>
      </c>
      <c r="I16" s="62">
        <f t="shared" si="3"/>
        <v>41728</v>
      </c>
      <c r="J16" s="61">
        <f t="shared" si="9"/>
        <v>42091</v>
      </c>
      <c r="K16" s="63">
        <f t="shared" si="4"/>
        <v>42092</v>
      </c>
    </row>
    <row r="17" spans="2:11" ht="15" x14ac:dyDescent="0.25">
      <c r="B17" s="60">
        <f t="shared" si="5"/>
        <v>40635</v>
      </c>
      <c r="C17" s="61">
        <f t="shared" si="1"/>
        <v>40636</v>
      </c>
      <c r="D17" s="62">
        <f t="shared" si="10"/>
        <v>40999</v>
      </c>
      <c r="E17" s="62">
        <f t="shared" si="6"/>
        <v>41000</v>
      </c>
      <c r="F17" s="61">
        <f t="shared" si="7"/>
        <v>41370</v>
      </c>
      <c r="G17" s="61">
        <f t="shared" si="2"/>
        <v>41371</v>
      </c>
      <c r="H17" s="62">
        <f t="shared" si="8"/>
        <v>41734</v>
      </c>
      <c r="I17" s="62">
        <f t="shared" si="3"/>
        <v>41735</v>
      </c>
      <c r="J17" s="61">
        <f t="shared" si="9"/>
        <v>42098</v>
      </c>
      <c r="K17" s="63">
        <f t="shared" si="4"/>
        <v>42099</v>
      </c>
    </row>
    <row r="18" spans="2:11" ht="15" x14ac:dyDescent="0.25">
      <c r="B18" s="60">
        <f t="shared" si="5"/>
        <v>40642</v>
      </c>
      <c r="C18" s="61">
        <f t="shared" si="1"/>
        <v>40643</v>
      </c>
      <c r="D18" s="62">
        <f t="shared" si="10"/>
        <v>41006</v>
      </c>
      <c r="E18" s="62">
        <f t="shared" si="6"/>
        <v>41007</v>
      </c>
      <c r="F18" s="61">
        <f t="shared" si="7"/>
        <v>41377</v>
      </c>
      <c r="G18" s="61">
        <f t="shared" si="2"/>
        <v>41378</v>
      </c>
      <c r="H18" s="62">
        <f t="shared" si="8"/>
        <v>41741</v>
      </c>
      <c r="I18" s="62">
        <f t="shared" si="3"/>
        <v>41742</v>
      </c>
      <c r="J18" s="61">
        <f t="shared" si="9"/>
        <v>42105</v>
      </c>
      <c r="K18" s="63">
        <f t="shared" si="4"/>
        <v>42106</v>
      </c>
    </row>
    <row r="19" spans="2:11" ht="15" x14ac:dyDescent="0.25">
      <c r="B19" s="60">
        <f t="shared" si="5"/>
        <v>40649</v>
      </c>
      <c r="C19" s="61">
        <f t="shared" si="1"/>
        <v>40650</v>
      </c>
      <c r="D19" s="62">
        <f t="shared" si="10"/>
        <v>41013</v>
      </c>
      <c r="E19" s="62">
        <f t="shared" si="6"/>
        <v>41014</v>
      </c>
      <c r="F19" s="61">
        <f t="shared" si="7"/>
        <v>41384</v>
      </c>
      <c r="G19" s="61">
        <f t="shared" si="2"/>
        <v>41385</v>
      </c>
      <c r="H19" s="62">
        <f t="shared" si="8"/>
        <v>41748</v>
      </c>
      <c r="I19" s="62">
        <f t="shared" si="3"/>
        <v>41749</v>
      </c>
      <c r="J19" s="61">
        <f t="shared" si="9"/>
        <v>42112</v>
      </c>
      <c r="K19" s="63">
        <f t="shared" si="4"/>
        <v>42113</v>
      </c>
    </row>
    <row r="20" spans="2:11" ht="15" x14ac:dyDescent="0.25">
      <c r="B20" s="60">
        <f t="shared" si="5"/>
        <v>40656</v>
      </c>
      <c r="C20" s="61">
        <f t="shared" si="1"/>
        <v>40657</v>
      </c>
      <c r="D20" s="62">
        <f t="shared" si="10"/>
        <v>41020</v>
      </c>
      <c r="E20" s="62">
        <f t="shared" si="6"/>
        <v>41021</v>
      </c>
      <c r="F20" s="61">
        <f t="shared" si="7"/>
        <v>41391</v>
      </c>
      <c r="G20" s="61">
        <f t="shared" si="2"/>
        <v>41392</v>
      </c>
      <c r="H20" s="62">
        <f t="shared" si="8"/>
        <v>41755</v>
      </c>
      <c r="I20" s="62">
        <f t="shared" si="3"/>
        <v>41756</v>
      </c>
      <c r="J20" s="61">
        <f t="shared" si="9"/>
        <v>42119</v>
      </c>
      <c r="K20" s="63">
        <f t="shared" si="4"/>
        <v>42120</v>
      </c>
    </row>
    <row r="21" spans="2:11" ht="15" x14ac:dyDescent="0.25">
      <c r="B21" s="60">
        <f t="shared" si="5"/>
        <v>40663</v>
      </c>
      <c r="C21" s="61">
        <f t="shared" si="1"/>
        <v>40664</v>
      </c>
      <c r="D21" s="62">
        <f t="shared" si="10"/>
        <v>41027</v>
      </c>
      <c r="E21" s="62">
        <f t="shared" si="6"/>
        <v>41028</v>
      </c>
      <c r="F21" s="61">
        <f t="shared" si="7"/>
        <v>41398</v>
      </c>
      <c r="G21" s="61">
        <f t="shared" si="2"/>
        <v>41399</v>
      </c>
      <c r="H21" s="62">
        <f t="shared" si="8"/>
        <v>41762</v>
      </c>
      <c r="I21" s="62">
        <f t="shared" si="3"/>
        <v>41763</v>
      </c>
      <c r="J21" s="61">
        <f t="shared" si="9"/>
        <v>42126</v>
      </c>
      <c r="K21" s="63">
        <f t="shared" si="4"/>
        <v>42127</v>
      </c>
    </row>
    <row r="22" spans="2:11" ht="15" x14ac:dyDescent="0.25">
      <c r="B22" s="60">
        <f t="shared" si="5"/>
        <v>40670</v>
      </c>
      <c r="C22" s="61">
        <f t="shared" si="1"/>
        <v>40671</v>
      </c>
      <c r="D22" s="62">
        <f t="shared" si="10"/>
        <v>41034</v>
      </c>
      <c r="E22" s="62">
        <f t="shared" si="6"/>
        <v>41035</v>
      </c>
      <c r="F22" s="61">
        <f t="shared" si="7"/>
        <v>41405</v>
      </c>
      <c r="G22" s="61">
        <f t="shared" si="2"/>
        <v>41406</v>
      </c>
      <c r="H22" s="62">
        <f t="shared" si="8"/>
        <v>41769</v>
      </c>
      <c r="I22" s="62">
        <f t="shared" si="3"/>
        <v>41770</v>
      </c>
      <c r="J22" s="61">
        <f t="shared" si="9"/>
        <v>42133</v>
      </c>
      <c r="K22" s="63">
        <f t="shared" si="4"/>
        <v>42134</v>
      </c>
    </row>
    <row r="23" spans="2:11" ht="15" x14ac:dyDescent="0.25">
      <c r="B23" s="60">
        <f t="shared" si="5"/>
        <v>40677</v>
      </c>
      <c r="C23" s="61">
        <f t="shared" si="1"/>
        <v>40678</v>
      </c>
      <c r="D23" s="62">
        <f t="shared" si="10"/>
        <v>41041</v>
      </c>
      <c r="E23" s="62">
        <f t="shared" si="6"/>
        <v>41042</v>
      </c>
      <c r="F23" s="61">
        <f t="shared" si="7"/>
        <v>41412</v>
      </c>
      <c r="G23" s="61">
        <f t="shared" si="2"/>
        <v>41413</v>
      </c>
      <c r="H23" s="62">
        <f t="shared" si="8"/>
        <v>41776</v>
      </c>
      <c r="I23" s="62">
        <f t="shared" si="3"/>
        <v>41777</v>
      </c>
      <c r="J23" s="61">
        <f t="shared" si="9"/>
        <v>42140</v>
      </c>
      <c r="K23" s="63">
        <f t="shared" si="4"/>
        <v>42141</v>
      </c>
    </row>
    <row r="24" spans="2:11" ht="15" x14ac:dyDescent="0.25">
      <c r="B24" s="60">
        <f t="shared" si="5"/>
        <v>40684</v>
      </c>
      <c r="C24" s="61">
        <f t="shared" si="1"/>
        <v>40685</v>
      </c>
      <c r="D24" s="62">
        <f t="shared" si="10"/>
        <v>41048</v>
      </c>
      <c r="E24" s="62">
        <f t="shared" si="6"/>
        <v>41049</v>
      </c>
      <c r="F24" s="61">
        <f t="shared" si="7"/>
        <v>41419</v>
      </c>
      <c r="G24" s="61">
        <f t="shared" si="2"/>
        <v>41420</v>
      </c>
      <c r="H24" s="62">
        <f t="shared" si="8"/>
        <v>41783</v>
      </c>
      <c r="I24" s="62">
        <f t="shared" si="3"/>
        <v>41784</v>
      </c>
      <c r="J24" s="61">
        <f t="shared" si="9"/>
        <v>42147</v>
      </c>
      <c r="K24" s="63">
        <f t="shared" si="4"/>
        <v>42148</v>
      </c>
    </row>
    <row r="25" spans="2:11" ht="15" x14ac:dyDescent="0.25">
      <c r="B25" s="60">
        <f t="shared" si="5"/>
        <v>40691</v>
      </c>
      <c r="C25" s="61">
        <f t="shared" si="1"/>
        <v>40692</v>
      </c>
      <c r="D25" s="62">
        <f t="shared" si="10"/>
        <v>41055</v>
      </c>
      <c r="E25" s="62">
        <f t="shared" si="6"/>
        <v>41056</v>
      </c>
      <c r="F25" s="61">
        <f t="shared" si="7"/>
        <v>41426</v>
      </c>
      <c r="G25" s="61">
        <f t="shared" si="2"/>
        <v>41427</v>
      </c>
      <c r="H25" s="62">
        <f t="shared" si="8"/>
        <v>41790</v>
      </c>
      <c r="I25" s="62">
        <f t="shared" si="3"/>
        <v>41791</v>
      </c>
      <c r="J25" s="61">
        <f t="shared" si="9"/>
        <v>42154</v>
      </c>
      <c r="K25" s="63">
        <f t="shared" si="4"/>
        <v>42155</v>
      </c>
    </row>
    <row r="26" spans="2:11" ht="15" x14ac:dyDescent="0.25">
      <c r="B26" s="60">
        <f t="shared" si="5"/>
        <v>40698</v>
      </c>
      <c r="C26" s="61">
        <f t="shared" si="1"/>
        <v>40699</v>
      </c>
      <c r="D26" s="62">
        <f t="shared" si="10"/>
        <v>41062</v>
      </c>
      <c r="E26" s="62">
        <f t="shared" si="6"/>
        <v>41063</v>
      </c>
      <c r="F26" s="61">
        <f t="shared" si="7"/>
        <v>41433</v>
      </c>
      <c r="G26" s="61">
        <f t="shared" si="2"/>
        <v>41434</v>
      </c>
      <c r="H26" s="62">
        <f t="shared" si="8"/>
        <v>41797</v>
      </c>
      <c r="I26" s="62">
        <f t="shared" si="3"/>
        <v>41798</v>
      </c>
      <c r="J26" s="61">
        <f t="shared" si="9"/>
        <v>42161</v>
      </c>
      <c r="K26" s="63">
        <f t="shared" si="4"/>
        <v>42162</v>
      </c>
    </row>
    <row r="27" spans="2:11" ht="15" x14ac:dyDescent="0.25">
      <c r="B27" s="60">
        <f t="shared" si="5"/>
        <v>40705</v>
      </c>
      <c r="C27" s="61">
        <f t="shared" si="1"/>
        <v>40706</v>
      </c>
      <c r="D27" s="62">
        <f t="shared" si="10"/>
        <v>41069</v>
      </c>
      <c r="E27" s="62">
        <f t="shared" si="6"/>
        <v>41070</v>
      </c>
      <c r="F27" s="61">
        <f t="shared" si="7"/>
        <v>41440</v>
      </c>
      <c r="G27" s="61">
        <f t="shared" si="2"/>
        <v>41441</v>
      </c>
      <c r="H27" s="62">
        <f t="shared" si="8"/>
        <v>41804</v>
      </c>
      <c r="I27" s="62">
        <f t="shared" si="3"/>
        <v>41805</v>
      </c>
      <c r="J27" s="61">
        <f t="shared" si="9"/>
        <v>42168</v>
      </c>
      <c r="K27" s="63">
        <f t="shared" si="4"/>
        <v>42169</v>
      </c>
    </row>
    <row r="28" spans="2:11" ht="15" x14ac:dyDescent="0.25">
      <c r="B28" s="60">
        <f t="shared" si="5"/>
        <v>40712</v>
      </c>
      <c r="C28" s="61">
        <f t="shared" si="1"/>
        <v>40713</v>
      </c>
      <c r="D28" s="62">
        <f t="shared" si="10"/>
        <v>41076</v>
      </c>
      <c r="E28" s="62">
        <f t="shared" si="6"/>
        <v>41077</v>
      </c>
      <c r="F28" s="61">
        <f t="shared" si="7"/>
        <v>41447</v>
      </c>
      <c r="G28" s="61">
        <f t="shared" si="2"/>
        <v>41448</v>
      </c>
      <c r="H28" s="62">
        <f t="shared" si="8"/>
        <v>41811</v>
      </c>
      <c r="I28" s="62">
        <f t="shared" si="3"/>
        <v>41812</v>
      </c>
      <c r="J28" s="61">
        <f t="shared" si="9"/>
        <v>42175</v>
      </c>
      <c r="K28" s="63">
        <f t="shared" si="4"/>
        <v>42176</v>
      </c>
    </row>
    <row r="29" spans="2:11" ht="15" x14ac:dyDescent="0.25">
      <c r="B29" s="60">
        <f t="shared" si="5"/>
        <v>40719</v>
      </c>
      <c r="C29" s="61">
        <f t="shared" si="1"/>
        <v>40720</v>
      </c>
      <c r="D29" s="62">
        <f t="shared" si="10"/>
        <v>41083</v>
      </c>
      <c r="E29" s="62">
        <f t="shared" si="6"/>
        <v>41084</v>
      </c>
      <c r="F29" s="61">
        <f t="shared" si="7"/>
        <v>41454</v>
      </c>
      <c r="G29" s="61">
        <f t="shared" si="2"/>
        <v>41455</v>
      </c>
      <c r="H29" s="62">
        <f t="shared" si="8"/>
        <v>41818</v>
      </c>
      <c r="I29" s="62">
        <f t="shared" si="3"/>
        <v>41819</v>
      </c>
      <c r="J29" s="61">
        <f t="shared" si="9"/>
        <v>42182</v>
      </c>
      <c r="K29" s="63">
        <f t="shared" si="4"/>
        <v>42183</v>
      </c>
    </row>
    <row r="30" spans="2:11" ht="15" x14ac:dyDescent="0.25">
      <c r="B30" s="60">
        <f t="shared" si="5"/>
        <v>40726</v>
      </c>
      <c r="C30" s="61">
        <f t="shared" si="1"/>
        <v>40727</v>
      </c>
      <c r="D30" s="62">
        <f t="shared" si="10"/>
        <v>41090</v>
      </c>
      <c r="E30" s="62">
        <f t="shared" si="6"/>
        <v>41091</v>
      </c>
      <c r="F30" s="61">
        <f t="shared" si="7"/>
        <v>41461</v>
      </c>
      <c r="G30" s="61">
        <f t="shared" si="2"/>
        <v>41462</v>
      </c>
      <c r="H30" s="62">
        <f t="shared" si="8"/>
        <v>41825</v>
      </c>
      <c r="I30" s="62">
        <f t="shared" si="3"/>
        <v>41826</v>
      </c>
      <c r="J30" s="61">
        <f t="shared" si="9"/>
        <v>42189</v>
      </c>
      <c r="K30" s="63">
        <f t="shared" si="4"/>
        <v>42190</v>
      </c>
    </row>
    <row r="31" spans="2:11" ht="15" x14ac:dyDescent="0.25">
      <c r="B31" s="60">
        <f t="shared" si="5"/>
        <v>40733</v>
      </c>
      <c r="C31" s="61">
        <f t="shared" si="1"/>
        <v>40734</v>
      </c>
      <c r="D31" s="62">
        <f t="shared" si="10"/>
        <v>41097</v>
      </c>
      <c r="E31" s="62">
        <f t="shared" si="6"/>
        <v>41098</v>
      </c>
      <c r="F31" s="61">
        <f t="shared" si="7"/>
        <v>41468</v>
      </c>
      <c r="G31" s="61">
        <f t="shared" si="2"/>
        <v>41469</v>
      </c>
      <c r="H31" s="62">
        <f t="shared" si="8"/>
        <v>41832</v>
      </c>
      <c r="I31" s="62">
        <f t="shared" si="3"/>
        <v>41833</v>
      </c>
      <c r="J31" s="61">
        <f t="shared" si="9"/>
        <v>42196</v>
      </c>
      <c r="K31" s="63">
        <f t="shared" si="4"/>
        <v>42197</v>
      </c>
    </row>
    <row r="32" spans="2:11" ht="15" x14ac:dyDescent="0.25">
      <c r="B32" s="60">
        <f t="shared" si="5"/>
        <v>40740</v>
      </c>
      <c r="C32" s="61">
        <f t="shared" si="1"/>
        <v>40741</v>
      </c>
      <c r="D32" s="62">
        <f t="shared" si="10"/>
        <v>41104</v>
      </c>
      <c r="E32" s="62">
        <f t="shared" si="6"/>
        <v>41105</v>
      </c>
      <c r="F32" s="61">
        <f t="shared" si="7"/>
        <v>41475</v>
      </c>
      <c r="G32" s="61">
        <f t="shared" si="2"/>
        <v>41476</v>
      </c>
      <c r="H32" s="62">
        <f t="shared" si="8"/>
        <v>41839</v>
      </c>
      <c r="I32" s="62">
        <f t="shared" si="3"/>
        <v>41840</v>
      </c>
      <c r="J32" s="61">
        <f t="shared" si="9"/>
        <v>42203</v>
      </c>
      <c r="K32" s="63">
        <f t="shared" si="4"/>
        <v>42204</v>
      </c>
    </row>
    <row r="33" spans="2:11" ht="15" x14ac:dyDescent="0.25">
      <c r="B33" s="60">
        <f t="shared" si="5"/>
        <v>40747</v>
      </c>
      <c r="C33" s="61">
        <f t="shared" si="1"/>
        <v>40748</v>
      </c>
      <c r="D33" s="62">
        <f t="shared" si="10"/>
        <v>41111</v>
      </c>
      <c r="E33" s="62">
        <f t="shared" si="6"/>
        <v>41112</v>
      </c>
      <c r="F33" s="61">
        <f t="shared" si="7"/>
        <v>41482</v>
      </c>
      <c r="G33" s="61">
        <f t="shared" si="2"/>
        <v>41483</v>
      </c>
      <c r="H33" s="62">
        <f t="shared" si="8"/>
        <v>41846</v>
      </c>
      <c r="I33" s="62">
        <f t="shared" si="3"/>
        <v>41847</v>
      </c>
      <c r="J33" s="61">
        <f t="shared" si="9"/>
        <v>42210</v>
      </c>
      <c r="K33" s="63">
        <f t="shared" si="4"/>
        <v>42211</v>
      </c>
    </row>
    <row r="34" spans="2:11" ht="15" x14ac:dyDescent="0.25">
      <c r="B34" s="60">
        <f t="shared" si="5"/>
        <v>40754</v>
      </c>
      <c r="C34" s="61">
        <f t="shared" si="1"/>
        <v>40755</v>
      </c>
      <c r="D34" s="62">
        <f t="shared" si="10"/>
        <v>41118</v>
      </c>
      <c r="E34" s="62">
        <f t="shared" si="6"/>
        <v>41119</v>
      </c>
      <c r="F34" s="61">
        <f t="shared" si="7"/>
        <v>41489</v>
      </c>
      <c r="G34" s="61">
        <f t="shared" si="2"/>
        <v>41490</v>
      </c>
      <c r="H34" s="62">
        <f t="shared" si="8"/>
        <v>41853</v>
      </c>
      <c r="I34" s="62">
        <f t="shared" si="3"/>
        <v>41854</v>
      </c>
      <c r="J34" s="61">
        <f t="shared" si="9"/>
        <v>42217</v>
      </c>
      <c r="K34" s="63">
        <f t="shared" si="4"/>
        <v>42218</v>
      </c>
    </row>
    <row r="35" spans="2:11" ht="15" x14ac:dyDescent="0.25">
      <c r="B35" s="60">
        <f t="shared" si="5"/>
        <v>40761</v>
      </c>
      <c r="C35" s="61">
        <f t="shared" si="1"/>
        <v>40762</v>
      </c>
      <c r="D35" s="62">
        <f t="shared" si="10"/>
        <v>41125</v>
      </c>
      <c r="E35" s="62">
        <f t="shared" si="6"/>
        <v>41126</v>
      </c>
      <c r="F35" s="61">
        <f t="shared" si="7"/>
        <v>41496</v>
      </c>
      <c r="G35" s="61">
        <f t="shared" si="2"/>
        <v>41497</v>
      </c>
      <c r="H35" s="62">
        <f t="shared" si="8"/>
        <v>41860</v>
      </c>
      <c r="I35" s="62">
        <f t="shared" si="3"/>
        <v>41861</v>
      </c>
      <c r="J35" s="61">
        <f t="shared" si="9"/>
        <v>42224</v>
      </c>
      <c r="K35" s="63">
        <f t="shared" si="4"/>
        <v>42225</v>
      </c>
    </row>
    <row r="36" spans="2:11" ht="15" x14ac:dyDescent="0.25">
      <c r="B36" s="60">
        <f t="shared" si="5"/>
        <v>40768</v>
      </c>
      <c r="C36" s="61">
        <f t="shared" ref="C36:C55" si="11">B36+1</f>
        <v>40769</v>
      </c>
      <c r="D36" s="62">
        <f t="shared" si="10"/>
        <v>41132</v>
      </c>
      <c r="E36" s="62">
        <f t="shared" si="6"/>
        <v>41133</v>
      </c>
      <c r="F36" s="61">
        <f t="shared" si="7"/>
        <v>41503</v>
      </c>
      <c r="G36" s="61">
        <f t="shared" ref="G36:G55" si="12">F36+1</f>
        <v>41504</v>
      </c>
      <c r="H36" s="62">
        <f t="shared" si="8"/>
        <v>41867</v>
      </c>
      <c r="I36" s="62">
        <f t="shared" ref="I36:I55" si="13">H36+1</f>
        <v>41868</v>
      </c>
      <c r="J36" s="61">
        <f t="shared" si="9"/>
        <v>42231</v>
      </c>
      <c r="K36" s="63">
        <f t="shared" ref="K36:K55" si="14">J36+1</f>
        <v>42232</v>
      </c>
    </row>
    <row r="37" spans="2:11" ht="15" x14ac:dyDescent="0.25">
      <c r="B37" s="60">
        <f t="shared" ref="B37:B56" si="15">B36+7</f>
        <v>40775</v>
      </c>
      <c r="C37" s="61">
        <f t="shared" si="11"/>
        <v>40776</v>
      </c>
      <c r="D37" s="62">
        <f t="shared" si="10"/>
        <v>41139</v>
      </c>
      <c r="E37" s="62">
        <f t="shared" ref="E37:E56" si="16">D37+1</f>
        <v>41140</v>
      </c>
      <c r="F37" s="61">
        <f t="shared" ref="F37:F55" si="17">F36+7</f>
        <v>41510</v>
      </c>
      <c r="G37" s="61">
        <f t="shared" si="12"/>
        <v>41511</v>
      </c>
      <c r="H37" s="62">
        <f t="shared" ref="H37:H55" si="18">H36+7</f>
        <v>41874</v>
      </c>
      <c r="I37" s="62">
        <f t="shared" si="13"/>
        <v>41875</v>
      </c>
      <c r="J37" s="61">
        <f t="shared" ref="J37:J55" si="19">J36+7</f>
        <v>42238</v>
      </c>
      <c r="K37" s="63">
        <f t="shared" si="14"/>
        <v>42239</v>
      </c>
    </row>
    <row r="38" spans="2:11" ht="15" x14ac:dyDescent="0.25">
      <c r="B38" s="60">
        <f t="shared" si="15"/>
        <v>40782</v>
      </c>
      <c r="C38" s="61">
        <f t="shared" si="11"/>
        <v>40783</v>
      </c>
      <c r="D38" s="62">
        <f t="shared" ref="D38:D56" si="20">D37+7</f>
        <v>41146</v>
      </c>
      <c r="E38" s="62">
        <f t="shared" si="16"/>
        <v>41147</v>
      </c>
      <c r="F38" s="61">
        <f t="shared" si="17"/>
        <v>41517</v>
      </c>
      <c r="G38" s="61">
        <f t="shared" si="12"/>
        <v>41518</v>
      </c>
      <c r="H38" s="62">
        <f t="shared" si="18"/>
        <v>41881</v>
      </c>
      <c r="I38" s="62">
        <f t="shared" si="13"/>
        <v>41882</v>
      </c>
      <c r="J38" s="61">
        <f t="shared" si="19"/>
        <v>42245</v>
      </c>
      <c r="K38" s="63">
        <f t="shared" si="14"/>
        <v>42246</v>
      </c>
    </row>
    <row r="39" spans="2:11" ht="15" x14ac:dyDescent="0.25">
      <c r="B39" s="60">
        <f t="shared" si="15"/>
        <v>40789</v>
      </c>
      <c r="C39" s="61">
        <f t="shared" si="11"/>
        <v>40790</v>
      </c>
      <c r="D39" s="62">
        <f t="shared" si="20"/>
        <v>41153</v>
      </c>
      <c r="E39" s="62">
        <f t="shared" si="16"/>
        <v>41154</v>
      </c>
      <c r="F39" s="61">
        <f t="shared" si="17"/>
        <v>41524</v>
      </c>
      <c r="G39" s="61">
        <f t="shared" si="12"/>
        <v>41525</v>
      </c>
      <c r="H39" s="62">
        <f t="shared" si="18"/>
        <v>41888</v>
      </c>
      <c r="I39" s="62">
        <f t="shared" si="13"/>
        <v>41889</v>
      </c>
      <c r="J39" s="61">
        <f t="shared" si="19"/>
        <v>42252</v>
      </c>
      <c r="K39" s="63">
        <f t="shared" si="14"/>
        <v>42253</v>
      </c>
    </row>
    <row r="40" spans="2:11" ht="15" x14ac:dyDescent="0.25">
      <c r="B40" s="60">
        <f t="shared" si="15"/>
        <v>40796</v>
      </c>
      <c r="C40" s="61">
        <f t="shared" si="11"/>
        <v>40797</v>
      </c>
      <c r="D40" s="62">
        <f t="shared" si="20"/>
        <v>41160</v>
      </c>
      <c r="E40" s="62">
        <f t="shared" si="16"/>
        <v>41161</v>
      </c>
      <c r="F40" s="61">
        <f t="shared" si="17"/>
        <v>41531</v>
      </c>
      <c r="G40" s="61">
        <f t="shared" si="12"/>
        <v>41532</v>
      </c>
      <c r="H40" s="62">
        <f t="shared" si="18"/>
        <v>41895</v>
      </c>
      <c r="I40" s="62">
        <f t="shared" si="13"/>
        <v>41896</v>
      </c>
      <c r="J40" s="61">
        <f t="shared" si="19"/>
        <v>42259</v>
      </c>
      <c r="K40" s="63">
        <f t="shared" si="14"/>
        <v>42260</v>
      </c>
    </row>
    <row r="41" spans="2:11" ht="15" x14ac:dyDescent="0.25">
      <c r="B41" s="60">
        <f t="shared" si="15"/>
        <v>40803</v>
      </c>
      <c r="C41" s="61">
        <f t="shared" si="11"/>
        <v>40804</v>
      </c>
      <c r="D41" s="62">
        <f t="shared" si="20"/>
        <v>41167</v>
      </c>
      <c r="E41" s="62">
        <f t="shared" si="16"/>
        <v>41168</v>
      </c>
      <c r="F41" s="61">
        <f t="shared" si="17"/>
        <v>41538</v>
      </c>
      <c r="G41" s="61">
        <f t="shared" si="12"/>
        <v>41539</v>
      </c>
      <c r="H41" s="62">
        <f t="shared" si="18"/>
        <v>41902</v>
      </c>
      <c r="I41" s="62">
        <f t="shared" si="13"/>
        <v>41903</v>
      </c>
      <c r="J41" s="61">
        <f t="shared" si="19"/>
        <v>42266</v>
      </c>
      <c r="K41" s="63">
        <f t="shared" si="14"/>
        <v>42267</v>
      </c>
    </row>
    <row r="42" spans="2:11" ht="15" x14ac:dyDescent="0.25">
      <c r="B42" s="60">
        <f t="shared" si="15"/>
        <v>40810</v>
      </c>
      <c r="C42" s="61">
        <f t="shared" si="11"/>
        <v>40811</v>
      </c>
      <c r="D42" s="62">
        <f t="shared" si="20"/>
        <v>41174</v>
      </c>
      <c r="E42" s="62">
        <f t="shared" si="16"/>
        <v>41175</v>
      </c>
      <c r="F42" s="61">
        <f t="shared" si="17"/>
        <v>41545</v>
      </c>
      <c r="G42" s="61">
        <f t="shared" si="12"/>
        <v>41546</v>
      </c>
      <c r="H42" s="62">
        <f t="shared" si="18"/>
        <v>41909</v>
      </c>
      <c r="I42" s="62">
        <f t="shared" si="13"/>
        <v>41910</v>
      </c>
      <c r="J42" s="61">
        <f t="shared" si="19"/>
        <v>42273</v>
      </c>
      <c r="K42" s="63">
        <f t="shared" si="14"/>
        <v>42274</v>
      </c>
    </row>
    <row r="43" spans="2:11" ht="15" x14ac:dyDescent="0.25">
      <c r="B43" s="60">
        <f t="shared" si="15"/>
        <v>40817</v>
      </c>
      <c r="C43" s="61">
        <f t="shared" si="11"/>
        <v>40818</v>
      </c>
      <c r="D43" s="62">
        <f t="shared" si="20"/>
        <v>41181</v>
      </c>
      <c r="E43" s="62">
        <f t="shared" si="16"/>
        <v>41182</v>
      </c>
      <c r="F43" s="61">
        <f t="shared" si="17"/>
        <v>41552</v>
      </c>
      <c r="G43" s="61">
        <f t="shared" si="12"/>
        <v>41553</v>
      </c>
      <c r="H43" s="62">
        <f t="shared" si="18"/>
        <v>41916</v>
      </c>
      <c r="I43" s="62">
        <f t="shared" si="13"/>
        <v>41917</v>
      </c>
      <c r="J43" s="61">
        <f t="shared" si="19"/>
        <v>42280</v>
      </c>
      <c r="K43" s="63">
        <f t="shared" si="14"/>
        <v>42281</v>
      </c>
    </row>
    <row r="44" spans="2:11" ht="15" x14ac:dyDescent="0.25">
      <c r="B44" s="60">
        <f t="shared" si="15"/>
        <v>40824</v>
      </c>
      <c r="C44" s="61">
        <f t="shared" si="11"/>
        <v>40825</v>
      </c>
      <c r="D44" s="62">
        <f t="shared" si="20"/>
        <v>41188</v>
      </c>
      <c r="E44" s="62">
        <f t="shared" si="16"/>
        <v>41189</v>
      </c>
      <c r="F44" s="61">
        <f t="shared" si="17"/>
        <v>41559</v>
      </c>
      <c r="G44" s="61">
        <f t="shared" si="12"/>
        <v>41560</v>
      </c>
      <c r="H44" s="62">
        <f t="shared" si="18"/>
        <v>41923</v>
      </c>
      <c r="I44" s="62">
        <f t="shared" si="13"/>
        <v>41924</v>
      </c>
      <c r="J44" s="61">
        <f t="shared" si="19"/>
        <v>42287</v>
      </c>
      <c r="K44" s="63">
        <f t="shared" si="14"/>
        <v>42288</v>
      </c>
    </row>
    <row r="45" spans="2:11" ht="15" x14ac:dyDescent="0.25">
      <c r="B45" s="60">
        <f t="shared" si="15"/>
        <v>40831</v>
      </c>
      <c r="C45" s="61">
        <f t="shared" si="11"/>
        <v>40832</v>
      </c>
      <c r="D45" s="62">
        <f t="shared" si="20"/>
        <v>41195</v>
      </c>
      <c r="E45" s="62">
        <f t="shared" si="16"/>
        <v>41196</v>
      </c>
      <c r="F45" s="61">
        <f t="shared" si="17"/>
        <v>41566</v>
      </c>
      <c r="G45" s="61">
        <f t="shared" si="12"/>
        <v>41567</v>
      </c>
      <c r="H45" s="62">
        <f t="shared" si="18"/>
        <v>41930</v>
      </c>
      <c r="I45" s="62">
        <f t="shared" si="13"/>
        <v>41931</v>
      </c>
      <c r="J45" s="61">
        <f t="shared" si="19"/>
        <v>42294</v>
      </c>
      <c r="K45" s="63">
        <f t="shared" si="14"/>
        <v>42295</v>
      </c>
    </row>
    <row r="46" spans="2:11" ht="15" x14ac:dyDescent="0.25">
      <c r="B46" s="60">
        <f t="shared" si="15"/>
        <v>40838</v>
      </c>
      <c r="C46" s="61">
        <f t="shared" si="11"/>
        <v>40839</v>
      </c>
      <c r="D46" s="62">
        <f t="shared" si="20"/>
        <v>41202</v>
      </c>
      <c r="E46" s="62">
        <f t="shared" si="16"/>
        <v>41203</v>
      </c>
      <c r="F46" s="61">
        <f t="shared" si="17"/>
        <v>41573</v>
      </c>
      <c r="G46" s="61">
        <f t="shared" si="12"/>
        <v>41574</v>
      </c>
      <c r="H46" s="62">
        <f t="shared" si="18"/>
        <v>41937</v>
      </c>
      <c r="I46" s="62">
        <f t="shared" si="13"/>
        <v>41938</v>
      </c>
      <c r="J46" s="61">
        <f t="shared" si="19"/>
        <v>42301</v>
      </c>
      <c r="K46" s="63">
        <f t="shared" si="14"/>
        <v>42302</v>
      </c>
    </row>
    <row r="47" spans="2:11" ht="15" x14ac:dyDescent="0.25">
      <c r="B47" s="60">
        <f t="shared" si="15"/>
        <v>40845</v>
      </c>
      <c r="C47" s="61">
        <f t="shared" si="11"/>
        <v>40846</v>
      </c>
      <c r="D47" s="62">
        <f t="shared" si="20"/>
        <v>41209</v>
      </c>
      <c r="E47" s="62">
        <f t="shared" si="16"/>
        <v>41210</v>
      </c>
      <c r="F47" s="61">
        <f t="shared" si="17"/>
        <v>41580</v>
      </c>
      <c r="G47" s="61">
        <f t="shared" si="12"/>
        <v>41581</v>
      </c>
      <c r="H47" s="62">
        <f t="shared" si="18"/>
        <v>41944</v>
      </c>
      <c r="I47" s="62">
        <f t="shared" si="13"/>
        <v>41945</v>
      </c>
      <c r="J47" s="61">
        <f t="shared" si="19"/>
        <v>42308</v>
      </c>
      <c r="K47" s="63">
        <f t="shared" si="14"/>
        <v>42309</v>
      </c>
    </row>
    <row r="48" spans="2:11" ht="15" x14ac:dyDescent="0.25">
      <c r="B48" s="60">
        <f t="shared" si="15"/>
        <v>40852</v>
      </c>
      <c r="C48" s="61">
        <f t="shared" si="11"/>
        <v>40853</v>
      </c>
      <c r="D48" s="62">
        <f t="shared" si="20"/>
        <v>41216</v>
      </c>
      <c r="E48" s="62">
        <f t="shared" si="16"/>
        <v>41217</v>
      </c>
      <c r="F48" s="61">
        <f t="shared" si="17"/>
        <v>41587</v>
      </c>
      <c r="G48" s="61">
        <f t="shared" si="12"/>
        <v>41588</v>
      </c>
      <c r="H48" s="62">
        <f t="shared" si="18"/>
        <v>41951</v>
      </c>
      <c r="I48" s="62">
        <f t="shared" si="13"/>
        <v>41952</v>
      </c>
      <c r="J48" s="61">
        <f t="shared" si="19"/>
        <v>42315</v>
      </c>
      <c r="K48" s="63">
        <f t="shared" si="14"/>
        <v>42316</v>
      </c>
    </row>
    <row r="49" spans="1:11" ht="15" x14ac:dyDescent="0.25">
      <c r="B49" s="60">
        <f t="shared" si="15"/>
        <v>40859</v>
      </c>
      <c r="C49" s="61">
        <f t="shared" si="11"/>
        <v>40860</v>
      </c>
      <c r="D49" s="62">
        <f t="shared" si="20"/>
        <v>41223</v>
      </c>
      <c r="E49" s="62">
        <f t="shared" si="16"/>
        <v>41224</v>
      </c>
      <c r="F49" s="61">
        <f t="shared" si="17"/>
        <v>41594</v>
      </c>
      <c r="G49" s="61">
        <f t="shared" si="12"/>
        <v>41595</v>
      </c>
      <c r="H49" s="62">
        <f t="shared" si="18"/>
        <v>41958</v>
      </c>
      <c r="I49" s="62">
        <f t="shared" si="13"/>
        <v>41959</v>
      </c>
      <c r="J49" s="61">
        <f t="shared" si="19"/>
        <v>42322</v>
      </c>
      <c r="K49" s="63">
        <f t="shared" si="14"/>
        <v>42323</v>
      </c>
    </row>
    <row r="50" spans="1:11" ht="15" x14ac:dyDescent="0.25">
      <c r="B50" s="60">
        <f t="shared" si="15"/>
        <v>40866</v>
      </c>
      <c r="C50" s="61">
        <f t="shared" si="11"/>
        <v>40867</v>
      </c>
      <c r="D50" s="62">
        <f t="shared" si="20"/>
        <v>41230</v>
      </c>
      <c r="E50" s="62">
        <f t="shared" si="16"/>
        <v>41231</v>
      </c>
      <c r="F50" s="61">
        <f t="shared" si="17"/>
        <v>41601</v>
      </c>
      <c r="G50" s="61">
        <f t="shared" si="12"/>
        <v>41602</v>
      </c>
      <c r="H50" s="62">
        <f t="shared" si="18"/>
        <v>41965</v>
      </c>
      <c r="I50" s="62">
        <f t="shared" si="13"/>
        <v>41966</v>
      </c>
      <c r="J50" s="61">
        <f t="shared" si="19"/>
        <v>42329</v>
      </c>
      <c r="K50" s="63">
        <f t="shared" si="14"/>
        <v>42330</v>
      </c>
    </row>
    <row r="51" spans="1:11" ht="15" x14ac:dyDescent="0.25">
      <c r="B51" s="60">
        <f t="shared" si="15"/>
        <v>40873</v>
      </c>
      <c r="C51" s="61">
        <f t="shared" si="11"/>
        <v>40874</v>
      </c>
      <c r="D51" s="62">
        <f t="shared" si="20"/>
        <v>41237</v>
      </c>
      <c r="E51" s="62">
        <f t="shared" si="16"/>
        <v>41238</v>
      </c>
      <c r="F51" s="61">
        <f t="shared" si="17"/>
        <v>41608</v>
      </c>
      <c r="G51" s="61">
        <f t="shared" si="12"/>
        <v>41609</v>
      </c>
      <c r="H51" s="62">
        <f t="shared" si="18"/>
        <v>41972</v>
      </c>
      <c r="I51" s="62">
        <f t="shared" si="13"/>
        <v>41973</v>
      </c>
      <c r="J51" s="61">
        <f t="shared" si="19"/>
        <v>42336</v>
      </c>
      <c r="K51" s="63">
        <f t="shared" si="14"/>
        <v>42337</v>
      </c>
    </row>
    <row r="52" spans="1:11" ht="15" x14ac:dyDescent="0.25">
      <c r="B52" s="60">
        <f t="shared" si="15"/>
        <v>40880</v>
      </c>
      <c r="C52" s="61">
        <f t="shared" si="11"/>
        <v>40881</v>
      </c>
      <c r="D52" s="62">
        <f t="shared" si="20"/>
        <v>41244</v>
      </c>
      <c r="E52" s="62">
        <f t="shared" si="16"/>
        <v>41245</v>
      </c>
      <c r="F52" s="61">
        <f t="shared" si="17"/>
        <v>41615</v>
      </c>
      <c r="G52" s="61">
        <f t="shared" si="12"/>
        <v>41616</v>
      </c>
      <c r="H52" s="62">
        <f t="shared" si="18"/>
        <v>41979</v>
      </c>
      <c r="I52" s="62">
        <f t="shared" si="13"/>
        <v>41980</v>
      </c>
      <c r="J52" s="61">
        <f t="shared" si="19"/>
        <v>42343</v>
      </c>
      <c r="K52" s="63">
        <f t="shared" si="14"/>
        <v>42344</v>
      </c>
    </row>
    <row r="53" spans="1:11" ht="15" x14ac:dyDescent="0.25">
      <c r="B53" s="60">
        <f t="shared" si="15"/>
        <v>40887</v>
      </c>
      <c r="C53" s="61">
        <f t="shared" si="11"/>
        <v>40888</v>
      </c>
      <c r="D53" s="62">
        <f t="shared" si="20"/>
        <v>41251</v>
      </c>
      <c r="E53" s="62">
        <f t="shared" si="16"/>
        <v>41252</v>
      </c>
      <c r="F53" s="61">
        <f t="shared" si="17"/>
        <v>41622</v>
      </c>
      <c r="G53" s="61">
        <f t="shared" si="12"/>
        <v>41623</v>
      </c>
      <c r="H53" s="62">
        <f t="shared" si="18"/>
        <v>41986</v>
      </c>
      <c r="I53" s="62">
        <f t="shared" si="13"/>
        <v>41987</v>
      </c>
      <c r="J53" s="61">
        <f t="shared" si="19"/>
        <v>42350</v>
      </c>
      <c r="K53" s="63">
        <f t="shared" si="14"/>
        <v>42351</v>
      </c>
    </row>
    <row r="54" spans="1:11" ht="15" x14ac:dyDescent="0.25">
      <c r="B54" s="60">
        <f t="shared" si="15"/>
        <v>40894</v>
      </c>
      <c r="C54" s="61">
        <f t="shared" si="11"/>
        <v>40895</v>
      </c>
      <c r="D54" s="62">
        <f t="shared" si="20"/>
        <v>41258</v>
      </c>
      <c r="E54" s="62">
        <f t="shared" si="16"/>
        <v>41259</v>
      </c>
      <c r="F54" s="61">
        <f t="shared" si="17"/>
        <v>41629</v>
      </c>
      <c r="G54" s="61">
        <f t="shared" si="12"/>
        <v>41630</v>
      </c>
      <c r="H54" s="62">
        <f t="shared" si="18"/>
        <v>41993</v>
      </c>
      <c r="I54" s="62">
        <f t="shared" si="13"/>
        <v>41994</v>
      </c>
      <c r="J54" s="61">
        <f t="shared" si="19"/>
        <v>42357</v>
      </c>
      <c r="K54" s="63">
        <f t="shared" si="14"/>
        <v>42358</v>
      </c>
    </row>
    <row r="55" spans="1:11" ht="15" x14ac:dyDescent="0.25">
      <c r="B55" s="60">
        <f t="shared" si="15"/>
        <v>40901</v>
      </c>
      <c r="C55" s="61">
        <f t="shared" si="11"/>
        <v>40902</v>
      </c>
      <c r="D55" s="62">
        <f t="shared" si="20"/>
        <v>41265</v>
      </c>
      <c r="E55" s="62">
        <f t="shared" si="16"/>
        <v>41266</v>
      </c>
      <c r="F55" s="61">
        <f t="shared" si="17"/>
        <v>41636</v>
      </c>
      <c r="G55" s="61">
        <f t="shared" si="12"/>
        <v>41637</v>
      </c>
      <c r="H55" s="62">
        <f t="shared" si="18"/>
        <v>42000</v>
      </c>
      <c r="I55" s="62">
        <f t="shared" si="13"/>
        <v>42001</v>
      </c>
      <c r="J55" s="61">
        <f t="shared" si="19"/>
        <v>42364</v>
      </c>
      <c r="K55" s="63">
        <f t="shared" si="14"/>
        <v>42365</v>
      </c>
    </row>
    <row r="56" spans="1:11" ht="15.75" thickBot="1" x14ac:dyDescent="0.3">
      <c r="B56" s="68">
        <f t="shared" si="15"/>
        <v>40908</v>
      </c>
      <c r="C56" s="69"/>
      <c r="D56" s="70">
        <f t="shared" si="20"/>
        <v>41272</v>
      </c>
      <c r="E56" s="70">
        <f t="shared" si="16"/>
        <v>41273</v>
      </c>
      <c r="F56" s="69"/>
      <c r="G56" s="69"/>
      <c r="H56" s="70"/>
      <c r="I56" s="70"/>
      <c r="J56" s="69"/>
      <c r="K56" s="71"/>
    </row>
    <row r="57" spans="1:11" ht="15.75" thickTop="1" x14ac:dyDescent="0.25">
      <c r="A57" s="82" t="s">
        <v>925</v>
      </c>
      <c r="B57" s="72">
        <v>40902</v>
      </c>
      <c r="C57" s="73">
        <v>40900</v>
      </c>
      <c r="D57" s="74">
        <v>41268</v>
      </c>
      <c r="E57" s="74">
        <v>40910</v>
      </c>
      <c r="F57" s="73">
        <v>41633</v>
      </c>
      <c r="G57" s="73">
        <v>41276</v>
      </c>
      <c r="H57" s="74">
        <v>41998</v>
      </c>
      <c r="I57" s="74">
        <v>41641</v>
      </c>
      <c r="J57" s="73">
        <v>42363</v>
      </c>
      <c r="K57" s="75">
        <v>42006</v>
      </c>
    </row>
    <row r="58" spans="1:11" ht="15" x14ac:dyDescent="0.25">
      <c r="A58" s="82" t="s">
        <v>926</v>
      </c>
      <c r="B58" s="60">
        <v>40904</v>
      </c>
      <c r="C58" s="61">
        <v>40901</v>
      </c>
      <c r="D58" s="62">
        <v>41269</v>
      </c>
      <c r="E58" s="62">
        <v>40911</v>
      </c>
      <c r="F58" s="61">
        <v>41634</v>
      </c>
      <c r="G58" s="61">
        <v>41277</v>
      </c>
      <c r="H58" s="62">
        <v>41999</v>
      </c>
      <c r="I58" s="62">
        <v>41642</v>
      </c>
      <c r="J58" s="61">
        <v>42364</v>
      </c>
      <c r="K58" s="63">
        <v>42009</v>
      </c>
    </row>
    <row r="59" spans="1:11" x14ac:dyDescent="0.65">
      <c r="A59" s="82" t="s">
        <v>927</v>
      </c>
      <c r="B59" s="60">
        <v>40544</v>
      </c>
      <c r="C59" s="61">
        <v>40905</v>
      </c>
      <c r="D59" s="62">
        <v>40909</v>
      </c>
      <c r="E59" s="62">
        <v>40912</v>
      </c>
      <c r="F59" s="61">
        <v>41275</v>
      </c>
      <c r="G59" s="61">
        <v>41278</v>
      </c>
      <c r="H59" s="62">
        <v>41640</v>
      </c>
      <c r="I59" s="62">
        <v>41995</v>
      </c>
      <c r="J59" s="61">
        <v>42005</v>
      </c>
      <c r="K59" s="63">
        <v>42010</v>
      </c>
    </row>
    <row r="60" spans="1:11" x14ac:dyDescent="0.65">
      <c r="A60" s="82" t="s">
        <v>921</v>
      </c>
      <c r="B60" s="60">
        <v>40569</v>
      </c>
      <c r="C60" s="61">
        <v>40906</v>
      </c>
      <c r="D60" s="62" t="s">
        <v>921</v>
      </c>
      <c r="E60" s="62">
        <v>40913</v>
      </c>
      <c r="F60" s="61">
        <v>41302</v>
      </c>
      <c r="G60" s="61">
        <v>41631</v>
      </c>
      <c r="H60" s="62">
        <v>41666</v>
      </c>
      <c r="I60" s="62">
        <v>41996</v>
      </c>
      <c r="J60" s="61">
        <v>42030</v>
      </c>
      <c r="K60" s="63">
        <v>42011</v>
      </c>
    </row>
    <row r="61" spans="1:11" x14ac:dyDescent="0.65">
      <c r="A61" s="82" t="s">
        <v>928</v>
      </c>
      <c r="B61" s="60">
        <v>40655</v>
      </c>
      <c r="C61" s="61">
        <v>40907</v>
      </c>
      <c r="D61" s="62">
        <v>41005</v>
      </c>
      <c r="E61" s="62">
        <v>40914</v>
      </c>
      <c r="F61" s="61">
        <v>41362</v>
      </c>
      <c r="G61" s="61">
        <v>41632</v>
      </c>
      <c r="H61" s="62">
        <v>41747</v>
      </c>
      <c r="I61" s="62">
        <v>41997</v>
      </c>
      <c r="J61" s="61">
        <v>42097</v>
      </c>
      <c r="K61" s="63">
        <v>42012</v>
      </c>
    </row>
    <row r="62" spans="1:11" x14ac:dyDescent="0.65">
      <c r="A62" s="82" t="s">
        <v>929</v>
      </c>
      <c r="B62" s="60">
        <v>40658</v>
      </c>
      <c r="C62" s="61"/>
      <c r="D62" s="62">
        <v>41008</v>
      </c>
      <c r="E62" s="62">
        <v>41267</v>
      </c>
      <c r="F62" s="61">
        <v>41365</v>
      </c>
      <c r="G62" s="61">
        <v>41635</v>
      </c>
      <c r="H62" s="62">
        <v>41750</v>
      </c>
      <c r="I62" s="62">
        <v>42002</v>
      </c>
      <c r="J62" s="61">
        <v>42100</v>
      </c>
      <c r="K62" s="63">
        <v>42013</v>
      </c>
    </row>
    <row r="63" spans="1:11" x14ac:dyDescent="0.65">
      <c r="A63" s="82" t="s">
        <v>923</v>
      </c>
      <c r="B63" s="60">
        <v>40659</v>
      </c>
      <c r="C63" s="61"/>
      <c r="D63" s="62">
        <v>41024</v>
      </c>
      <c r="E63" s="62">
        <v>41270</v>
      </c>
      <c r="F63" s="61">
        <v>41389</v>
      </c>
      <c r="G63" s="61">
        <v>41638</v>
      </c>
      <c r="H63" s="62">
        <v>41754</v>
      </c>
      <c r="I63" s="62">
        <v>42003</v>
      </c>
      <c r="J63" s="61">
        <v>42121</v>
      </c>
      <c r="K63" s="63">
        <v>42362</v>
      </c>
    </row>
    <row r="64" spans="1:11" x14ac:dyDescent="0.65">
      <c r="A64" s="82" t="s">
        <v>922</v>
      </c>
      <c r="B64" s="60">
        <v>40665</v>
      </c>
      <c r="C64" s="61"/>
      <c r="D64" s="62">
        <v>41036</v>
      </c>
      <c r="E64" s="62">
        <v>41271</v>
      </c>
      <c r="F64" s="61">
        <v>41435</v>
      </c>
      <c r="G64" s="61">
        <v>41639</v>
      </c>
      <c r="H64" s="62">
        <v>41918</v>
      </c>
      <c r="I64" s="62">
        <v>42004</v>
      </c>
      <c r="J64" s="61">
        <v>42282</v>
      </c>
      <c r="K64" s="63">
        <v>42365</v>
      </c>
    </row>
    <row r="65" spans="1:11" x14ac:dyDescent="0.65">
      <c r="A65" s="82" t="s">
        <v>924</v>
      </c>
      <c r="B65" s="60">
        <v>40707</v>
      </c>
      <c r="C65" s="61"/>
      <c r="D65" s="62">
        <v>41071</v>
      </c>
      <c r="E65" s="62">
        <v>41274</v>
      </c>
      <c r="F65" s="61">
        <v>41554</v>
      </c>
      <c r="G65" s="61"/>
      <c r="H65" s="62">
        <v>41799</v>
      </c>
      <c r="I65" s="62"/>
      <c r="J65" s="61">
        <v>42163</v>
      </c>
      <c r="K65" s="63">
        <v>42366</v>
      </c>
    </row>
    <row r="66" spans="1:11" x14ac:dyDescent="0.65">
      <c r="B66" s="60"/>
      <c r="C66" s="61"/>
      <c r="D66" s="62"/>
      <c r="E66" s="62"/>
      <c r="F66" s="61"/>
      <c r="G66" s="61"/>
      <c r="H66" s="41"/>
      <c r="I66" s="41"/>
      <c r="J66" s="61"/>
      <c r="K66" s="63">
        <v>42367</v>
      </c>
    </row>
    <row r="67" spans="1:11" x14ac:dyDescent="0.65">
      <c r="B67" s="60"/>
      <c r="C67" s="61"/>
      <c r="D67" s="62"/>
      <c r="E67" s="62"/>
      <c r="F67" s="61"/>
      <c r="G67" s="61"/>
      <c r="H67" s="41"/>
      <c r="I67" s="41"/>
      <c r="J67" s="61"/>
      <c r="K67" s="63">
        <v>42368</v>
      </c>
    </row>
    <row r="68" spans="1:11" x14ac:dyDescent="0.65">
      <c r="B68" s="60"/>
      <c r="C68" s="61"/>
      <c r="D68" s="62"/>
      <c r="E68" s="62"/>
      <c r="F68" s="61"/>
      <c r="G68" s="61"/>
      <c r="H68" s="41"/>
      <c r="I68" s="41"/>
      <c r="J68" s="61"/>
      <c r="K68" s="63">
        <v>42369</v>
      </c>
    </row>
    <row r="69" spans="1:11" ht="14.5" thickBot="1" x14ac:dyDescent="0.7">
      <c r="B69" s="64"/>
      <c r="C69" s="76" t="s">
        <v>930</v>
      </c>
      <c r="D69" s="65"/>
      <c r="E69" s="76" t="s">
        <v>930</v>
      </c>
      <c r="F69" s="66"/>
      <c r="G69" s="76" t="s">
        <v>930</v>
      </c>
      <c r="H69" s="67"/>
      <c r="I69" s="76" t="s">
        <v>930</v>
      </c>
      <c r="J69" s="66"/>
      <c r="K69" s="95" t="s">
        <v>930</v>
      </c>
    </row>
    <row r="70" spans="1:11" ht="14.5" thickBot="1" x14ac:dyDescent="0.7">
      <c r="B70" s="59"/>
      <c r="C70" s="59"/>
      <c r="D70" s="58"/>
      <c r="E70" s="58"/>
      <c r="F70" s="37"/>
      <c r="G70" s="37"/>
      <c r="H70" s="37"/>
      <c r="I70" s="37"/>
      <c r="J70" s="37"/>
      <c r="K70" s="37"/>
    </row>
    <row r="71" spans="1:11" ht="18.25" thickBot="1" x14ac:dyDescent="0.85">
      <c r="A71" s="38" t="s">
        <v>613</v>
      </c>
      <c r="B71" s="59"/>
      <c r="C71" s="39">
        <v>9</v>
      </c>
      <c r="D71" s="58"/>
      <c r="E71" s="58"/>
      <c r="F71" s="37"/>
      <c r="G71" s="37"/>
      <c r="H71" s="37"/>
      <c r="I71" s="37"/>
      <c r="J71" s="37"/>
      <c r="K71" s="37"/>
    </row>
    <row r="72" spans="1:11" x14ac:dyDescent="0.65">
      <c r="A72" s="195" t="s">
        <v>1865</v>
      </c>
      <c r="B72" s="317"/>
      <c r="C72" s="317">
        <v>40634</v>
      </c>
      <c r="D72" s="58"/>
      <c r="E72" s="58"/>
      <c r="F72" s="37"/>
      <c r="G72" s="37"/>
      <c r="H72" s="37"/>
      <c r="I72" s="37"/>
      <c r="J72" s="37"/>
      <c r="K72" s="37"/>
    </row>
  </sheetData>
  <mergeCells count="6">
    <mergeCell ref="B1:K1"/>
    <mergeCell ref="B2:C2"/>
    <mergeCell ref="D2:E2"/>
    <mergeCell ref="F2:G2"/>
    <mergeCell ref="H2:I2"/>
    <mergeCell ref="J2:K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44"/>
  <sheetViews>
    <sheetView workbookViewId="0">
      <selection activeCell="F244" sqref="F2:F244"/>
    </sheetView>
  </sheetViews>
  <sheetFormatPr baseColWidth="10" defaultColWidth="9.1328125" defaultRowHeight="14.25" x14ac:dyDescent="0.65"/>
  <cols>
    <col min="1" max="1" width="9.1328125" style="286"/>
    <col min="2" max="2" width="33.86328125" style="287" customWidth="1"/>
    <col min="3" max="3" width="9.1328125" style="287"/>
    <col min="4" max="5" width="28.7265625" style="288" customWidth="1"/>
    <col min="6" max="6" width="14.40625" style="280" customWidth="1"/>
    <col min="7" max="14" width="13.54296875" style="139" customWidth="1"/>
    <col min="15" max="16384" width="9.1328125" style="139"/>
  </cols>
  <sheetData>
    <row r="1" spans="1:14" s="201" customFormat="1" ht="15" x14ac:dyDescent="0.25">
      <c r="A1" s="281" t="s">
        <v>972</v>
      </c>
      <c r="B1" s="281" t="s">
        <v>1798</v>
      </c>
      <c r="C1" s="281" t="s">
        <v>444</v>
      </c>
      <c r="D1" s="282" t="s">
        <v>1867</v>
      </c>
      <c r="E1" s="282" t="s">
        <v>1868</v>
      </c>
      <c r="F1" s="278" t="s">
        <v>1799</v>
      </c>
      <c r="G1" s="202" t="s">
        <v>1800</v>
      </c>
      <c r="H1" s="202" t="s">
        <v>1801</v>
      </c>
      <c r="I1" s="202" t="s">
        <v>1802</v>
      </c>
      <c r="J1" s="202" t="s">
        <v>1803</v>
      </c>
      <c r="K1" s="202" t="s">
        <v>1804</v>
      </c>
      <c r="L1" s="202" t="s">
        <v>1805</v>
      </c>
      <c r="M1" s="202" t="s">
        <v>1806</v>
      </c>
      <c r="N1" s="202" t="s">
        <v>1807</v>
      </c>
    </row>
    <row r="2" spans="1:14" ht="15" x14ac:dyDescent="0.25">
      <c r="A2" s="283">
        <v>1</v>
      </c>
      <c r="B2" s="284" t="s">
        <v>975</v>
      </c>
      <c r="C2" s="284">
        <f>IFERROR(VLOOKUP(A2,Estimate!A:L,12,FALSE),0)</f>
        <v>0</v>
      </c>
      <c r="D2" s="285"/>
      <c r="E2" s="285" t="s">
        <v>977</v>
      </c>
      <c r="F2" s="279">
        <f>IFERROR(VLOOKUP(A2,Estimate!A:Q,17,FALSE),0)</f>
        <v>0</v>
      </c>
      <c r="G2" s="205" t="str">
        <f>IFERROR(VLOOKUP($A2,'Budget &amp; Revenue'!$A:$AA,13,FALSE)," ")</f>
        <v xml:space="preserve"> </v>
      </c>
      <c r="H2" s="205" t="str">
        <f>IFERROR(VLOOKUP($A2,'Budget &amp; Revenue'!$A:$AA,15,FALSE)," ")</f>
        <v xml:space="preserve"> </v>
      </c>
      <c r="I2" s="205" t="str">
        <f>IFERROR(VLOOKUP($A2,'Budget &amp; Revenue'!$A:$AA,17,FALSE)," ")</f>
        <v xml:space="preserve"> </v>
      </c>
      <c r="J2" s="205" t="str">
        <f>IFERROR(VLOOKUP($A2,'Budget &amp; Revenue'!$A:$AA,19,FALSE)," ")</f>
        <v xml:space="preserve"> </v>
      </c>
      <c r="K2" s="205" t="str">
        <f>IFERROR(VLOOKUP($A2,'Budget &amp; Revenue'!$A:$AA,21,FALSE)," ")</f>
        <v xml:space="preserve"> </v>
      </c>
      <c r="L2" s="205" t="str">
        <f>IFERROR(VLOOKUP($A2,'Budget &amp; Revenue'!$A:$AA,23,FALSE)," ")</f>
        <v xml:space="preserve"> </v>
      </c>
      <c r="M2" s="205" t="str">
        <f>IFERROR(VLOOKUP($A2,'Budget &amp; Revenue'!$A:$AA,25,FALSE)," ")</f>
        <v xml:space="preserve"> </v>
      </c>
      <c r="N2" s="205" t="str">
        <f>IFERROR(VLOOKUP($A2,'Budget &amp; Revenue'!$A:$AA,27,FALSE)," ")</f>
        <v xml:space="preserve"> </v>
      </c>
    </row>
    <row r="3" spans="1:14" ht="45" x14ac:dyDescent="0.25">
      <c r="A3" s="283">
        <v>2</v>
      </c>
      <c r="B3" s="284" t="s">
        <v>976</v>
      </c>
      <c r="C3" s="284">
        <f>IFERROR(VLOOKUP(A3,Estimate!A:L,12,FALSE),0)</f>
        <v>0</v>
      </c>
      <c r="D3" s="285" t="s">
        <v>978</v>
      </c>
      <c r="E3" s="285"/>
      <c r="F3" s="279">
        <f>IFERROR(VLOOKUP(A3,Estimate!A:Q,17,FALSE),0)</f>
        <v>0</v>
      </c>
      <c r="G3" s="205" t="str">
        <f>IFERROR(VLOOKUP($A3,'Budget &amp; Revenue'!$A:$AA,13,FALSE)," ")</f>
        <v xml:space="preserve"> </v>
      </c>
      <c r="H3" s="205" t="str">
        <f>IFERROR(VLOOKUP($A3,'Budget &amp; Revenue'!$A:$AA,15,FALSE)," ")</f>
        <v xml:space="preserve"> </v>
      </c>
      <c r="I3" s="205" t="str">
        <f>IFERROR(VLOOKUP($A3,'Budget &amp; Revenue'!$A:$AA,17,FALSE)," ")</f>
        <v xml:space="preserve"> </v>
      </c>
      <c r="J3" s="205" t="str">
        <f>IFERROR(VLOOKUP($A3,'Budget &amp; Revenue'!$A:$AA,19,FALSE)," ")</f>
        <v xml:space="preserve"> </v>
      </c>
      <c r="K3" s="205" t="str">
        <f>IFERROR(VLOOKUP($A3,'Budget &amp; Revenue'!$A:$AA,21,FALSE)," ")</f>
        <v xml:space="preserve"> </v>
      </c>
      <c r="L3" s="205" t="str">
        <f>IFERROR(VLOOKUP($A3,'Budget &amp; Revenue'!$A:$AA,23,FALSE)," ")</f>
        <v xml:space="preserve"> </v>
      </c>
      <c r="M3" s="205" t="str">
        <f>IFERROR(VLOOKUP($A3,'Budget &amp; Revenue'!$A:$AA,25,FALSE)," ")</f>
        <v xml:space="preserve"> </v>
      </c>
      <c r="N3" s="205" t="str">
        <f>IFERROR(VLOOKUP($A3,'Budget &amp; Revenue'!$A:$AA,27,FALSE)," ")</f>
        <v xml:space="preserve"> </v>
      </c>
    </row>
    <row r="4" spans="1:14" ht="15" x14ac:dyDescent="0.25">
      <c r="A4" s="283">
        <v>3</v>
      </c>
      <c r="B4" s="284" t="str">
        <f>VLOOKUP(A4,Estimate!A:C,3,FALSE)</f>
        <v>PRELIMINARIES</v>
      </c>
      <c r="C4" s="284">
        <f>IFERROR(VLOOKUP(A4,Estimate!A:L,12,FALSE),0)</f>
        <v>0</v>
      </c>
      <c r="D4" s="285"/>
      <c r="E4" s="285"/>
      <c r="F4" s="279">
        <f>IFERROR(VLOOKUP(A4,Estimate!A:Q,17,FALSE),0)</f>
        <v>0</v>
      </c>
      <c r="G4" s="205">
        <f>IFERROR(VLOOKUP($A4,'Budget &amp; Revenue'!$A:$AA,13,FALSE)," ")</f>
        <v>0</v>
      </c>
      <c r="H4" s="205">
        <f>IFERROR(VLOOKUP($A4,'Budget &amp; Revenue'!$A:$AA,15,FALSE)," ")</f>
        <v>0</v>
      </c>
      <c r="I4" s="205">
        <f>IFERROR(VLOOKUP($A4,'Budget &amp; Revenue'!$A:$AA,17,FALSE)," ")</f>
        <v>0</v>
      </c>
      <c r="J4" s="205">
        <f>IFERROR(VLOOKUP($A4,'Budget &amp; Revenue'!$A:$AA,19,FALSE)," ")</f>
        <v>0</v>
      </c>
      <c r="K4" s="205">
        <f>IFERROR(VLOOKUP($A4,'Budget &amp; Revenue'!$A:$AA,21,FALSE)," ")</f>
        <v>0</v>
      </c>
      <c r="L4" s="205">
        <f>IFERROR(VLOOKUP($A4,'Budget &amp; Revenue'!$A:$AA,23,FALSE)," ")</f>
        <v>0</v>
      </c>
      <c r="M4" s="205">
        <f>IFERROR(VLOOKUP($A4,'Budget &amp; Revenue'!$A:$AA,25,FALSE)," ")</f>
        <v>0</v>
      </c>
      <c r="N4" s="205">
        <f>IFERROR(VLOOKUP($A4,'Budget &amp; Revenue'!$A:$AA,27,FALSE)," ")</f>
        <v>0</v>
      </c>
    </row>
    <row r="5" spans="1:14" ht="60" x14ac:dyDescent="0.25">
      <c r="A5" s="283">
        <v>4</v>
      </c>
      <c r="B5" s="284" t="str">
        <f>VLOOKUP(A5,Estimate!A:C,3,FALSE)</f>
        <v>Site establishment &amp; disestablishment including but not limited to, mandatory permits and fees</v>
      </c>
      <c r="C5" s="284">
        <f>IFERROR(VLOOKUP(A5,Estimate!A:L,12,FALSE),0)</f>
        <v>5</v>
      </c>
      <c r="D5" s="285" t="s">
        <v>979</v>
      </c>
      <c r="E5" s="285" t="s">
        <v>980</v>
      </c>
      <c r="F5" s="279">
        <f>IFERROR(VLOOKUP(A5,Estimate!A:Q,17,FALSE),0)</f>
        <v>36340</v>
      </c>
      <c r="G5" s="205">
        <f>IFERROR(VLOOKUP($A5,'Budget &amp; Revenue'!$A:$AA,13,FALSE)," ")</f>
        <v>0.5</v>
      </c>
      <c r="H5" s="205">
        <f>IFERROR(VLOOKUP($A5,'Budget &amp; Revenue'!$A:$AA,15,FALSE)," ")</f>
        <v>1</v>
      </c>
      <c r="I5" s="205">
        <f>IFERROR(VLOOKUP($A5,'Budget &amp; Revenue'!$A:$AA,17,FALSE)," ")</f>
        <v>1</v>
      </c>
      <c r="J5" s="205">
        <f>IFERROR(VLOOKUP($A5,'Budget &amp; Revenue'!$A:$AA,19,FALSE)," ")</f>
        <v>1</v>
      </c>
      <c r="K5" s="205">
        <f>IFERROR(VLOOKUP($A5,'Budget &amp; Revenue'!$A:$AA,21,FALSE)," ")</f>
        <v>1</v>
      </c>
      <c r="L5" s="205">
        <f>IFERROR(VLOOKUP($A5,'Budget &amp; Revenue'!$A:$AA,23,FALSE)," ")</f>
        <v>1</v>
      </c>
      <c r="M5" s="205">
        <f>IFERROR(VLOOKUP($A5,'Budget &amp; Revenue'!$A:$AA,25,FALSE)," ")</f>
        <v>1</v>
      </c>
      <c r="N5" s="205">
        <f>IFERROR(VLOOKUP($A5,'Budget &amp; Revenue'!$A:$AA,27,FALSE)," ")</f>
        <v>1</v>
      </c>
    </row>
    <row r="6" spans="1:14" ht="75" x14ac:dyDescent="0.25">
      <c r="A6" s="283">
        <v>5</v>
      </c>
      <c r="B6" s="284" t="str">
        <f>VLOOKUP(A6,Estimate!A:C,3,FALSE)</f>
        <v>Establishment and maintenance of Provision for Traffic in accordance with AS 1742 Manual of uniform traffic control devices and as directed by the Superintendent</v>
      </c>
      <c r="C6" s="284">
        <f>IFERROR(VLOOKUP(A6,Estimate!A:L,12,FALSE),0)</f>
        <v>0</v>
      </c>
      <c r="D6" s="285" t="s">
        <v>981</v>
      </c>
      <c r="E6" s="285">
        <v>6</v>
      </c>
      <c r="F6" s="279">
        <f>IFERROR(VLOOKUP(A6,Estimate!A:Q,17,FALSE),0)</f>
        <v>25694.400000000001</v>
      </c>
      <c r="G6" s="205">
        <f>IFERROR(VLOOKUP($A6,'Budget &amp; Revenue'!$A:$AA,13,FALSE)," ")</f>
        <v>0.2</v>
      </c>
      <c r="H6" s="205">
        <f>IFERROR(VLOOKUP($A6,'Budget &amp; Revenue'!$A:$AA,15,FALSE)," ")</f>
        <v>0.6</v>
      </c>
      <c r="I6" s="205">
        <f>IFERROR(VLOOKUP($A6,'Budget &amp; Revenue'!$A:$AA,17,FALSE)," ")</f>
        <v>0.8</v>
      </c>
      <c r="J6" s="205">
        <f>IFERROR(VLOOKUP($A6,'Budget &amp; Revenue'!$A:$AA,19,FALSE)," ")</f>
        <v>0.9</v>
      </c>
      <c r="K6" s="205">
        <f>IFERROR(VLOOKUP($A6,'Budget &amp; Revenue'!$A:$AA,21,FALSE)," ")</f>
        <v>0.95</v>
      </c>
      <c r="L6" s="205">
        <f>IFERROR(VLOOKUP($A6,'Budget &amp; Revenue'!$A:$AA,23,FALSE)," ")</f>
        <v>1</v>
      </c>
      <c r="M6" s="205">
        <f>IFERROR(VLOOKUP($A6,'Budget &amp; Revenue'!$A:$AA,25,FALSE)," ")</f>
        <v>1</v>
      </c>
      <c r="N6" s="205">
        <f>IFERROR(VLOOKUP($A6,'Budget &amp; Revenue'!$A:$AA,27,FALSE)," ")</f>
        <v>1</v>
      </c>
    </row>
    <row r="7" spans="1:14" ht="15" x14ac:dyDescent="0.25">
      <c r="A7" s="283">
        <v>6</v>
      </c>
      <c r="B7" s="284" t="str">
        <f>VLOOKUP(A7,Estimate!A:C,3,FALSE)</f>
        <v>Construction Survey Set out</v>
      </c>
      <c r="C7" s="284">
        <f>IFERROR(VLOOKUP(A7,Estimate!A:L,12,FALSE),0)</f>
        <v>0</v>
      </c>
      <c r="D7" s="285" t="s">
        <v>982</v>
      </c>
      <c r="E7" s="285">
        <v>2</v>
      </c>
      <c r="F7" s="279">
        <f>IFERROR(VLOOKUP(A7,Estimate!A:Q,17,FALSE),0)</f>
        <v>16650</v>
      </c>
      <c r="G7" s="205">
        <f>IFERROR(VLOOKUP($A7,'Budget &amp; Revenue'!$A:$AA,13,FALSE)," ")</f>
        <v>0.15</v>
      </c>
      <c r="H7" s="205">
        <f>IFERROR(VLOOKUP($A7,'Budget &amp; Revenue'!$A:$AA,15,FALSE)," ")</f>
        <v>0.3</v>
      </c>
      <c r="I7" s="205">
        <f>IFERROR(VLOOKUP($A7,'Budget &amp; Revenue'!$A:$AA,17,FALSE)," ")</f>
        <v>0.6</v>
      </c>
      <c r="J7" s="205">
        <f>IFERROR(VLOOKUP($A7,'Budget &amp; Revenue'!$A:$AA,19,FALSE)," ")</f>
        <v>0.8</v>
      </c>
      <c r="K7" s="205">
        <f>IFERROR(VLOOKUP($A7,'Budget &amp; Revenue'!$A:$AA,21,FALSE)," ")</f>
        <v>1</v>
      </c>
      <c r="L7" s="205">
        <f>IFERROR(VLOOKUP($A7,'Budget &amp; Revenue'!$A:$AA,23,FALSE)," ")</f>
        <v>1</v>
      </c>
      <c r="M7" s="205">
        <f>IFERROR(VLOOKUP($A7,'Budget &amp; Revenue'!$A:$AA,25,FALSE)," ")</f>
        <v>1</v>
      </c>
      <c r="N7" s="205">
        <f>IFERROR(VLOOKUP($A7,'Budget &amp; Revenue'!$A:$AA,27,FALSE)," ")</f>
        <v>1</v>
      </c>
    </row>
    <row r="8" spans="1:14" ht="45" x14ac:dyDescent="0.25">
      <c r="A8" s="283">
        <v>7</v>
      </c>
      <c r="B8" s="284" t="str">
        <f>VLOOKUP(A8,Estimate!A:C,3,FALSE)</f>
        <v>As constructed drawings and data, including surveying &amp; drafting in accordance with Council Standards</v>
      </c>
      <c r="C8" s="284">
        <f>IFERROR(VLOOKUP(A8,Estimate!A:L,12,FALSE),0)</f>
        <v>5</v>
      </c>
      <c r="D8" s="285" t="s">
        <v>983</v>
      </c>
      <c r="E8" s="285">
        <v>2</v>
      </c>
      <c r="F8" s="279">
        <f>IFERROR(VLOOKUP(A8,Estimate!A:Q,17,FALSE),0)</f>
        <v>7030</v>
      </c>
      <c r="G8" s="205">
        <f>IFERROR(VLOOKUP($A8,'Budget &amp; Revenue'!$A:$AA,13,FALSE)," ")</f>
        <v>0</v>
      </c>
      <c r="H8" s="205">
        <f>IFERROR(VLOOKUP($A8,'Budget &amp; Revenue'!$A:$AA,15,FALSE)," ")</f>
        <v>0</v>
      </c>
      <c r="I8" s="205">
        <f>IFERROR(VLOOKUP($A8,'Budget &amp; Revenue'!$A:$AA,17,FALSE)," ")</f>
        <v>0</v>
      </c>
      <c r="J8" s="205">
        <f>IFERROR(VLOOKUP($A8,'Budget &amp; Revenue'!$A:$AA,19,FALSE)," ")</f>
        <v>0</v>
      </c>
      <c r="K8" s="205">
        <f>IFERROR(VLOOKUP($A8,'Budget &amp; Revenue'!$A:$AA,21,FALSE)," ")</f>
        <v>0</v>
      </c>
      <c r="L8" s="205">
        <f>IFERROR(VLOOKUP($A8,'Budget &amp; Revenue'!$A:$AA,23,FALSE)," ")</f>
        <v>0</v>
      </c>
      <c r="M8" s="205">
        <f>IFERROR(VLOOKUP($A8,'Budget &amp; Revenue'!$A:$AA,25,FALSE)," ")</f>
        <v>1</v>
      </c>
      <c r="N8" s="205">
        <f>IFERROR(VLOOKUP($A8,'Budget &amp; Revenue'!$A:$AA,27,FALSE)," ")</f>
        <v>1</v>
      </c>
    </row>
    <row r="9" spans="1:14" ht="30" x14ac:dyDescent="0.25">
      <c r="A9" s="283">
        <v>8</v>
      </c>
      <c r="B9" s="284" t="str">
        <f>VLOOKUP(A9,Estimate!A:C,3,FALSE)</f>
        <v>Preparation &amp; implementation of project quality &amp; OHS&amp;R plans</v>
      </c>
      <c r="C9" s="284">
        <f>IFERROR(VLOOKUP(A9,Estimate!A:L,12,FALSE),0)</f>
        <v>5</v>
      </c>
      <c r="D9" s="285">
        <v>1</v>
      </c>
      <c r="E9" s="285" t="s">
        <v>1770</v>
      </c>
      <c r="F9" s="279">
        <f>IFERROR(VLOOKUP(A9,Estimate!A:Q,17,FALSE),0)</f>
        <v>3250</v>
      </c>
      <c r="G9" s="205">
        <f>IFERROR(VLOOKUP($A9,'Budget &amp; Revenue'!$A:$AA,13,FALSE)," ")</f>
        <v>1</v>
      </c>
      <c r="H9" s="205">
        <f>IFERROR(VLOOKUP($A9,'Budget &amp; Revenue'!$A:$AA,15,FALSE)," ")</f>
        <v>1</v>
      </c>
      <c r="I9" s="205">
        <f>IFERROR(VLOOKUP($A9,'Budget &amp; Revenue'!$A:$AA,17,FALSE)," ")</f>
        <v>1</v>
      </c>
      <c r="J9" s="205">
        <f>IFERROR(VLOOKUP($A9,'Budget &amp; Revenue'!$A:$AA,19,FALSE)," ")</f>
        <v>1</v>
      </c>
      <c r="K9" s="205">
        <f>IFERROR(VLOOKUP($A9,'Budget &amp; Revenue'!$A:$AA,21,FALSE)," ")</f>
        <v>1</v>
      </c>
      <c r="L9" s="205">
        <f>IFERROR(VLOOKUP($A9,'Budget &amp; Revenue'!$A:$AA,23,FALSE)," ")</f>
        <v>1</v>
      </c>
      <c r="M9" s="205">
        <f>IFERROR(VLOOKUP($A9,'Budget &amp; Revenue'!$A:$AA,25,FALSE)," ")</f>
        <v>1</v>
      </c>
      <c r="N9" s="205">
        <f>IFERROR(VLOOKUP($A9,'Budget &amp; Revenue'!$A:$AA,27,FALSE)," ")</f>
        <v>1</v>
      </c>
    </row>
    <row r="10" spans="1:14" ht="15" x14ac:dyDescent="0.25">
      <c r="A10" s="283">
        <v>9</v>
      </c>
      <c r="B10" s="284" t="str">
        <f>VLOOKUP(A10,Estimate!A:C,3,FALSE)</f>
        <v>Geotechnical Testing</v>
      </c>
      <c r="C10" s="284">
        <f>IFERROR(VLOOKUP(A10,Estimate!A:L,12,FALSE),0)</f>
        <v>0</v>
      </c>
      <c r="D10" s="285">
        <v>32</v>
      </c>
      <c r="E10" s="285">
        <v>2</v>
      </c>
      <c r="F10" s="279">
        <f>IFERROR(VLOOKUP(A10,Estimate!A:Q,17,FALSE),0)</f>
        <v>14950</v>
      </c>
      <c r="G10" s="205">
        <f>IFERROR(VLOOKUP($A10,'Budget &amp; Revenue'!$A:$AA,13,FALSE)," ")</f>
        <v>0.05</v>
      </c>
      <c r="H10" s="205">
        <f>IFERROR(VLOOKUP($A10,'Budget &amp; Revenue'!$A:$AA,15,FALSE)," ")</f>
        <v>0.15</v>
      </c>
      <c r="I10" s="205">
        <f>IFERROR(VLOOKUP($A10,'Budget &amp; Revenue'!$A:$AA,17,FALSE)," ")</f>
        <v>0.5</v>
      </c>
      <c r="J10" s="205">
        <f>IFERROR(VLOOKUP($A10,'Budget &amp; Revenue'!$A:$AA,19,FALSE)," ")</f>
        <v>0.75</v>
      </c>
      <c r="K10" s="205">
        <f>IFERROR(VLOOKUP($A10,'Budget &amp; Revenue'!$A:$AA,21,FALSE)," ")</f>
        <v>1</v>
      </c>
      <c r="L10" s="205">
        <f>IFERROR(VLOOKUP($A10,'Budget &amp; Revenue'!$A:$AA,23,FALSE)," ")</f>
        <v>1</v>
      </c>
      <c r="M10" s="205">
        <f>IFERROR(VLOOKUP($A10,'Budget &amp; Revenue'!$A:$AA,25,FALSE)," ")</f>
        <v>1</v>
      </c>
      <c r="N10" s="205">
        <f>IFERROR(VLOOKUP($A10,'Budget &amp; Revenue'!$A:$AA,27,FALSE)," ")</f>
        <v>1</v>
      </c>
    </row>
    <row r="11" spans="1:14" ht="15" x14ac:dyDescent="0.25">
      <c r="A11" s="283">
        <v>10</v>
      </c>
      <c r="B11" s="284" t="str">
        <f>VLOOKUP(A11,Estimate!A:C,3,FALSE)</f>
        <v>Portable Long Service Levy</v>
      </c>
      <c r="C11" s="284">
        <f>IFERROR(VLOOKUP(A11,Estimate!A:L,12,FALSE),0)</f>
        <v>0</v>
      </c>
      <c r="D11" s="285">
        <v>1</v>
      </c>
      <c r="E11" s="285">
        <v>4</v>
      </c>
      <c r="F11" s="279">
        <f>IFERROR(VLOOKUP(A11,Estimate!A:Q,17,FALSE),0)</f>
        <v>10220</v>
      </c>
      <c r="G11" s="205">
        <f>IFERROR(VLOOKUP($A11,'Budget &amp; Revenue'!$A:$AA,13,FALSE)," ")</f>
        <v>1</v>
      </c>
      <c r="H11" s="205">
        <f>IFERROR(VLOOKUP($A11,'Budget &amp; Revenue'!$A:$AA,15,FALSE)," ")</f>
        <v>1</v>
      </c>
      <c r="I11" s="205">
        <f>IFERROR(VLOOKUP($A11,'Budget &amp; Revenue'!$A:$AA,17,FALSE)," ")</f>
        <v>1</v>
      </c>
      <c r="J11" s="205">
        <f>IFERROR(VLOOKUP($A11,'Budget &amp; Revenue'!$A:$AA,19,FALSE)," ")</f>
        <v>1</v>
      </c>
      <c r="K11" s="205">
        <f>IFERROR(VLOOKUP($A11,'Budget &amp; Revenue'!$A:$AA,21,FALSE)," ")</f>
        <v>1</v>
      </c>
      <c r="L11" s="205">
        <f>IFERROR(VLOOKUP($A11,'Budget &amp; Revenue'!$A:$AA,23,FALSE)," ")</f>
        <v>1</v>
      </c>
      <c r="M11" s="205">
        <f>IFERROR(VLOOKUP($A11,'Budget &amp; Revenue'!$A:$AA,25,FALSE)," ")</f>
        <v>1</v>
      </c>
      <c r="N11" s="205">
        <f>IFERROR(VLOOKUP($A11,'Budget &amp; Revenue'!$A:$AA,27,FALSE)," ")</f>
        <v>1</v>
      </c>
    </row>
    <row r="12" spans="1:14" ht="28.5" x14ac:dyDescent="0.65">
      <c r="A12" s="283">
        <v>11</v>
      </c>
      <c r="B12" s="284" t="str">
        <f>VLOOKUP(A12,Estimate!A:C,3,FALSE)</f>
        <v>Enviromental Management (including ASS management)</v>
      </c>
      <c r="C12" s="284">
        <f>IFERROR(VLOOKUP(A12,Estimate!A:L,12,FALSE),0)</f>
        <v>0</v>
      </c>
      <c r="D12" s="285">
        <v>1</v>
      </c>
      <c r="E12" s="285">
        <v>4</v>
      </c>
      <c r="F12" s="279">
        <f>IFERROR(VLOOKUP(A12,Estimate!A:Q,17,FALSE),0)</f>
        <v>3250</v>
      </c>
      <c r="G12" s="205">
        <f>IFERROR(VLOOKUP($A12,'Budget &amp; Revenue'!$A:$AA,13,FALSE)," ")</f>
        <v>0.15</v>
      </c>
      <c r="H12" s="205">
        <f>IFERROR(VLOOKUP($A12,'Budget &amp; Revenue'!$A:$AA,15,FALSE)," ")</f>
        <v>0.3</v>
      </c>
      <c r="I12" s="205">
        <f>IFERROR(VLOOKUP($A12,'Budget &amp; Revenue'!$A:$AA,17,FALSE)," ")</f>
        <v>0.6</v>
      </c>
      <c r="J12" s="205">
        <f>IFERROR(VLOOKUP($A12,'Budget &amp; Revenue'!$A:$AA,19,FALSE)," ")</f>
        <v>0.8</v>
      </c>
      <c r="K12" s="205">
        <f>IFERROR(VLOOKUP($A12,'Budget &amp; Revenue'!$A:$AA,21,FALSE)," ")</f>
        <v>0.95</v>
      </c>
      <c r="L12" s="205">
        <f>IFERROR(VLOOKUP($A12,'Budget &amp; Revenue'!$A:$AA,23,FALSE)," ")</f>
        <v>1</v>
      </c>
      <c r="M12" s="205">
        <f>IFERROR(VLOOKUP($A12,'Budget &amp; Revenue'!$A:$AA,25,FALSE)," ")</f>
        <v>1</v>
      </c>
      <c r="N12" s="205">
        <f>IFERROR(VLOOKUP($A12,'Budget &amp; Revenue'!$A:$AA,27,FALSE)," ")</f>
        <v>1</v>
      </c>
    </row>
    <row r="13" spans="1:14" x14ac:dyDescent="0.65">
      <c r="A13" s="283">
        <v>12</v>
      </c>
      <c r="B13" s="284" t="str">
        <f>VLOOKUP(A13,Estimate!A:C,3,FALSE)</f>
        <v>Provision for Water</v>
      </c>
      <c r="C13" s="284">
        <f>IFERROR(VLOOKUP(A13,Estimate!A:L,12,FALSE),0)</f>
        <v>0</v>
      </c>
      <c r="D13" s="285">
        <v>4</v>
      </c>
      <c r="E13" s="285">
        <v>2</v>
      </c>
      <c r="F13" s="279">
        <f>IFERROR(VLOOKUP(A13,Estimate!A:Q,17,FALSE),0)</f>
        <v>12700.800000000001</v>
      </c>
      <c r="G13" s="205">
        <f>IFERROR(VLOOKUP($A13,'Budget &amp; Revenue'!$A:$AA,13,FALSE)," ")</f>
        <v>0.2</v>
      </c>
      <c r="H13" s="205">
        <f>IFERROR(VLOOKUP($A13,'Budget &amp; Revenue'!$A:$AA,15,FALSE)," ")</f>
        <v>0.4</v>
      </c>
      <c r="I13" s="205">
        <f>IFERROR(VLOOKUP($A13,'Budget &amp; Revenue'!$A:$AA,17,FALSE)," ")</f>
        <v>0.7</v>
      </c>
      <c r="J13" s="205">
        <f>IFERROR(VLOOKUP($A13,'Budget &amp; Revenue'!$A:$AA,19,FALSE)," ")</f>
        <v>0.85</v>
      </c>
      <c r="K13" s="205">
        <f>IFERROR(VLOOKUP($A13,'Budget &amp; Revenue'!$A:$AA,21,FALSE)," ")</f>
        <v>0.95</v>
      </c>
      <c r="L13" s="205">
        <f>IFERROR(VLOOKUP($A13,'Budget &amp; Revenue'!$A:$AA,23,FALSE)," ")</f>
        <v>1</v>
      </c>
      <c r="M13" s="205">
        <f>IFERROR(VLOOKUP($A13,'Budget &amp; Revenue'!$A:$AA,25,FALSE)," ")</f>
        <v>1</v>
      </c>
      <c r="N13" s="205">
        <f>IFERROR(VLOOKUP($A13,'Budget &amp; Revenue'!$A:$AA,27,FALSE)," ")</f>
        <v>1</v>
      </c>
    </row>
    <row r="14" spans="1:14" x14ac:dyDescent="0.65">
      <c r="A14" s="283">
        <v>13</v>
      </c>
      <c r="B14" s="284" t="str">
        <f>VLOOKUP(A14,Estimate!A:C,3,FALSE)</f>
        <v>SEDIMENT &amp; EROSION CONTROL</v>
      </c>
      <c r="C14" s="284">
        <f>IFERROR(VLOOKUP(A14,Estimate!A:L,12,FALSE),0)</f>
        <v>0</v>
      </c>
      <c r="D14" s="285"/>
      <c r="E14" s="285"/>
      <c r="F14" s="279">
        <f>IFERROR(VLOOKUP(A14,Estimate!A:Q,17,FALSE),0)</f>
        <v>0</v>
      </c>
      <c r="G14" s="205" t="str">
        <f>IFERROR(VLOOKUP($A14,'Budget &amp; Revenue'!$A:$AA,13,FALSE)," ")</f>
        <v xml:space="preserve"> </v>
      </c>
      <c r="H14" s="205" t="str">
        <f>IFERROR(VLOOKUP($A14,'Budget &amp; Revenue'!$A:$AA,15,FALSE)," ")</f>
        <v xml:space="preserve"> </v>
      </c>
      <c r="I14" s="205" t="str">
        <f>IFERROR(VLOOKUP($A14,'Budget &amp; Revenue'!$A:$AA,17,FALSE)," ")</f>
        <v xml:space="preserve"> </v>
      </c>
      <c r="J14" s="205" t="str">
        <f>IFERROR(VLOOKUP($A14,'Budget &amp; Revenue'!$A:$AA,19,FALSE)," ")</f>
        <v xml:space="preserve"> </v>
      </c>
      <c r="K14" s="205" t="str">
        <f>IFERROR(VLOOKUP($A14,'Budget &amp; Revenue'!$A:$AA,21,FALSE)," ")</f>
        <v xml:space="preserve"> </v>
      </c>
      <c r="L14" s="205" t="str">
        <f>IFERROR(VLOOKUP($A14,'Budget &amp; Revenue'!$A:$AA,23,FALSE)," ")</f>
        <v xml:space="preserve"> </v>
      </c>
      <c r="M14" s="205" t="str">
        <f>IFERROR(VLOOKUP($A14,'Budget &amp; Revenue'!$A:$AA,25,FALSE)," ")</f>
        <v xml:space="preserve"> </v>
      </c>
      <c r="N14" s="205" t="str">
        <f>IFERROR(VLOOKUP($A14,'Budget &amp; Revenue'!$A:$AA,27,FALSE)," ")</f>
        <v xml:space="preserve"> </v>
      </c>
    </row>
    <row r="15" spans="1:14" ht="85.5" x14ac:dyDescent="0.65">
      <c r="A15" s="283">
        <v>14</v>
      </c>
      <c r="B15" s="284" t="str">
        <f>VLOOKUP(A15,Estimate!A:C,3,FALSE)</f>
        <v>Establishment and maintenance of interim site drainage as required, sediment and erosion control devices as nominated on drawings and as directed by the Superintendent complete in place</v>
      </c>
      <c r="C15" s="284">
        <f>IFERROR(VLOOKUP(A15,Estimate!A:L,12,FALSE),0)</f>
        <v>3</v>
      </c>
      <c r="D15" s="285">
        <v>4</v>
      </c>
      <c r="E15" s="285">
        <v>17</v>
      </c>
      <c r="F15" s="279">
        <f>IFERROR(VLOOKUP(A15,Estimate!A:Q,17,FALSE),0)</f>
        <v>9126.0307803078031</v>
      </c>
      <c r="G15" s="205">
        <f>IFERROR(VLOOKUP($A15,'Budget &amp; Revenue'!$A:$AA,13,FALSE)," ")</f>
        <v>0.2</v>
      </c>
      <c r="H15" s="205">
        <f>IFERROR(VLOOKUP($A15,'Budget &amp; Revenue'!$A:$AA,15,FALSE)," ")</f>
        <v>0.4</v>
      </c>
      <c r="I15" s="205">
        <f>IFERROR(VLOOKUP($A15,'Budget &amp; Revenue'!$A:$AA,17,FALSE)," ")</f>
        <v>0.7</v>
      </c>
      <c r="J15" s="205">
        <f>IFERROR(VLOOKUP($A15,'Budget &amp; Revenue'!$A:$AA,19,FALSE)," ")</f>
        <v>0.85</v>
      </c>
      <c r="K15" s="205">
        <f>IFERROR(VLOOKUP($A15,'Budget &amp; Revenue'!$A:$AA,21,FALSE)," ")</f>
        <v>1</v>
      </c>
      <c r="L15" s="205">
        <f>IFERROR(VLOOKUP($A15,'Budget &amp; Revenue'!$A:$AA,23,FALSE)," ")</f>
        <v>1</v>
      </c>
      <c r="M15" s="205">
        <f>IFERROR(VLOOKUP($A15,'Budget &amp; Revenue'!$A:$AA,25,FALSE)," ")</f>
        <v>1</v>
      </c>
      <c r="N15" s="205">
        <f>IFERROR(VLOOKUP($A15,'Budget &amp; Revenue'!$A:$AA,27,FALSE)," ")</f>
        <v>1</v>
      </c>
    </row>
    <row r="16" spans="1:14" x14ac:dyDescent="0.65">
      <c r="A16" s="283">
        <v>15</v>
      </c>
      <c r="B16" s="284" t="str">
        <f>VLOOKUP(A16,Estimate!A:C,3,FALSE)</f>
        <v>EARTHWORKS</v>
      </c>
      <c r="C16" s="284"/>
      <c r="D16" s="285"/>
      <c r="E16" s="285"/>
      <c r="F16" s="279">
        <f>IFERROR(VLOOKUP(A16,Estimate!A:Q,17,FALSE),0)</f>
        <v>0</v>
      </c>
      <c r="G16" s="205" t="str">
        <f>IFERROR(VLOOKUP($A16,'Budget &amp; Revenue'!$A:$AA,13,FALSE)," ")</f>
        <v xml:space="preserve"> </v>
      </c>
      <c r="H16" s="205" t="str">
        <f>IFERROR(VLOOKUP($A16,'Budget &amp; Revenue'!$A:$AA,15,FALSE)," ")</f>
        <v xml:space="preserve"> </v>
      </c>
      <c r="I16" s="205" t="str">
        <f>IFERROR(VLOOKUP($A16,'Budget &amp; Revenue'!$A:$AA,17,FALSE)," ")</f>
        <v xml:space="preserve"> </v>
      </c>
      <c r="J16" s="205" t="str">
        <f>IFERROR(VLOOKUP($A16,'Budget &amp; Revenue'!$A:$AA,19,FALSE)," ")</f>
        <v xml:space="preserve"> </v>
      </c>
      <c r="K16" s="205" t="str">
        <f>IFERROR(VLOOKUP($A16,'Budget &amp; Revenue'!$A:$AA,21,FALSE)," ")</f>
        <v xml:space="preserve"> </v>
      </c>
      <c r="L16" s="205" t="str">
        <f>IFERROR(VLOOKUP($A16,'Budget &amp; Revenue'!$A:$AA,23,FALSE)," ")</f>
        <v xml:space="preserve"> </v>
      </c>
      <c r="M16" s="205" t="str">
        <f>IFERROR(VLOOKUP($A16,'Budget &amp; Revenue'!$A:$AA,25,FALSE)," ")</f>
        <v xml:space="preserve"> </v>
      </c>
      <c r="N16" s="205" t="str">
        <f>IFERROR(VLOOKUP($A16,'Budget &amp; Revenue'!$A:$AA,27,FALSE)," ")</f>
        <v xml:space="preserve"> </v>
      </c>
    </row>
    <row r="17" spans="1:14" x14ac:dyDescent="0.65">
      <c r="A17" s="283">
        <v>16</v>
      </c>
      <c r="B17" s="284" t="str">
        <f>VLOOKUP(A17,Estimate!A:C,3,FALSE)</f>
        <v>Tree Protection</v>
      </c>
      <c r="C17" s="284"/>
      <c r="D17" s="285"/>
      <c r="E17" s="285"/>
      <c r="F17" s="279">
        <f>IFERROR(VLOOKUP(A17,Estimate!A:Q,17,FALSE),0)</f>
        <v>0</v>
      </c>
      <c r="G17" s="205" t="str">
        <f>IFERROR(VLOOKUP($A17,'Budget &amp; Revenue'!$A:$AA,13,FALSE)," ")</f>
        <v xml:space="preserve"> </v>
      </c>
      <c r="H17" s="205" t="str">
        <f>IFERROR(VLOOKUP($A17,'Budget &amp; Revenue'!$A:$AA,15,FALSE)," ")</f>
        <v xml:space="preserve"> </v>
      </c>
      <c r="I17" s="205" t="str">
        <f>IFERROR(VLOOKUP($A17,'Budget &amp; Revenue'!$A:$AA,17,FALSE)," ")</f>
        <v xml:space="preserve"> </v>
      </c>
      <c r="J17" s="205" t="str">
        <f>IFERROR(VLOOKUP($A17,'Budget &amp; Revenue'!$A:$AA,19,FALSE)," ")</f>
        <v xml:space="preserve"> </v>
      </c>
      <c r="K17" s="205" t="str">
        <f>IFERROR(VLOOKUP($A17,'Budget &amp; Revenue'!$A:$AA,21,FALSE)," ")</f>
        <v xml:space="preserve"> </v>
      </c>
      <c r="L17" s="205" t="str">
        <f>IFERROR(VLOOKUP($A17,'Budget &amp; Revenue'!$A:$AA,23,FALSE)," ")</f>
        <v xml:space="preserve"> </v>
      </c>
      <c r="M17" s="205" t="str">
        <f>IFERROR(VLOOKUP($A17,'Budget &amp; Revenue'!$A:$AA,25,FALSE)," ")</f>
        <v xml:space="preserve"> </v>
      </c>
      <c r="N17" s="205" t="str">
        <f>IFERROR(VLOOKUP($A17,'Budget &amp; Revenue'!$A:$AA,27,FALSE)," ")</f>
        <v xml:space="preserve"> </v>
      </c>
    </row>
    <row r="18" spans="1:14" ht="57" x14ac:dyDescent="0.65">
      <c r="A18" s="283">
        <v>17</v>
      </c>
      <c r="B18" s="284" t="str">
        <f>VLOOKUP(A18,Estimate!A:C,3,FALSE)</f>
        <v>Tree protection including installation, maintenance and removal at the completion of works (Provisional Quantity)</v>
      </c>
      <c r="C18" s="284">
        <f>IFERROR(VLOOKUP(A18,Estimate!A:L,12,FALSE),0)</f>
        <v>1</v>
      </c>
      <c r="D18" s="285">
        <v>14</v>
      </c>
      <c r="E18" s="285">
        <v>19</v>
      </c>
      <c r="F18" s="279">
        <f>IFERROR(VLOOKUP(A18,Estimate!A:Q,17,FALSE),0)</f>
        <v>514</v>
      </c>
      <c r="G18" s="205">
        <f>IFERROR(VLOOKUP($A18,'Budget &amp; Revenue'!$A:$AA,13,FALSE)," ")</f>
        <v>0</v>
      </c>
      <c r="H18" s="205">
        <f>IFERROR(VLOOKUP($A18,'Budget &amp; Revenue'!$A:$AA,15,FALSE)," ")</f>
        <v>0</v>
      </c>
      <c r="I18" s="205">
        <f>IFERROR(VLOOKUP($A18,'Budget &amp; Revenue'!$A:$AA,17,FALSE)," ")</f>
        <v>1</v>
      </c>
      <c r="J18" s="205">
        <f>IFERROR(VLOOKUP($A18,'Budget &amp; Revenue'!$A:$AA,19,FALSE)," ")</f>
        <v>1</v>
      </c>
      <c r="K18" s="205">
        <f>IFERROR(VLOOKUP($A18,'Budget &amp; Revenue'!$A:$AA,21,FALSE)," ")</f>
        <v>1</v>
      </c>
      <c r="L18" s="205">
        <f>IFERROR(VLOOKUP($A18,'Budget &amp; Revenue'!$A:$AA,23,FALSE)," ")</f>
        <v>1</v>
      </c>
      <c r="M18" s="205">
        <f>IFERROR(VLOOKUP($A18,'Budget &amp; Revenue'!$A:$AA,25,FALSE)," ")</f>
        <v>1</v>
      </c>
      <c r="N18" s="205">
        <f>IFERROR(VLOOKUP($A18,'Budget &amp; Revenue'!$A:$AA,27,FALSE)," ")</f>
        <v>1</v>
      </c>
    </row>
    <row r="19" spans="1:14" x14ac:dyDescent="0.65">
      <c r="A19" s="283">
        <v>18</v>
      </c>
      <c r="B19" s="284" t="str">
        <f>VLOOKUP(A19,Estimate!A:C,3,FALSE)</f>
        <v>Clearing, Grubbing &amp; Demolition</v>
      </c>
      <c r="C19" s="284">
        <f>IFERROR(VLOOKUP(A19,Estimate!A:L,12,FALSE),0)</f>
        <v>0</v>
      </c>
      <c r="D19" s="285"/>
      <c r="E19" s="285"/>
      <c r="F19" s="279">
        <f>IFERROR(VLOOKUP(A19,Estimate!A:Q,17,FALSE),0)</f>
        <v>0</v>
      </c>
      <c r="G19" s="205" t="str">
        <f>IFERROR(VLOOKUP($A19,'Budget &amp; Revenue'!$A:$AA,13,FALSE)," ")</f>
        <v xml:space="preserve"> </v>
      </c>
      <c r="H19" s="205" t="str">
        <f>IFERROR(VLOOKUP($A19,'Budget &amp; Revenue'!$A:$AA,15,FALSE)," ")</f>
        <v xml:space="preserve"> </v>
      </c>
      <c r="I19" s="205" t="str">
        <f>IFERROR(VLOOKUP($A19,'Budget &amp; Revenue'!$A:$AA,17,FALSE)," ")</f>
        <v xml:space="preserve"> </v>
      </c>
      <c r="J19" s="205" t="str">
        <f>IFERROR(VLOOKUP($A19,'Budget &amp; Revenue'!$A:$AA,19,FALSE)," ")</f>
        <v xml:space="preserve"> </v>
      </c>
      <c r="K19" s="205" t="str">
        <f>IFERROR(VLOOKUP($A19,'Budget &amp; Revenue'!$A:$AA,21,FALSE)," ")</f>
        <v xml:space="preserve"> </v>
      </c>
      <c r="L19" s="205" t="str">
        <f>IFERROR(VLOOKUP($A19,'Budget &amp; Revenue'!$A:$AA,23,FALSE)," ")</f>
        <v xml:space="preserve"> </v>
      </c>
      <c r="M19" s="205" t="str">
        <f>IFERROR(VLOOKUP($A19,'Budget &amp; Revenue'!$A:$AA,25,FALSE)," ")</f>
        <v xml:space="preserve"> </v>
      </c>
      <c r="N19" s="205" t="str">
        <f>IFERROR(VLOOKUP($A19,'Budget &amp; Revenue'!$A:$AA,27,FALSE)," ")</f>
        <v xml:space="preserve"> </v>
      </c>
    </row>
    <row r="20" spans="1:14" ht="71.25" x14ac:dyDescent="0.65">
      <c r="A20" s="283">
        <v>19</v>
      </c>
      <c r="B20" s="284" t="str">
        <f>VLOOKUP(A20,Estimate!A:C,3,FALSE)</f>
        <v>Clearing, grubbing vegetation and disposal off site of cleared vegetation, including but not limited to loading, transportation and dumping fees as nominated on the project drawings</v>
      </c>
      <c r="C20" s="284">
        <f>IFERROR(VLOOKUP(A20,Estimate!A:L,12,FALSE),0)</f>
        <v>4</v>
      </c>
      <c r="D20" s="285">
        <v>17</v>
      </c>
      <c r="E20" s="285" t="s">
        <v>984</v>
      </c>
      <c r="F20" s="279">
        <f>IFERROR(VLOOKUP(A20,Estimate!A:Q,17,FALSE),0)</f>
        <v>12912</v>
      </c>
      <c r="G20" s="205">
        <f>IFERROR(VLOOKUP($A20,'Budget &amp; Revenue'!$A:$AA,13,FALSE)," ")</f>
        <v>1</v>
      </c>
      <c r="H20" s="205">
        <f>IFERROR(VLOOKUP($A20,'Budget &amp; Revenue'!$A:$AA,15,FALSE)," ")</f>
        <v>1</v>
      </c>
      <c r="I20" s="205">
        <f>IFERROR(VLOOKUP($A20,'Budget &amp; Revenue'!$A:$AA,17,FALSE)," ")</f>
        <v>1</v>
      </c>
      <c r="J20" s="205">
        <f>IFERROR(VLOOKUP($A20,'Budget &amp; Revenue'!$A:$AA,19,FALSE)," ")</f>
        <v>1</v>
      </c>
      <c r="K20" s="205">
        <f>IFERROR(VLOOKUP($A20,'Budget &amp; Revenue'!$A:$AA,21,FALSE)," ")</f>
        <v>1</v>
      </c>
      <c r="L20" s="205">
        <f>IFERROR(VLOOKUP($A20,'Budget &amp; Revenue'!$A:$AA,23,FALSE)," ")</f>
        <v>1</v>
      </c>
      <c r="M20" s="205">
        <f>IFERROR(VLOOKUP($A20,'Budget &amp; Revenue'!$A:$AA,25,FALSE)," ")</f>
        <v>1</v>
      </c>
      <c r="N20" s="205">
        <f>IFERROR(VLOOKUP($A20,'Budget &amp; Revenue'!$A:$AA,27,FALSE)," ")</f>
        <v>1</v>
      </c>
    </row>
    <row r="21" spans="1:14" x14ac:dyDescent="0.65">
      <c r="A21" s="283">
        <v>20</v>
      </c>
      <c r="B21" s="284" t="str">
        <f>VLOOKUP(A21,Estimate!A:C,3,FALSE)</f>
        <v>Existing Bitumen Seal</v>
      </c>
      <c r="C21" s="284">
        <f>IFERROR(VLOOKUP(A21,Estimate!A:L,12,FALSE),0)</f>
        <v>5</v>
      </c>
      <c r="D21" s="285">
        <v>19159</v>
      </c>
      <c r="E21" s="285">
        <v>21</v>
      </c>
      <c r="F21" s="279">
        <f>IFERROR(VLOOKUP(A21,Estimate!A:Q,17,FALSE),0)</f>
        <v>7888.6785766517796</v>
      </c>
      <c r="G21" s="205">
        <f>IFERROR(VLOOKUP($A21,'Budget &amp; Revenue'!$A:$AA,13,FALSE)," ")</f>
        <v>0</v>
      </c>
      <c r="H21" s="205">
        <f>IFERROR(VLOOKUP($A21,'Budget &amp; Revenue'!$A:$AA,15,FALSE)," ")</f>
        <v>0</v>
      </c>
      <c r="I21" s="205">
        <f>IFERROR(VLOOKUP($A21,'Budget &amp; Revenue'!$A:$AA,17,FALSE)," ")</f>
        <v>0.28542173300908741</v>
      </c>
      <c r="J21" s="205">
        <f>IFERROR(VLOOKUP($A21,'Budget &amp; Revenue'!$A:$AA,19,FALSE)," ")</f>
        <v>0.74401638295149108</v>
      </c>
      <c r="K21" s="205">
        <f>IFERROR(VLOOKUP($A21,'Budget &amp; Revenue'!$A:$AA,21,FALSE)," ")</f>
        <v>1</v>
      </c>
      <c r="L21" s="205">
        <f>IFERROR(VLOOKUP($A21,'Budget &amp; Revenue'!$A:$AA,23,FALSE)," ")</f>
        <v>1</v>
      </c>
      <c r="M21" s="205">
        <f>IFERROR(VLOOKUP($A21,'Budget &amp; Revenue'!$A:$AA,25,FALSE)," ")</f>
        <v>1</v>
      </c>
      <c r="N21" s="205">
        <f>IFERROR(VLOOKUP($A21,'Budget &amp; Revenue'!$A:$AA,27,FALSE)," ")</f>
        <v>1</v>
      </c>
    </row>
    <row r="22" spans="1:14" x14ac:dyDescent="0.65">
      <c r="A22" s="283">
        <v>21</v>
      </c>
      <c r="B22" s="284" t="str">
        <f>VLOOKUP(A22,Estimate!A:C,3,FALSE)</f>
        <v>Existing Concrete Kerb / Kerb &amp; Channel</v>
      </c>
      <c r="C22" s="284">
        <f>IFERROR(VLOOKUP(A22,Estimate!A:L,12,FALSE),0)</f>
        <v>2</v>
      </c>
      <c r="D22" s="285">
        <v>20</v>
      </c>
      <c r="E22" s="285" t="s">
        <v>985</v>
      </c>
      <c r="F22" s="279">
        <f>IFERROR(VLOOKUP(A22,Estimate!A:Q,17,FALSE),0)</f>
        <v>12670.965078272406</v>
      </c>
      <c r="G22" s="205">
        <f>IFERROR(VLOOKUP($A22,'Budget &amp; Revenue'!$A:$AA,13,FALSE)," ")</f>
        <v>0</v>
      </c>
      <c r="H22" s="205">
        <f>IFERROR(VLOOKUP($A22,'Budget &amp; Revenue'!$A:$AA,15,FALSE)," ")</f>
        <v>0</v>
      </c>
      <c r="I22" s="205">
        <f>IFERROR(VLOOKUP($A22,'Budget &amp; Revenue'!$A:$AA,17,FALSE)," ")</f>
        <v>0.6741573033707865</v>
      </c>
      <c r="J22" s="205">
        <f>IFERROR(VLOOKUP($A22,'Budget &amp; Revenue'!$A:$AA,19,FALSE)," ")</f>
        <v>1</v>
      </c>
      <c r="K22" s="205">
        <f>IFERROR(VLOOKUP($A22,'Budget &amp; Revenue'!$A:$AA,21,FALSE)," ")</f>
        <v>1</v>
      </c>
      <c r="L22" s="205">
        <f>IFERROR(VLOOKUP($A22,'Budget &amp; Revenue'!$A:$AA,23,FALSE)," ")</f>
        <v>1</v>
      </c>
      <c r="M22" s="205">
        <f>IFERROR(VLOOKUP($A22,'Budget &amp; Revenue'!$A:$AA,25,FALSE)," ")</f>
        <v>1</v>
      </c>
      <c r="N22" s="205">
        <f>IFERROR(VLOOKUP($A22,'Budget &amp; Revenue'!$A:$AA,27,FALSE)," ")</f>
        <v>1</v>
      </c>
    </row>
    <row r="23" spans="1:14" ht="28.5" x14ac:dyDescent="0.65">
      <c r="A23" s="283">
        <v>22</v>
      </c>
      <c r="B23" s="284" t="str">
        <f>VLOOKUP(A23,Estimate!A:C,3,FALSE)</f>
        <v>Remove existing structures, slabs, tanks etc.</v>
      </c>
      <c r="C23" s="284">
        <f>IFERROR(VLOOKUP(A23,Estimate!A:L,12,FALSE),0)</f>
        <v>1</v>
      </c>
      <c r="D23" s="285">
        <v>21</v>
      </c>
      <c r="E23" s="285">
        <v>23</v>
      </c>
      <c r="F23" s="279">
        <f>IFERROR(VLOOKUP(A23,Estimate!A:Q,17,FALSE),0)</f>
        <v>3429</v>
      </c>
      <c r="G23" s="205">
        <f>IFERROR(VLOOKUP($A23,'Budget &amp; Revenue'!$A:$AA,13,FALSE)," ")</f>
        <v>0</v>
      </c>
      <c r="H23" s="205">
        <f>IFERROR(VLOOKUP($A23,'Budget &amp; Revenue'!$A:$AA,15,FALSE)," ")</f>
        <v>0</v>
      </c>
      <c r="I23" s="205">
        <f>IFERROR(VLOOKUP($A23,'Budget &amp; Revenue'!$A:$AA,17,FALSE)," ")</f>
        <v>1</v>
      </c>
      <c r="J23" s="205">
        <f>IFERROR(VLOOKUP($A23,'Budget &amp; Revenue'!$A:$AA,19,FALSE)," ")</f>
        <v>1</v>
      </c>
      <c r="K23" s="205">
        <f>IFERROR(VLOOKUP($A23,'Budget &amp; Revenue'!$A:$AA,21,FALSE)," ")</f>
        <v>1</v>
      </c>
      <c r="L23" s="205">
        <f>IFERROR(VLOOKUP($A23,'Budget &amp; Revenue'!$A:$AA,23,FALSE)," ")</f>
        <v>1</v>
      </c>
      <c r="M23" s="205">
        <f>IFERROR(VLOOKUP($A23,'Budget &amp; Revenue'!$A:$AA,25,FALSE)," ")</f>
        <v>1</v>
      </c>
      <c r="N23" s="205">
        <f>IFERROR(VLOOKUP($A23,'Budget &amp; Revenue'!$A:$AA,27,FALSE)," ")</f>
        <v>1</v>
      </c>
    </row>
    <row r="24" spans="1:14" ht="28.5" x14ac:dyDescent="0.65">
      <c r="A24" s="283">
        <v>23</v>
      </c>
      <c r="B24" s="284" t="str">
        <f>VLOOKUP(A24,Estimate!A:C,3,FALSE)</f>
        <v>Backfill and compact existing well to WRC requirements</v>
      </c>
      <c r="C24" s="284">
        <f>IFERROR(VLOOKUP(A24,Estimate!A:L,12,FALSE),0)</f>
        <v>1</v>
      </c>
      <c r="D24" s="285">
        <v>22</v>
      </c>
      <c r="E24" s="285">
        <v>24</v>
      </c>
      <c r="F24" s="279">
        <f>IFERROR(VLOOKUP(A24,Estimate!A:Q,17,FALSE),0)</f>
        <v>3172</v>
      </c>
      <c r="G24" s="205">
        <f>IFERROR(VLOOKUP($A24,'Budget &amp; Revenue'!$A:$AA,13,FALSE)," ")</f>
        <v>0</v>
      </c>
      <c r="H24" s="205">
        <f>IFERROR(VLOOKUP($A24,'Budget &amp; Revenue'!$A:$AA,15,FALSE)," ")</f>
        <v>0</v>
      </c>
      <c r="I24" s="205">
        <f>IFERROR(VLOOKUP($A24,'Budget &amp; Revenue'!$A:$AA,17,FALSE)," ")</f>
        <v>1</v>
      </c>
      <c r="J24" s="205">
        <f>IFERROR(VLOOKUP($A24,'Budget &amp; Revenue'!$A:$AA,19,FALSE)," ")</f>
        <v>1</v>
      </c>
      <c r="K24" s="205">
        <f>IFERROR(VLOOKUP($A24,'Budget &amp; Revenue'!$A:$AA,21,FALSE)," ")</f>
        <v>1</v>
      </c>
      <c r="L24" s="205">
        <f>IFERROR(VLOOKUP($A24,'Budget &amp; Revenue'!$A:$AA,23,FALSE)," ")</f>
        <v>1</v>
      </c>
      <c r="M24" s="205">
        <f>IFERROR(VLOOKUP($A24,'Budget &amp; Revenue'!$A:$AA,25,FALSE)," ")</f>
        <v>1</v>
      </c>
      <c r="N24" s="205">
        <f>IFERROR(VLOOKUP($A24,'Budget &amp; Revenue'!$A:$AA,27,FALSE)," ")</f>
        <v>1</v>
      </c>
    </row>
    <row r="25" spans="1:14" ht="28.5" x14ac:dyDescent="0.65">
      <c r="A25" s="283">
        <v>24</v>
      </c>
      <c r="B25" s="284" t="str">
        <f>VLOOKUP(A25,Estimate!A:C,3,FALSE)</f>
        <v>Relocate existing hazard marker and street sign</v>
      </c>
      <c r="C25" s="284">
        <f>IFERROR(VLOOKUP(A25,Estimate!A:L,12,FALSE),0)</f>
        <v>1</v>
      </c>
      <c r="D25" s="285">
        <v>23</v>
      </c>
      <c r="E25" s="285">
        <v>25</v>
      </c>
      <c r="F25" s="279">
        <f>IFERROR(VLOOKUP(A25,Estimate!A:Q,17,FALSE),0)</f>
        <v>750</v>
      </c>
      <c r="G25" s="205">
        <f>IFERROR(VLOOKUP($A25,'Budget &amp; Revenue'!$A:$AA,13,FALSE)," ")</f>
        <v>0</v>
      </c>
      <c r="H25" s="205">
        <f>IFERROR(VLOOKUP($A25,'Budget &amp; Revenue'!$A:$AA,15,FALSE)," ")</f>
        <v>0</v>
      </c>
      <c r="I25" s="205">
        <f>IFERROR(VLOOKUP($A25,'Budget &amp; Revenue'!$A:$AA,17,FALSE)," ")</f>
        <v>0</v>
      </c>
      <c r="J25" s="205">
        <f>IFERROR(VLOOKUP($A25,'Budget &amp; Revenue'!$A:$AA,19,FALSE)," ")</f>
        <v>0</v>
      </c>
      <c r="K25" s="205">
        <f>IFERROR(VLOOKUP($A25,'Budget &amp; Revenue'!$A:$AA,21,FALSE)," ")</f>
        <v>1</v>
      </c>
      <c r="L25" s="205">
        <f>IFERROR(VLOOKUP($A25,'Budget &amp; Revenue'!$A:$AA,23,FALSE)," ")</f>
        <v>1</v>
      </c>
      <c r="M25" s="205">
        <f>IFERROR(VLOOKUP($A25,'Budget &amp; Revenue'!$A:$AA,25,FALSE)," ")</f>
        <v>1</v>
      </c>
      <c r="N25" s="205">
        <f>IFERROR(VLOOKUP($A25,'Budget &amp; Revenue'!$A:$AA,27,FALSE)," ")</f>
        <v>1</v>
      </c>
    </row>
    <row r="26" spans="1:14" ht="28.5" x14ac:dyDescent="0.65">
      <c r="A26" s="283">
        <v>25</v>
      </c>
      <c r="B26" s="284" t="str">
        <f>VLOOKUP(A26,Estimate!A:C,3,FALSE)</f>
        <v>Remove and stack existing unused signage as directed</v>
      </c>
      <c r="C26" s="284">
        <f>IFERROR(VLOOKUP(A26,Estimate!A:L,12,FALSE),0)</f>
        <v>1</v>
      </c>
      <c r="D26" s="285">
        <v>24</v>
      </c>
      <c r="E26" s="285"/>
      <c r="F26" s="279">
        <f>IFERROR(VLOOKUP(A26,Estimate!A:Q,17,FALSE),0)</f>
        <v>750</v>
      </c>
      <c r="G26" s="205">
        <f>IFERROR(VLOOKUP($A26,'Budget &amp; Revenue'!$A:$AA,13,FALSE)," ")</f>
        <v>0</v>
      </c>
      <c r="H26" s="205">
        <f>IFERROR(VLOOKUP($A26,'Budget &amp; Revenue'!$A:$AA,15,FALSE)," ")</f>
        <v>0</v>
      </c>
      <c r="I26" s="205">
        <f>IFERROR(VLOOKUP($A26,'Budget &amp; Revenue'!$A:$AA,17,FALSE)," ")</f>
        <v>1</v>
      </c>
      <c r="J26" s="205">
        <f>IFERROR(VLOOKUP($A26,'Budget &amp; Revenue'!$A:$AA,19,FALSE)," ")</f>
        <v>1</v>
      </c>
      <c r="K26" s="205">
        <f>IFERROR(VLOOKUP($A26,'Budget &amp; Revenue'!$A:$AA,21,FALSE)," ")</f>
        <v>1</v>
      </c>
      <c r="L26" s="205">
        <f>IFERROR(VLOOKUP($A26,'Budget &amp; Revenue'!$A:$AA,23,FALSE)," ")</f>
        <v>1</v>
      </c>
      <c r="M26" s="205">
        <f>IFERROR(VLOOKUP($A26,'Budget &amp; Revenue'!$A:$AA,25,FALSE)," ")</f>
        <v>1</v>
      </c>
      <c r="N26" s="205">
        <f>IFERROR(VLOOKUP($A26,'Budget &amp; Revenue'!$A:$AA,27,FALSE)," ")</f>
        <v>1</v>
      </c>
    </row>
    <row r="27" spans="1:14" ht="42.75" x14ac:dyDescent="0.65">
      <c r="A27" s="283">
        <v>26</v>
      </c>
      <c r="B27" s="284" t="str">
        <f>VLOOKUP(A27,Estimate!A:C,3,FALSE)</f>
        <v>Reinstate existing island and landscaping upon completion of stormwater drainage</v>
      </c>
      <c r="C27" s="284">
        <f>IFERROR(VLOOKUP(A27,Estimate!A:L,12,FALSE),0)</f>
        <v>1</v>
      </c>
      <c r="D27" s="285">
        <v>98</v>
      </c>
      <c r="E27" s="285">
        <v>36</v>
      </c>
      <c r="F27" s="279">
        <f>IFERROR(VLOOKUP(A27,Estimate!A:Q,17,FALSE),0)</f>
        <v>684.13535999999999</v>
      </c>
      <c r="G27" s="205">
        <f>IFERROR(VLOOKUP($A27,'Budget &amp; Revenue'!$A:$AA,13,FALSE)," ")</f>
        <v>0</v>
      </c>
      <c r="H27" s="205">
        <f>IFERROR(VLOOKUP($A27,'Budget &amp; Revenue'!$A:$AA,15,FALSE)," ")</f>
        <v>0</v>
      </c>
      <c r="I27" s="205">
        <f>IFERROR(VLOOKUP($A27,'Budget &amp; Revenue'!$A:$AA,17,FALSE)," ")</f>
        <v>0</v>
      </c>
      <c r="J27" s="205">
        <f>IFERROR(VLOOKUP($A27,'Budget &amp; Revenue'!$A:$AA,19,FALSE)," ")</f>
        <v>0</v>
      </c>
      <c r="K27" s="205">
        <f>IFERROR(VLOOKUP($A27,'Budget &amp; Revenue'!$A:$AA,21,FALSE)," ")</f>
        <v>1</v>
      </c>
      <c r="L27" s="205">
        <f>IFERROR(VLOOKUP($A27,'Budget &amp; Revenue'!$A:$AA,23,FALSE)," ")</f>
        <v>1</v>
      </c>
      <c r="M27" s="205">
        <f>IFERROR(VLOOKUP($A27,'Budget &amp; Revenue'!$A:$AA,25,FALSE)," ")</f>
        <v>1</v>
      </c>
      <c r="N27" s="205">
        <f>IFERROR(VLOOKUP($A27,'Budget &amp; Revenue'!$A:$AA,27,FALSE)," ")</f>
        <v>1</v>
      </c>
    </row>
    <row r="28" spans="1:14" ht="28.5" x14ac:dyDescent="0.65">
      <c r="A28" s="283">
        <v>27</v>
      </c>
      <c r="B28" s="284" t="str">
        <f>VLOOKUP(A28,Estimate!A:C,3,FALSE)</f>
        <v>Remove abandoned Storm Water Lines and headwalls and dispose off site</v>
      </c>
      <c r="C28" s="284">
        <f>IFERROR(VLOOKUP(A28,Estimate!A:L,12,FALSE),0)</f>
        <v>1</v>
      </c>
      <c r="D28" s="285">
        <v>21</v>
      </c>
      <c r="E28" s="285">
        <v>32</v>
      </c>
      <c r="F28" s="279">
        <f>IFERROR(VLOOKUP(A28,Estimate!A:Q,17,FALSE),0)</f>
        <v>1898.7813620071684</v>
      </c>
      <c r="G28" s="205">
        <f>IFERROR(VLOOKUP($A28,'Budget &amp; Revenue'!$A:$AA,13,FALSE)," ")</f>
        <v>0</v>
      </c>
      <c r="H28" s="205">
        <f>IFERROR(VLOOKUP($A28,'Budget &amp; Revenue'!$A:$AA,15,FALSE)," ")</f>
        <v>0</v>
      </c>
      <c r="I28" s="205">
        <f>IFERROR(VLOOKUP($A28,'Budget &amp; Revenue'!$A:$AA,17,FALSE)," ")</f>
        <v>1</v>
      </c>
      <c r="J28" s="205">
        <f>IFERROR(VLOOKUP($A28,'Budget &amp; Revenue'!$A:$AA,19,FALSE)," ")</f>
        <v>1</v>
      </c>
      <c r="K28" s="205">
        <f>IFERROR(VLOOKUP($A28,'Budget &amp; Revenue'!$A:$AA,21,FALSE)," ")</f>
        <v>1</v>
      </c>
      <c r="L28" s="205">
        <f>IFERROR(VLOOKUP($A28,'Budget &amp; Revenue'!$A:$AA,23,FALSE)," ")</f>
        <v>1</v>
      </c>
      <c r="M28" s="205">
        <f>IFERROR(VLOOKUP($A28,'Budget &amp; Revenue'!$A:$AA,25,FALSE)," ")</f>
        <v>1</v>
      </c>
      <c r="N28" s="205">
        <f>IFERROR(VLOOKUP($A28,'Budget &amp; Revenue'!$A:$AA,27,FALSE)," ")</f>
        <v>1</v>
      </c>
    </row>
    <row r="29" spans="1:14" x14ac:dyDescent="0.65">
      <c r="A29" s="283">
        <v>28</v>
      </c>
      <c r="B29" s="284" t="str">
        <f>VLOOKUP(A29,Estimate!A:C,3,FALSE)</f>
        <v>Earthworks</v>
      </c>
      <c r="C29" s="284">
        <f>IFERROR(VLOOKUP(A29,Estimate!A:L,12,FALSE),0)</f>
        <v>0</v>
      </c>
      <c r="D29" s="285"/>
      <c r="E29" s="285"/>
      <c r="F29" s="279">
        <f>IFERROR(VLOOKUP(A29,Estimate!A:Q,17,FALSE),0)</f>
        <v>0</v>
      </c>
      <c r="G29" s="205" t="str">
        <f>IFERROR(VLOOKUP($A29,'Budget &amp; Revenue'!$A:$AA,13,FALSE)," ")</f>
        <v xml:space="preserve"> </v>
      </c>
      <c r="H29" s="205" t="str">
        <f>IFERROR(VLOOKUP($A29,'Budget &amp; Revenue'!$A:$AA,15,FALSE)," ")</f>
        <v xml:space="preserve"> </v>
      </c>
      <c r="I29" s="205" t="str">
        <f>IFERROR(VLOOKUP($A29,'Budget &amp; Revenue'!$A:$AA,17,FALSE)," ")</f>
        <v xml:space="preserve"> </v>
      </c>
      <c r="J29" s="205" t="str">
        <f>IFERROR(VLOOKUP($A29,'Budget &amp; Revenue'!$A:$AA,19,FALSE)," ")</f>
        <v xml:space="preserve"> </v>
      </c>
      <c r="K29" s="205" t="str">
        <f>IFERROR(VLOOKUP($A29,'Budget &amp; Revenue'!$A:$AA,21,FALSE)," ")</f>
        <v xml:space="preserve"> </v>
      </c>
      <c r="L29" s="205" t="str">
        <f>IFERROR(VLOOKUP($A29,'Budget &amp; Revenue'!$A:$AA,23,FALSE)," ")</f>
        <v xml:space="preserve"> </v>
      </c>
      <c r="M29" s="205" t="str">
        <f>IFERROR(VLOOKUP($A29,'Budget &amp; Revenue'!$A:$AA,25,FALSE)," ")</f>
        <v xml:space="preserve"> </v>
      </c>
      <c r="N29" s="205" t="str">
        <f>IFERROR(VLOOKUP($A29,'Budget &amp; Revenue'!$A:$AA,27,FALSE)," ")</f>
        <v xml:space="preserve"> </v>
      </c>
    </row>
    <row r="30" spans="1:14" ht="71.25" x14ac:dyDescent="0.65">
      <c r="A30" s="283">
        <v>29</v>
      </c>
      <c r="B30" s="284" t="str">
        <f>VLOOKUP(A30,Estimate!A:C,3,FALSE)</f>
        <v>Strip and stockpile topsoil from areas of excavation and filling in accordance with the specification (measured as a solid volume, calculated based on an average 100mm natural topsoil depth)</v>
      </c>
      <c r="C30" s="284">
        <f>IFERROR(VLOOKUP(A30,Estimate!A:L,12,FALSE),0)</f>
        <v>3</v>
      </c>
      <c r="D30" s="285">
        <v>19</v>
      </c>
      <c r="E30" s="285">
        <v>32186</v>
      </c>
      <c r="F30" s="279">
        <f>IFERROR(VLOOKUP(A30,Estimate!A:Q,17,FALSE),0)</f>
        <v>7854.7</v>
      </c>
      <c r="G30" s="205">
        <f>IFERROR(VLOOKUP($A30,'Budget &amp; Revenue'!$A:$AA,13,FALSE)," ")</f>
        <v>1</v>
      </c>
      <c r="H30" s="205">
        <f>IFERROR(VLOOKUP($A30,'Budget &amp; Revenue'!$A:$AA,15,FALSE)," ")</f>
        <v>1</v>
      </c>
      <c r="I30" s="205">
        <f>IFERROR(VLOOKUP($A30,'Budget &amp; Revenue'!$A:$AA,17,FALSE)," ")</f>
        <v>1</v>
      </c>
      <c r="J30" s="205">
        <f>IFERROR(VLOOKUP($A30,'Budget &amp; Revenue'!$A:$AA,19,FALSE)," ")</f>
        <v>1</v>
      </c>
      <c r="K30" s="205">
        <f>IFERROR(VLOOKUP($A30,'Budget &amp; Revenue'!$A:$AA,21,FALSE)," ")</f>
        <v>1</v>
      </c>
      <c r="L30" s="205">
        <f>IFERROR(VLOOKUP($A30,'Budget &amp; Revenue'!$A:$AA,23,FALSE)," ")</f>
        <v>1</v>
      </c>
      <c r="M30" s="205">
        <f>IFERROR(VLOOKUP($A30,'Budget &amp; Revenue'!$A:$AA,25,FALSE)," ")</f>
        <v>1</v>
      </c>
      <c r="N30" s="205">
        <f>IFERROR(VLOOKUP($A30,'Budget &amp; Revenue'!$A:$AA,27,FALSE)," ")</f>
        <v>1</v>
      </c>
    </row>
    <row r="31" spans="1:14" ht="57" x14ac:dyDescent="0.65">
      <c r="A31" s="283">
        <v>30</v>
      </c>
      <c r="B31" s="284" t="str">
        <f>VLOOKUP(A31,Estimate!A:C,3,FALSE)</f>
        <v>Respread topsoil in accordance with the specification (measured as a solid volume, calculated based on an average 100mm natural topsoil depth)</v>
      </c>
      <c r="C31" s="284">
        <f>IFERROR(VLOOKUP(A31,Estimate!A:L,12,FALSE),0)</f>
        <v>2</v>
      </c>
      <c r="D31" s="285" t="s">
        <v>986</v>
      </c>
      <c r="E31" s="285" t="s">
        <v>1771</v>
      </c>
      <c r="F31" s="279">
        <f>IFERROR(VLOOKUP(A31,Estimate!A:Q,17,FALSE),0)</f>
        <v>4855.84</v>
      </c>
      <c r="G31" s="205">
        <f>IFERROR(VLOOKUP($A31,'Budget &amp; Revenue'!$A:$AA,13,FALSE)," ")</f>
        <v>0</v>
      </c>
      <c r="H31" s="205">
        <f>IFERROR(VLOOKUP($A31,'Budget &amp; Revenue'!$A:$AA,15,FALSE)," ")</f>
        <v>0</v>
      </c>
      <c r="I31" s="205">
        <f>IFERROR(VLOOKUP($A31,'Budget &amp; Revenue'!$A:$AA,17,FALSE)," ")</f>
        <v>8.797653958944282E-2</v>
      </c>
      <c r="J31" s="205">
        <f>IFERROR(VLOOKUP($A31,'Budget &amp; Revenue'!$A:$AA,19,FALSE)," ")</f>
        <v>0.26392961876832843</v>
      </c>
      <c r="K31" s="205">
        <f>IFERROR(VLOOKUP($A31,'Budget &amp; Revenue'!$A:$AA,21,FALSE)," ")</f>
        <v>1</v>
      </c>
      <c r="L31" s="205">
        <f>IFERROR(VLOOKUP($A31,'Budget &amp; Revenue'!$A:$AA,23,FALSE)," ")</f>
        <v>1</v>
      </c>
      <c r="M31" s="205">
        <f>IFERROR(VLOOKUP($A31,'Budget &amp; Revenue'!$A:$AA,25,FALSE)," ")</f>
        <v>1</v>
      </c>
      <c r="N31" s="205">
        <f>IFERROR(VLOOKUP($A31,'Budget &amp; Revenue'!$A:$AA,27,FALSE)," ")</f>
        <v>1</v>
      </c>
    </row>
    <row r="32" spans="1:14" ht="28.5" x14ac:dyDescent="0.65">
      <c r="A32" s="283">
        <v>31</v>
      </c>
      <c r="B32" s="284" t="str">
        <f>VLOOKUP(A32,Estimate!A:C,3,FALSE)</f>
        <v>Remove from site unused grip material as directed (Provisional)</v>
      </c>
      <c r="C32" s="284">
        <f>IFERROR(VLOOKUP(A32,Estimate!A:L,12,FALSE),0)</f>
        <v>2</v>
      </c>
      <c r="D32" s="285">
        <v>30</v>
      </c>
      <c r="E32" s="285">
        <v>2</v>
      </c>
      <c r="F32" s="279">
        <f>IFERROR(VLOOKUP(A32,Estimate!A:Q,17,FALSE),0)</f>
        <v>7518.125</v>
      </c>
      <c r="G32" s="205">
        <f>IFERROR(VLOOKUP($A32,'Budget &amp; Revenue'!$A:$AA,13,FALSE)," ")</f>
        <v>1</v>
      </c>
      <c r="H32" s="205">
        <f>IFERROR(VLOOKUP($A32,'Budget &amp; Revenue'!$A:$AA,15,FALSE)," ")</f>
        <v>1</v>
      </c>
      <c r="I32" s="205">
        <f>IFERROR(VLOOKUP($A32,'Budget &amp; Revenue'!$A:$AA,17,FALSE)," ")</f>
        <v>1</v>
      </c>
      <c r="J32" s="205">
        <f>IFERROR(VLOOKUP($A32,'Budget &amp; Revenue'!$A:$AA,19,FALSE)," ")</f>
        <v>1</v>
      </c>
      <c r="K32" s="205">
        <f>IFERROR(VLOOKUP($A32,'Budget &amp; Revenue'!$A:$AA,21,FALSE)," ")</f>
        <v>1</v>
      </c>
      <c r="L32" s="205">
        <f>IFERROR(VLOOKUP($A32,'Budget &amp; Revenue'!$A:$AA,23,FALSE)," ")</f>
        <v>1</v>
      </c>
      <c r="M32" s="205">
        <f>IFERROR(VLOOKUP($A32,'Budget &amp; Revenue'!$A:$AA,25,FALSE)," ")</f>
        <v>1</v>
      </c>
      <c r="N32" s="205">
        <f>IFERROR(VLOOKUP($A32,'Budget &amp; Revenue'!$A:$AA,27,FALSE)," ")</f>
        <v>1</v>
      </c>
    </row>
    <row r="33" spans="1:14" ht="57" x14ac:dyDescent="0.65">
      <c r="A33" s="283">
        <v>32</v>
      </c>
      <c r="B33" s="284" t="str">
        <f>VLOOKUP(A33,Estimate!A:C,3,FALSE)</f>
        <v>Cut to fill including but not limited to, moisture control and compaction as specified (in-place compacted volume of filling)</v>
      </c>
      <c r="C33" s="284">
        <f>IFERROR(VLOOKUP(A33,Estimate!A:L,12,FALSE),0)</f>
        <v>3</v>
      </c>
      <c r="D33" s="285" t="s">
        <v>1772</v>
      </c>
      <c r="E33" s="285" t="s">
        <v>1773</v>
      </c>
      <c r="F33" s="279">
        <f>IFERROR(VLOOKUP(A33,Estimate!A:Q,17,FALSE),0)</f>
        <v>16994.988044988044</v>
      </c>
      <c r="G33" s="205">
        <f>IFERROR(VLOOKUP($A33,'Budget &amp; Revenue'!$A:$AA,13,FALSE)," ")</f>
        <v>0</v>
      </c>
      <c r="H33" s="205">
        <f>IFERROR(VLOOKUP($A33,'Budget &amp; Revenue'!$A:$AA,15,FALSE)," ")</f>
        <v>0</v>
      </c>
      <c r="I33" s="205">
        <f>IFERROR(VLOOKUP($A33,'Budget &amp; Revenue'!$A:$AA,17,FALSE)," ")</f>
        <v>0.25125628140703515</v>
      </c>
      <c r="J33" s="205">
        <f>IFERROR(VLOOKUP($A33,'Budget &amp; Revenue'!$A:$AA,19,FALSE)," ")</f>
        <v>1</v>
      </c>
      <c r="K33" s="205">
        <f>IFERROR(VLOOKUP($A33,'Budget &amp; Revenue'!$A:$AA,21,FALSE)," ")</f>
        <v>1</v>
      </c>
      <c r="L33" s="205">
        <f>IFERROR(VLOOKUP($A33,'Budget &amp; Revenue'!$A:$AA,23,FALSE)," ")</f>
        <v>1</v>
      </c>
      <c r="M33" s="205">
        <f>IFERROR(VLOOKUP($A33,'Budget &amp; Revenue'!$A:$AA,25,FALSE)," ")</f>
        <v>1</v>
      </c>
      <c r="N33" s="205">
        <f>IFERROR(VLOOKUP($A33,'Budget &amp; Revenue'!$A:$AA,27,FALSE)," ")</f>
        <v>1</v>
      </c>
    </row>
    <row r="34" spans="1:14" ht="57" x14ac:dyDescent="0.65">
      <c r="A34" s="283">
        <v>33</v>
      </c>
      <c r="B34" s="284" t="str">
        <f>VLOOKUP(A34,Estimate!A:C,3,FALSE)</f>
        <v>Imported Fill material including but not limited to, moisture control and compaction as specified (in-place compacted volume of filling)</v>
      </c>
      <c r="C34" s="284">
        <f>IFERROR(VLOOKUP(A34,Estimate!A:L,12,FALSE),0)</f>
        <v>6</v>
      </c>
      <c r="D34" s="285">
        <v>32</v>
      </c>
      <c r="E34" s="285" t="s">
        <v>987</v>
      </c>
      <c r="F34" s="279">
        <f>IFERROR(VLOOKUP(A34,Estimate!A:Q,17,FALSE),0)</f>
        <v>54420.065443564366</v>
      </c>
      <c r="G34" s="205">
        <f>IFERROR(VLOOKUP($A34,'Budget &amp; Revenue'!$A:$AA,13,FALSE)," ")</f>
        <v>0</v>
      </c>
      <c r="H34" s="205">
        <f>IFERROR(VLOOKUP($A34,'Budget &amp; Revenue'!$A:$AA,15,FALSE)," ")</f>
        <v>1</v>
      </c>
      <c r="I34" s="205">
        <f>IFERROR(VLOOKUP($A34,'Budget &amp; Revenue'!$A:$AA,17,FALSE)," ")</f>
        <v>1</v>
      </c>
      <c r="J34" s="205">
        <f>IFERROR(VLOOKUP($A34,'Budget &amp; Revenue'!$A:$AA,19,FALSE)," ")</f>
        <v>1</v>
      </c>
      <c r="K34" s="205">
        <f>IFERROR(VLOOKUP($A34,'Budget &amp; Revenue'!$A:$AA,21,FALSE)," ")</f>
        <v>1</v>
      </c>
      <c r="L34" s="205">
        <f>IFERROR(VLOOKUP($A34,'Budget &amp; Revenue'!$A:$AA,23,FALSE)," ")</f>
        <v>1</v>
      </c>
      <c r="M34" s="205">
        <f>IFERROR(VLOOKUP($A34,'Budget &amp; Revenue'!$A:$AA,25,FALSE)," ")</f>
        <v>1</v>
      </c>
      <c r="N34" s="205">
        <f>IFERROR(VLOOKUP($A34,'Budget &amp; Revenue'!$A:$AA,27,FALSE)," ")</f>
        <v>1</v>
      </c>
    </row>
    <row r="35" spans="1:14" ht="42.75" x14ac:dyDescent="0.65">
      <c r="A35" s="283">
        <v>34</v>
      </c>
      <c r="B35" s="284" t="str">
        <f>VLOOKUP(A35,Estimate!A:C,3,FALSE)</f>
        <v>Cut to spoil including but not limited to loading, transportation and tip fees (Provisional)</v>
      </c>
      <c r="C35" s="284">
        <f>IFERROR(VLOOKUP(A35,Estimate!A:L,12,FALSE),0)</f>
        <v>1</v>
      </c>
      <c r="D35" s="285">
        <v>33</v>
      </c>
      <c r="E35" s="285">
        <v>35205</v>
      </c>
      <c r="F35" s="279">
        <f>IFERROR(VLOOKUP(A35,Estimate!A:Q,17,FALSE),0)</f>
        <v>1743.3333333333335</v>
      </c>
      <c r="G35" s="205">
        <f>IFERROR(VLOOKUP($A35,'Budget &amp; Revenue'!$A:$AA,13,FALSE)," ")</f>
        <v>0</v>
      </c>
      <c r="H35" s="205">
        <f>IFERROR(VLOOKUP($A35,'Budget &amp; Revenue'!$A:$AA,15,FALSE)," ")</f>
        <v>0</v>
      </c>
      <c r="I35" s="205">
        <f>IFERROR(VLOOKUP($A35,'Budget &amp; Revenue'!$A:$AA,17,FALSE)," ")</f>
        <v>0</v>
      </c>
      <c r="J35" s="205">
        <f>IFERROR(VLOOKUP($A35,'Budget &amp; Revenue'!$A:$AA,19,FALSE)," ")</f>
        <v>0</v>
      </c>
      <c r="K35" s="205">
        <f>IFERROR(VLOOKUP($A35,'Budget &amp; Revenue'!$A:$AA,21,FALSE)," ")</f>
        <v>1</v>
      </c>
      <c r="L35" s="205">
        <f>IFERROR(VLOOKUP($A35,'Budget &amp; Revenue'!$A:$AA,23,FALSE)," ")</f>
        <v>1</v>
      </c>
      <c r="M35" s="205">
        <f>IFERROR(VLOOKUP($A35,'Budget &amp; Revenue'!$A:$AA,25,FALSE)," ")</f>
        <v>1</v>
      </c>
      <c r="N35" s="205">
        <f>IFERROR(VLOOKUP($A35,'Budget &amp; Revenue'!$A:$AA,27,FALSE)," ")</f>
        <v>1</v>
      </c>
    </row>
    <row r="36" spans="1:14" ht="42.75" x14ac:dyDescent="0.65">
      <c r="A36" s="283">
        <v>35</v>
      </c>
      <c r="B36" s="284" t="str">
        <f>VLOOKUP(A36,Estimate!A:C,3,FALSE)</f>
        <v>Removal of unsuitable material including excavation, filling and spoiling material (provisional)</v>
      </c>
      <c r="C36" s="284">
        <f>IFERROR(VLOOKUP(A36,Estimate!A:L,12,FALSE),0)</f>
        <v>1</v>
      </c>
      <c r="D36" s="285">
        <v>34</v>
      </c>
      <c r="E36" s="285">
        <v>38</v>
      </c>
      <c r="F36" s="279">
        <f>IFERROR(VLOOKUP(A36,Estimate!A:Q,17,FALSE),0)</f>
        <v>7669.6739857984549</v>
      </c>
      <c r="G36" s="205">
        <f>IFERROR(VLOOKUP($A36,'Budget &amp; Revenue'!$A:$AA,13,FALSE)," ")</f>
        <v>0</v>
      </c>
      <c r="H36" s="205">
        <f>IFERROR(VLOOKUP($A36,'Budget &amp; Revenue'!$A:$AA,15,FALSE)," ")</f>
        <v>1</v>
      </c>
      <c r="I36" s="205">
        <f>IFERROR(VLOOKUP($A36,'Budget &amp; Revenue'!$A:$AA,17,FALSE)," ")</f>
        <v>1</v>
      </c>
      <c r="J36" s="205">
        <f>IFERROR(VLOOKUP($A36,'Budget &amp; Revenue'!$A:$AA,19,FALSE)," ")</f>
        <v>1</v>
      </c>
      <c r="K36" s="205">
        <f>IFERROR(VLOOKUP($A36,'Budget &amp; Revenue'!$A:$AA,21,FALSE)," ")</f>
        <v>1</v>
      </c>
      <c r="L36" s="205">
        <f>IFERROR(VLOOKUP($A36,'Budget &amp; Revenue'!$A:$AA,23,FALSE)," ")</f>
        <v>1</v>
      </c>
      <c r="M36" s="205">
        <f>IFERROR(VLOOKUP($A36,'Budget &amp; Revenue'!$A:$AA,25,FALSE)," ")</f>
        <v>1</v>
      </c>
      <c r="N36" s="205">
        <f>IFERROR(VLOOKUP($A36,'Budget &amp; Revenue'!$A:$AA,27,FALSE)," ")</f>
        <v>1</v>
      </c>
    </row>
    <row r="37" spans="1:14" ht="28.5" x14ac:dyDescent="0.65">
      <c r="A37" s="283">
        <v>36</v>
      </c>
      <c r="B37" s="284" t="str">
        <f>VLOOKUP(A37,Estimate!A:C,3,FALSE)</f>
        <v>Grass seeding to disturbed areas as directed by the Superintendent.</v>
      </c>
      <c r="C37" s="284">
        <f>IFERROR(VLOOKUP(A37,Estimate!A:L,12,FALSE),0)</f>
        <v>1</v>
      </c>
      <c r="D37" s="285" t="s">
        <v>1774</v>
      </c>
      <c r="E37" s="285">
        <v>2</v>
      </c>
      <c r="F37" s="279">
        <f>IFERROR(VLOOKUP(A37,Estimate!A:Q,17,FALSE),0)</f>
        <v>7870.62</v>
      </c>
      <c r="G37" s="205">
        <f>IFERROR(VLOOKUP($A37,'Budget &amp; Revenue'!$A:$AA,13,FALSE)," ")</f>
        <v>0</v>
      </c>
      <c r="H37" s="205">
        <f>IFERROR(VLOOKUP($A37,'Budget &amp; Revenue'!$A:$AA,15,FALSE)," ")</f>
        <v>0</v>
      </c>
      <c r="I37" s="205">
        <f>IFERROR(VLOOKUP($A37,'Budget &amp; Revenue'!$A:$AA,17,FALSE)," ")</f>
        <v>0</v>
      </c>
      <c r="J37" s="205">
        <f>IFERROR(VLOOKUP($A37,'Budget &amp; Revenue'!$A:$AA,19,FALSE)," ")</f>
        <v>0</v>
      </c>
      <c r="K37" s="205">
        <f>IFERROR(VLOOKUP($A37,'Budget &amp; Revenue'!$A:$AA,21,FALSE)," ")</f>
        <v>0</v>
      </c>
      <c r="L37" s="205">
        <f>IFERROR(VLOOKUP($A37,'Budget &amp; Revenue'!$A:$AA,23,FALSE)," ")</f>
        <v>0</v>
      </c>
      <c r="M37" s="205">
        <f>IFERROR(VLOOKUP($A37,'Budget &amp; Revenue'!$A:$AA,25,FALSE)," ")</f>
        <v>1</v>
      </c>
      <c r="N37" s="205">
        <f>IFERROR(VLOOKUP($A37,'Budget &amp; Revenue'!$A:$AA,27,FALSE)," ")</f>
        <v>1</v>
      </c>
    </row>
    <row r="38" spans="1:14" x14ac:dyDescent="0.65">
      <c r="A38" s="283">
        <v>37</v>
      </c>
      <c r="B38" s="284" t="str">
        <f>VLOOKUP(A38,Estimate!A:C,3,FALSE)</f>
        <v>ROAD WORKS</v>
      </c>
      <c r="C38" s="284">
        <f>IFERROR(VLOOKUP(A38,Estimate!A:L,12,FALSE),0)</f>
        <v>0</v>
      </c>
      <c r="D38" s="285"/>
      <c r="E38" s="285"/>
      <c r="F38" s="279">
        <f>IFERROR(VLOOKUP(A38,Estimate!A:Q,17,FALSE),0)</f>
        <v>0</v>
      </c>
      <c r="G38" s="205" t="str">
        <f>IFERROR(VLOOKUP($A38,'Budget &amp; Revenue'!$A:$AA,13,FALSE)," ")</f>
        <v xml:space="preserve"> </v>
      </c>
      <c r="H38" s="205" t="str">
        <f>IFERROR(VLOOKUP($A38,'Budget &amp; Revenue'!$A:$AA,15,FALSE)," ")</f>
        <v xml:space="preserve"> </v>
      </c>
      <c r="I38" s="205" t="str">
        <f>IFERROR(VLOOKUP($A38,'Budget &amp; Revenue'!$A:$AA,17,FALSE)," ")</f>
        <v xml:space="preserve"> </v>
      </c>
      <c r="J38" s="205" t="str">
        <f>IFERROR(VLOOKUP($A38,'Budget &amp; Revenue'!$A:$AA,19,FALSE)," ")</f>
        <v xml:space="preserve"> </v>
      </c>
      <c r="K38" s="205" t="str">
        <f>IFERROR(VLOOKUP($A38,'Budget &amp; Revenue'!$A:$AA,21,FALSE)," ")</f>
        <v xml:space="preserve"> </v>
      </c>
      <c r="L38" s="205" t="str">
        <f>IFERROR(VLOOKUP($A38,'Budget &amp; Revenue'!$A:$AA,23,FALSE)," ")</f>
        <v xml:space="preserve"> </v>
      </c>
      <c r="M38" s="205" t="str">
        <f>IFERROR(VLOOKUP($A38,'Budget &amp; Revenue'!$A:$AA,25,FALSE)," ")</f>
        <v xml:space="preserve"> </v>
      </c>
      <c r="N38" s="205" t="str">
        <f>IFERROR(VLOOKUP($A38,'Budget &amp; Revenue'!$A:$AA,27,FALSE)," ")</f>
        <v xml:space="preserve"> </v>
      </c>
    </row>
    <row r="39" spans="1:14" ht="57" x14ac:dyDescent="0.65">
      <c r="A39" s="283">
        <v>38</v>
      </c>
      <c r="B39" s="284" t="str">
        <f>VLOOKUP(A39,Estimate!A:C,3,FALSE)</f>
        <v>Sub grade preparation as specified including, but not limited to scarifying, moisture control, blending, spreading, compaction and trimming</v>
      </c>
      <c r="C39" s="284">
        <f>IFERROR(VLOOKUP(A39,Estimate!A:L,12,FALSE),0)</f>
        <v>13</v>
      </c>
      <c r="D39" s="285" t="s">
        <v>1775</v>
      </c>
      <c r="E39" s="285" t="s">
        <v>988</v>
      </c>
      <c r="F39" s="279">
        <f>IFERROR(VLOOKUP(A39,Estimate!A:Q,17,FALSE),0)</f>
        <v>40673.820317460311</v>
      </c>
      <c r="G39" s="205">
        <f>IFERROR(VLOOKUP($A39,'Budget &amp; Revenue'!$A:$AA,13,FALSE)," ")</f>
        <v>0</v>
      </c>
      <c r="H39" s="205">
        <f>IFERROR(VLOOKUP($A39,'Budget &amp; Revenue'!$A:$AA,15,FALSE)," ")</f>
        <v>0.11771777788909482</v>
      </c>
      <c r="I39" s="205">
        <f>IFERROR(VLOOKUP($A39,'Budget &amp; Revenue'!$A:$AA,17,FALSE)," ")</f>
        <v>0.34113109252116414</v>
      </c>
      <c r="J39" s="205">
        <f>IFERROR(VLOOKUP($A39,'Budget &amp; Revenue'!$A:$AA,19,FALSE)," ")</f>
        <v>0.39823673796523568</v>
      </c>
      <c r="K39" s="205">
        <f>IFERROR(VLOOKUP($A39,'Budget &amp; Revenue'!$A:$AA,21,FALSE)," ")</f>
        <v>1</v>
      </c>
      <c r="L39" s="205">
        <f>IFERROR(VLOOKUP($A39,'Budget &amp; Revenue'!$A:$AA,23,FALSE)," ")</f>
        <v>1</v>
      </c>
      <c r="M39" s="205">
        <f>IFERROR(VLOOKUP($A39,'Budget &amp; Revenue'!$A:$AA,25,FALSE)," ")</f>
        <v>1</v>
      </c>
      <c r="N39" s="205">
        <f>IFERROR(VLOOKUP($A39,'Budget &amp; Revenue'!$A:$AA,27,FALSE)," ")</f>
        <v>1</v>
      </c>
    </row>
    <row r="40" spans="1:14" x14ac:dyDescent="0.65">
      <c r="A40" s="283">
        <v>39</v>
      </c>
      <c r="B40" s="284" t="str">
        <f>VLOOKUP(A40,Estimate!A:C,3,FALSE)</f>
        <v>Pavement A1</v>
      </c>
      <c r="C40" s="284">
        <f>IFERROR(VLOOKUP(A40,Estimate!A:L,12,FALSE),0)</f>
        <v>0</v>
      </c>
      <c r="D40" s="285"/>
      <c r="E40" s="285"/>
      <c r="F40" s="279">
        <f>IFERROR(VLOOKUP(A40,Estimate!A:Q,17,FALSE),0)</f>
        <v>0</v>
      </c>
      <c r="G40" s="205" t="str">
        <f>IFERROR(VLOOKUP($A40,'Budget &amp; Revenue'!$A:$AA,13,FALSE)," ")</f>
        <v xml:space="preserve"> </v>
      </c>
      <c r="H40" s="205" t="str">
        <f>IFERROR(VLOOKUP($A40,'Budget &amp; Revenue'!$A:$AA,15,FALSE)," ")</f>
        <v xml:space="preserve"> </v>
      </c>
      <c r="I40" s="205" t="str">
        <f>IFERROR(VLOOKUP($A40,'Budget &amp; Revenue'!$A:$AA,17,FALSE)," ")</f>
        <v xml:space="preserve"> </v>
      </c>
      <c r="J40" s="205" t="str">
        <f>IFERROR(VLOOKUP($A40,'Budget &amp; Revenue'!$A:$AA,19,FALSE)," ")</f>
        <v xml:space="preserve"> </v>
      </c>
      <c r="K40" s="205" t="str">
        <f>IFERROR(VLOOKUP($A40,'Budget &amp; Revenue'!$A:$AA,21,FALSE)," ")</f>
        <v xml:space="preserve"> </v>
      </c>
      <c r="L40" s="205" t="str">
        <f>IFERROR(VLOOKUP($A40,'Budget &amp; Revenue'!$A:$AA,23,FALSE)," ")</f>
        <v xml:space="preserve"> </v>
      </c>
      <c r="M40" s="205" t="str">
        <f>IFERROR(VLOOKUP($A40,'Budget &amp; Revenue'!$A:$AA,25,FALSE)," ")</f>
        <v xml:space="preserve"> </v>
      </c>
      <c r="N40" s="205" t="str">
        <f>IFERROR(VLOOKUP($A40,'Budget &amp; Revenue'!$A:$AA,27,FALSE)," ")</f>
        <v xml:space="preserve"> </v>
      </c>
    </row>
    <row r="41" spans="1:14" x14ac:dyDescent="0.65">
      <c r="A41" s="283">
        <v>40</v>
      </c>
      <c r="B41" s="284" t="str">
        <f>VLOOKUP(A41,Estimate!A:C,3,FALSE)</f>
        <v>Base Course - 125mm Type 2.1</v>
      </c>
      <c r="C41" s="284">
        <f>IFERROR(VLOOKUP(A41,Estimate!A:L,12,FALSE),0)</f>
        <v>2</v>
      </c>
      <c r="D41" s="285" t="s">
        <v>989</v>
      </c>
      <c r="E41" s="285">
        <v>43</v>
      </c>
      <c r="F41" s="279">
        <f>IFERROR(VLOOKUP(A41,Estimate!A:Q,17,FALSE),0)</f>
        <v>34918.480024985642</v>
      </c>
      <c r="G41" s="205">
        <f>IFERROR(VLOOKUP($A41,'Budget &amp; Revenue'!$A:$AA,13,FALSE)," ")</f>
        <v>0</v>
      </c>
      <c r="H41" s="205">
        <f>IFERROR(VLOOKUP($A41,'Budget &amp; Revenue'!$A:$AA,15,FALSE)," ")</f>
        <v>0</v>
      </c>
      <c r="I41" s="205">
        <f>IFERROR(VLOOKUP($A41,'Budget &amp; Revenue'!$A:$AA,17,FALSE)," ")</f>
        <v>0</v>
      </c>
      <c r="J41" s="205">
        <f>IFERROR(VLOOKUP($A41,'Budget &amp; Revenue'!$A:$AA,19,FALSE)," ")</f>
        <v>0.7189189189189189</v>
      </c>
      <c r="K41" s="205">
        <f>IFERROR(VLOOKUP($A41,'Budget &amp; Revenue'!$A:$AA,21,FALSE)," ")</f>
        <v>1</v>
      </c>
      <c r="L41" s="205">
        <f>IFERROR(VLOOKUP($A41,'Budget &amp; Revenue'!$A:$AA,23,FALSE)," ")</f>
        <v>1</v>
      </c>
      <c r="M41" s="205">
        <f>IFERROR(VLOOKUP($A41,'Budget &amp; Revenue'!$A:$AA,25,FALSE)," ")</f>
        <v>1</v>
      </c>
      <c r="N41" s="205">
        <f>IFERROR(VLOOKUP($A41,'Budget &amp; Revenue'!$A:$AA,27,FALSE)," ")</f>
        <v>1</v>
      </c>
    </row>
    <row r="42" spans="1:14" x14ac:dyDescent="0.65">
      <c r="A42" s="283">
        <v>41</v>
      </c>
      <c r="B42" s="284" t="str">
        <f>VLOOKUP(A42,Estimate!A:C,3,FALSE)</f>
        <v>Sub-base Course - 100mm Type 2.3</v>
      </c>
      <c r="C42" s="284">
        <f>IFERROR(VLOOKUP(A42,Estimate!A:L,12,FALSE),0)</f>
        <v>2</v>
      </c>
      <c r="D42" s="285">
        <v>85101149183</v>
      </c>
      <c r="E42" s="285" t="s">
        <v>990</v>
      </c>
      <c r="F42" s="279">
        <f>IFERROR(VLOOKUP(A42,Estimate!A:Q,17,FALSE),0)</f>
        <v>27152.234019988515</v>
      </c>
      <c r="G42" s="205">
        <f>IFERROR(VLOOKUP($A42,'Budget &amp; Revenue'!$A:$AA,13,FALSE)," ")</f>
        <v>0</v>
      </c>
      <c r="H42" s="205">
        <f>IFERROR(VLOOKUP($A42,'Budget &amp; Revenue'!$A:$AA,15,FALSE)," ")</f>
        <v>0</v>
      </c>
      <c r="I42" s="205">
        <f>IFERROR(VLOOKUP($A42,'Budget &amp; Revenue'!$A:$AA,17,FALSE)," ")</f>
        <v>0.43468468468468469</v>
      </c>
      <c r="J42" s="205">
        <f>IFERROR(VLOOKUP($A42,'Budget &amp; Revenue'!$A:$AA,19,FALSE)," ")</f>
        <v>0.71846846846846846</v>
      </c>
      <c r="K42" s="205">
        <f>IFERROR(VLOOKUP($A42,'Budget &amp; Revenue'!$A:$AA,21,FALSE)," ")</f>
        <v>1</v>
      </c>
      <c r="L42" s="205">
        <f>IFERROR(VLOOKUP($A42,'Budget &amp; Revenue'!$A:$AA,23,FALSE)," ")</f>
        <v>1</v>
      </c>
      <c r="M42" s="205">
        <f>IFERROR(VLOOKUP($A42,'Budget &amp; Revenue'!$A:$AA,25,FALSE)," ")</f>
        <v>1</v>
      </c>
      <c r="N42" s="205">
        <f>IFERROR(VLOOKUP($A42,'Budget &amp; Revenue'!$A:$AA,27,FALSE)," ")</f>
        <v>1</v>
      </c>
    </row>
    <row r="43" spans="1:14" x14ac:dyDescent="0.65">
      <c r="A43" s="283">
        <v>42</v>
      </c>
      <c r="B43" s="284" t="str">
        <f>VLOOKUP(A43,Estimate!A:C,3,FALSE)</f>
        <v>Pavement A2 - Roadways</v>
      </c>
      <c r="C43" s="284">
        <f>IFERROR(VLOOKUP(A43,Estimate!A:L,12,FALSE),0)</f>
        <v>0</v>
      </c>
      <c r="D43" s="285"/>
      <c r="E43" s="285"/>
      <c r="F43" s="279">
        <f>IFERROR(VLOOKUP(A43,Estimate!A:Q,17,FALSE),0)</f>
        <v>0</v>
      </c>
      <c r="G43" s="205" t="str">
        <f>IFERROR(VLOOKUP($A43,'Budget &amp; Revenue'!$A:$AA,13,FALSE)," ")</f>
        <v xml:space="preserve"> </v>
      </c>
      <c r="H43" s="205" t="str">
        <f>IFERROR(VLOOKUP($A43,'Budget &amp; Revenue'!$A:$AA,15,FALSE)," ")</f>
        <v xml:space="preserve"> </v>
      </c>
      <c r="I43" s="205" t="str">
        <f>IFERROR(VLOOKUP($A43,'Budget &amp; Revenue'!$A:$AA,17,FALSE)," ")</f>
        <v xml:space="preserve"> </v>
      </c>
      <c r="J43" s="205" t="str">
        <f>IFERROR(VLOOKUP($A43,'Budget &amp; Revenue'!$A:$AA,19,FALSE)," ")</f>
        <v xml:space="preserve"> </v>
      </c>
      <c r="K43" s="205" t="str">
        <f>IFERROR(VLOOKUP($A43,'Budget &amp; Revenue'!$A:$AA,21,FALSE)," ")</f>
        <v xml:space="preserve"> </v>
      </c>
      <c r="L43" s="205" t="str">
        <f>IFERROR(VLOOKUP($A43,'Budget &amp; Revenue'!$A:$AA,23,FALSE)," ")</f>
        <v xml:space="preserve"> </v>
      </c>
      <c r="M43" s="205" t="str">
        <f>IFERROR(VLOOKUP($A43,'Budget &amp; Revenue'!$A:$AA,25,FALSE)," ")</f>
        <v xml:space="preserve"> </v>
      </c>
      <c r="N43" s="205" t="str">
        <f>IFERROR(VLOOKUP($A43,'Budget &amp; Revenue'!$A:$AA,27,FALSE)," ")</f>
        <v xml:space="preserve"> </v>
      </c>
    </row>
    <row r="44" spans="1:14" x14ac:dyDescent="0.65">
      <c r="A44" s="283">
        <v>43</v>
      </c>
      <c r="B44" s="284" t="str">
        <f>VLOOKUP(A44,Estimate!A:C,3,FALSE)</f>
        <v>Base Course - 125mm Type 2.1</v>
      </c>
      <c r="C44" s="284">
        <f>IFERROR(VLOOKUP(A44,Estimate!A:L,12,FALSE),0)</f>
        <v>1</v>
      </c>
      <c r="D44" s="285" t="s">
        <v>990</v>
      </c>
      <c r="E44" s="285">
        <v>46</v>
      </c>
      <c r="F44" s="279">
        <f>IFERROR(VLOOKUP(A44,Estimate!A:Q,17,FALSE),0)</f>
        <v>2390.8148485575757</v>
      </c>
      <c r="G44" s="205">
        <f>IFERROR(VLOOKUP($A44,'Budget &amp; Revenue'!$A:$AA,13,FALSE)," ")</f>
        <v>0</v>
      </c>
      <c r="H44" s="205">
        <f>IFERROR(VLOOKUP($A44,'Budget &amp; Revenue'!$A:$AA,15,FALSE)," ")</f>
        <v>0</v>
      </c>
      <c r="I44" s="205">
        <f>IFERROR(VLOOKUP($A44,'Budget &amp; Revenue'!$A:$AA,17,FALSE)," ")</f>
        <v>0</v>
      </c>
      <c r="J44" s="205">
        <f>IFERROR(VLOOKUP($A44,'Budget &amp; Revenue'!$A:$AA,19,FALSE)," ")</f>
        <v>1</v>
      </c>
      <c r="K44" s="205">
        <f>IFERROR(VLOOKUP($A44,'Budget &amp; Revenue'!$A:$AA,21,FALSE)," ")</f>
        <v>1</v>
      </c>
      <c r="L44" s="205">
        <f>IFERROR(VLOOKUP($A44,'Budget &amp; Revenue'!$A:$AA,23,FALSE)," ")</f>
        <v>1</v>
      </c>
      <c r="M44" s="205">
        <f>IFERROR(VLOOKUP($A44,'Budget &amp; Revenue'!$A:$AA,25,FALSE)," ")</f>
        <v>1</v>
      </c>
      <c r="N44" s="205">
        <f>IFERROR(VLOOKUP($A44,'Budget &amp; Revenue'!$A:$AA,27,FALSE)," ")</f>
        <v>1</v>
      </c>
    </row>
    <row r="45" spans="1:14" x14ac:dyDescent="0.65">
      <c r="A45" s="283">
        <v>44</v>
      </c>
      <c r="B45" s="284" t="str">
        <f>VLOOKUP(A45,Estimate!A:C,3,FALSE)</f>
        <v>Sub-base Course - 100mm Type 2.3</v>
      </c>
      <c r="C45" s="284">
        <f>IFERROR(VLOOKUP(A45,Estimate!A:L,12,FALSE),0)</f>
        <v>1</v>
      </c>
      <c r="D45" s="285">
        <v>41</v>
      </c>
      <c r="E45" s="285" t="s">
        <v>1776</v>
      </c>
      <c r="F45" s="279">
        <f>IFERROR(VLOOKUP(A45,Estimate!A:Q,17,FALSE),0)</f>
        <v>1895.7640869811803</v>
      </c>
      <c r="G45" s="205">
        <f>IFERROR(VLOOKUP($A45,'Budget &amp; Revenue'!$A:$AA,13,FALSE)," ")</f>
        <v>0</v>
      </c>
      <c r="H45" s="205">
        <f>IFERROR(VLOOKUP($A45,'Budget &amp; Revenue'!$A:$AA,15,FALSE)," ")</f>
        <v>0</v>
      </c>
      <c r="I45" s="205">
        <f>IFERROR(VLOOKUP($A45,'Budget &amp; Revenue'!$A:$AA,17,FALSE)," ")</f>
        <v>0</v>
      </c>
      <c r="J45" s="205">
        <f>IFERROR(VLOOKUP($A45,'Budget &amp; Revenue'!$A:$AA,19,FALSE)," ")</f>
        <v>1</v>
      </c>
      <c r="K45" s="205">
        <f>IFERROR(VLOOKUP($A45,'Budget &amp; Revenue'!$A:$AA,21,FALSE)," ")</f>
        <v>1</v>
      </c>
      <c r="L45" s="205">
        <f>IFERROR(VLOOKUP($A45,'Budget &amp; Revenue'!$A:$AA,23,FALSE)," ")</f>
        <v>1</v>
      </c>
      <c r="M45" s="205">
        <f>IFERROR(VLOOKUP($A45,'Budget &amp; Revenue'!$A:$AA,25,FALSE)," ")</f>
        <v>1</v>
      </c>
      <c r="N45" s="205">
        <f>IFERROR(VLOOKUP($A45,'Budget &amp; Revenue'!$A:$AA,27,FALSE)," ")</f>
        <v>1</v>
      </c>
    </row>
    <row r="46" spans="1:14" x14ac:dyDescent="0.65">
      <c r="A46" s="283">
        <v>45</v>
      </c>
      <c r="B46" s="284" t="str">
        <f>VLOOKUP(A46,Estimate!A:C,3,FALSE)</f>
        <v>Pavement A2 - Rental Car Park</v>
      </c>
      <c r="C46" s="284">
        <f>IFERROR(VLOOKUP(A46,Estimate!A:L,12,FALSE),0)</f>
        <v>0</v>
      </c>
      <c r="D46" s="285"/>
      <c r="E46" s="285"/>
      <c r="F46" s="279">
        <f>IFERROR(VLOOKUP(A46,Estimate!A:Q,17,FALSE),0)</f>
        <v>0</v>
      </c>
      <c r="G46" s="205" t="str">
        <f>IFERROR(VLOOKUP($A46,'Budget &amp; Revenue'!$A:$AA,13,FALSE)," ")</f>
        <v xml:space="preserve"> </v>
      </c>
      <c r="H46" s="205" t="str">
        <f>IFERROR(VLOOKUP($A46,'Budget &amp; Revenue'!$A:$AA,15,FALSE)," ")</f>
        <v xml:space="preserve"> </v>
      </c>
      <c r="I46" s="205" t="str">
        <f>IFERROR(VLOOKUP($A46,'Budget &amp; Revenue'!$A:$AA,17,FALSE)," ")</f>
        <v xml:space="preserve"> </v>
      </c>
      <c r="J46" s="205" t="str">
        <f>IFERROR(VLOOKUP($A46,'Budget &amp; Revenue'!$A:$AA,19,FALSE)," ")</f>
        <v xml:space="preserve"> </v>
      </c>
      <c r="K46" s="205" t="str">
        <f>IFERROR(VLOOKUP($A46,'Budget &amp; Revenue'!$A:$AA,21,FALSE)," ")</f>
        <v xml:space="preserve"> </v>
      </c>
      <c r="L46" s="205" t="str">
        <f>IFERROR(VLOOKUP($A46,'Budget &amp; Revenue'!$A:$AA,23,FALSE)," ")</f>
        <v xml:space="preserve"> </v>
      </c>
      <c r="M46" s="205" t="str">
        <f>IFERROR(VLOOKUP($A46,'Budget &amp; Revenue'!$A:$AA,25,FALSE)," ")</f>
        <v xml:space="preserve"> </v>
      </c>
      <c r="N46" s="205" t="str">
        <f>IFERROR(VLOOKUP($A46,'Budget &amp; Revenue'!$A:$AA,27,FALSE)," ")</f>
        <v xml:space="preserve"> </v>
      </c>
    </row>
    <row r="47" spans="1:14" x14ac:dyDescent="0.65">
      <c r="A47" s="283">
        <v>46</v>
      </c>
      <c r="B47" s="284" t="str">
        <f>VLOOKUP(A47,Estimate!A:C,3,FALSE)</f>
        <v>Base Course - 125mm Type 2.1</v>
      </c>
      <c r="C47" s="284">
        <f>IFERROR(VLOOKUP(A47,Estimate!A:L,12,FALSE),0)</f>
        <v>2</v>
      </c>
      <c r="D47" s="285" t="s">
        <v>1776</v>
      </c>
      <c r="E47" s="285" t="s">
        <v>991</v>
      </c>
      <c r="F47" s="279">
        <f>IFERROR(VLOOKUP(A47,Estimate!A:Q,17,FALSE),0)</f>
        <v>21643.165997468575</v>
      </c>
      <c r="G47" s="205">
        <f>IFERROR(VLOOKUP($A47,'Budget &amp; Revenue'!$A:$AA,13,FALSE)," ")</f>
        <v>0</v>
      </c>
      <c r="H47" s="205">
        <f>IFERROR(VLOOKUP($A47,'Budget &amp; Revenue'!$A:$AA,15,FALSE)," ")</f>
        <v>1</v>
      </c>
      <c r="I47" s="205">
        <f>IFERROR(VLOOKUP($A47,'Budget &amp; Revenue'!$A:$AA,17,FALSE)," ")</f>
        <v>1</v>
      </c>
      <c r="J47" s="205">
        <f>IFERROR(VLOOKUP($A47,'Budget &amp; Revenue'!$A:$AA,19,FALSE)," ")</f>
        <v>1</v>
      </c>
      <c r="K47" s="205">
        <f>IFERROR(VLOOKUP($A47,'Budget &amp; Revenue'!$A:$AA,21,FALSE)," ")</f>
        <v>1</v>
      </c>
      <c r="L47" s="205">
        <f>IFERROR(VLOOKUP($A47,'Budget &amp; Revenue'!$A:$AA,23,FALSE)," ")</f>
        <v>1</v>
      </c>
      <c r="M47" s="205">
        <f>IFERROR(VLOOKUP($A47,'Budget &amp; Revenue'!$A:$AA,25,FALSE)," ")</f>
        <v>1</v>
      </c>
      <c r="N47" s="205">
        <f>IFERROR(VLOOKUP($A47,'Budget &amp; Revenue'!$A:$AA,27,FALSE)," ")</f>
        <v>1</v>
      </c>
    </row>
    <row r="48" spans="1:14" x14ac:dyDescent="0.65">
      <c r="A48" s="283">
        <v>47</v>
      </c>
      <c r="B48" s="284" t="str">
        <f>VLOOKUP(A48,Estimate!A:C,3,FALSE)</f>
        <v>Sub-Base Course - 100mm Type 2.3</v>
      </c>
      <c r="C48" s="284">
        <f>IFERROR(VLOOKUP(A48,Estimate!A:L,12,FALSE),0)</f>
        <v>1</v>
      </c>
      <c r="D48" s="285">
        <v>44</v>
      </c>
      <c r="E48" s="285" t="s">
        <v>1777</v>
      </c>
      <c r="F48" s="279">
        <f>IFERROR(VLOOKUP(A48,Estimate!A:Q,17,FALSE),0)</f>
        <v>16817.262061929821</v>
      </c>
      <c r="G48" s="205">
        <f>IFERROR(VLOOKUP($A48,'Budget &amp; Revenue'!$A:$AA,13,FALSE)," ")</f>
        <v>0</v>
      </c>
      <c r="H48" s="205">
        <f>IFERROR(VLOOKUP($A48,'Budget &amp; Revenue'!$A:$AA,15,FALSE)," ")</f>
        <v>1</v>
      </c>
      <c r="I48" s="205">
        <f>IFERROR(VLOOKUP($A48,'Budget &amp; Revenue'!$A:$AA,17,FALSE)," ")</f>
        <v>1</v>
      </c>
      <c r="J48" s="205">
        <f>IFERROR(VLOOKUP($A48,'Budget &amp; Revenue'!$A:$AA,19,FALSE)," ")</f>
        <v>1</v>
      </c>
      <c r="K48" s="205">
        <f>IFERROR(VLOOKUP($A48,'Budget &amp; Revenue'!$A:$AA,21,FALSE)," ")</f>
        <v>1</v>
      </c>
      <c r="L48" s="205">
        <f>IFERROR(VLOOKUP($A48,'Budget &amp; Revenue'!$A:$AA,23,FALSE)," ")</f>
        <v>1</v>
      </c>
      <c r="M48" s="205">
        <f>IFERROR(VLOOKUP($A48,'Budget &amp; Revenue'!$A:$AA,25,FALSE)," ")</f>
        <v>1</v>
      </c>
      <c r="N48" s="205">
        <f>IFERROR(VLOOKUP($A48,'Budget &amp; Revenue'!$A:$AA,27,FALSE)," ")</f>
        <v>1</v>
      </c>
    </row>
    <row r="49" spans="1:14" x14ac:dyDescent="0.65">
      <c r="A49" s="283">
        <v>48</v>
      </c>
      <c r="B49" s="284" t="str">
        <f>VLOOKUP(A49,Estimate!A:C,3,FALSE)</f>
        <v>Pavement B - Roadway</v>
      </c>
      <c r="C49" s="284">
        <f>IFERROR(VLOOKUP(A49,Estimate!A:L,12,FALSE),0)</f>
        <v>0</v>
      </c>
      <c r="D49" s="285"/>
      <c r="E49" s="285"/>
      <c r="F49" s="279">
        <f>IFERROR(VLOOKUP(A49,Estimate!A:Q,17,FALSE),0)</f>
        <v>0</v>
      </c>
      <c r="G49" s="205" t="str">
        <f>IFERROR(VLOOKUP($A49,'Budget &amp; Revenue'!$A:$AA,13,FALSE)," ")</f>
        <v xml:space="preserve"> </v>
      </c>
      <c r="H49" s="205" t="str">
        <f>IFERROR(VLOOKUP($A49,'Budget &amp; Revenue'!$A:$AA,15,FALSE)," ")</f>
        <v xml:space="preserve"> </v>
      </c>
      <c r="I49" s="205" t="str">
        <f>IFERROR(VLOOKUP($A49,'Budget &amp; Revenue'!$A:$AA,17,FALSE)," ")</f>
        <v xml:space="preserve"> </v>
      </c>
      <c r="J49" s="205" t="str">
        <f>IFERROR(VLOOKUP($A49,'Budget &amp; Revenue'!$A:$AA,19,FALSE)," ")</f>
        <v xml:space="preserve"> </v>
      </c>
      <c r="K49" s="205" t="str">
        <f>IFERROR(VLOOKUP($A49,'Budget &amp; Revenue'!$A:$AA,21,FALSE)," ")</f>
        <v xml:space="preserve"> </v>
      </c>
      <c r="L49" s="205" t="str">
        <f>IFERROR(VLOOKUP($A49,'Budget &amp; Revenue'!$A:$AA,23,FALSE)," ")</f>
        <v xml:space="preserve"> </v>
      </c>
      <c r="M49" s="205" t="str">
        <f>IFERROR(VLOOKUP($A49,'Budget &amp; Revenue'!$A:$AA,25,FALSE)," ")</f>
        <v xml:space="preserve"> </v>
      </c>
      <c r="N49" s="205" t="str">
        <f>IFERROR(VLOOKUP($A49,'Budget &amp; Revenue'!$A:$AA,27,FALSE)," ")</f>
        <v xml:space="preserve"> </v>
      </c>
    </row>
    <row r="50" spans="1:14" x14ac:dyDescent="0.65">
      <c r="A50" s="283">
        <v>49</v>
      </c>
      <c r="B50" s="284" t="str">
        <f>VLOOKUP(A50,Estimate!A:C,3,FALSE)</f>
        <v>Base Course - 150mm Type 2.1</v>
      </c>
      <c r="C50" s="284">
        <f>IFERROR(VLOOKUP(A50,Estimate!A:L,12,FALSE),0)</f>
        <v>1</v>
      </c>
      <c r="D50" s="285">
        <v>53</v>
      </c>
      <c r="E50" s="285">
        <v>56229</v>
      </c>
      <c r="F50" s="279">
        <f>IFERROR(VLOOKUP(A50,Estimate!A:Q,17,FALSE),0)</f>
        <v>4844.5458773403507</v>
      </c>
      <c r="G50" s="205">
        <f>IFERROR(VLOOKUP($A50,'Budget &amp; Revenue'!$A:$AA,13,FALSE)," ")</f>
        <v>0</v>
      </c>
      <c r="H50" s="205">
        <f>IFERROR(VLOOKUP($A50,'Budget &amp; Revenue'!$A:$AA,15,FALSE)," ")</f>
        <v>0</v>
      </c>
      <c r="I50" s="205">
        <f>IFERROR(VLOOKUP($A50,'Budget &amp; Revenue'!$A:$AA,17,FALSE)," ")</f>
        <v>0</v>
      </c>
      <c r="J50" s="205">
        <f>IFERROR(VLOOKUP($A50,'Budget &amp; Revenue'!$A:$AA,19,FALSE)," ")</f>
        <v>0</v>
      </c>
      <c r="K50" s="205">
        <f>IFERROR(VLOOKUP($A50,'Budget &amp; Revenue'!$A:$AA,21,FALSE)," ")</f>
        <v>1</v>
      </c>
      <c r="L50" s="205">
        <f>IFERROR(VLOOKUP($A50,'Budget &amp; Revenue'!$A:$AA,23,FALSE)," ")</f>
        <v>1</v>
      </c>
      <c r="M50" s="205">
        <f>IFERROR(VLOOKUP($A50,'Budget &amp; Revenue'!$A:$AA,25,FALSE)," ")</f>
        <v>1</v>
      </c>
      <c r="N50" s="205">
        <f>IFERROR(VLOOKUP($A50,'Budget &amp; Revenue'!$A:$AA,27,FALSE)," ")</f>
        <v>1</v>
      </c>
    </row>
    <row r="51" spans="1:14" ht="28.5" x14ac:dyDescent="0.65">
      <c r="A51" s="283">
        <v>50</v>
      </c>
      <c r="B51" s="284" t="str">
        <f>VLOOKUP(A51,Estimate!A:C,3,FALSE)</f>
        <v>Upper Sub-Base Course - 150mm Type 2.3</v>
      </c>
      <c r="C51" s="284">
        <f>IFERROR(VLOOKUP(A51,Estimate!A:L,12,FALSE),0)</f>
        <v>1</v>
      </c>
      <c r="D51" s="285" t="s">
        <v>992</v>
      </c>
      <c r="E51" s="285">
        <v>60</v>
      </c>
      <c r="F51" s="279">
        <f>IFERROR(VLOOKUP(A51,Estimate!A:Q,17,FALSE),0)</f>
        <v>4708.8333773403501</v>
      </c>
      <c r="G51" s="205">
        <f>IFERROR(VLOOKUP($A51,'Budget &amp; Revenue'!$A:$AA,13,FALSE)," ")</f>
        <v>0</v>
      </c>
      <c r="H51" s="205">
        <f>IFERROR(VLOOKUP($A51,'Budget &amp; Revenue'!$A:$AA,15,FALSE)," ")</f>
        <v>0</v>
      </c>
      <c r="I51" s="205">
        <f>IFERROR(VLOOKUP($A51,'Budget &amp; Revenue'!$A:$AA,17,FALSE)," ")</f>
        <v>0</v>
      </c>
      <c r="J51" s="205">
        <f>IFERROR(VLOOKUP($A51,'Budget &amp; Revenue'!$A:$AA,19,FALSE)," ")</f>
        <v>0</v>
      </c>
      <c r="K51" s="205">
        <f>IFERROR(VLOOKUP($A51,'Budget &amp; Revenue'!$A:$AA,21,FALSE)," ")</f>
        <v>1</v>
      </c>
      <c r="L51" s="205">
        <f>IFERROR(VLOOKUP($A51,'Budget &amp; Revenue'!$A:$AA,23,FALSE)," ")</f>
        <v>1</v>
      </c>
      <c r="M51" s="205">
        <f>IFERROR(VLOOKUP($A51,'Budget &amp; Revenue'!$A:$AA,25,FALSE)," ")</f>
        <v>1</v>
      </c>
      <c r="N51" s="205">
        <f>IFERROR(VLOOKUP($A51,'Budget &amp; Revenue'!$A:$AA,27,FALSE)," ")</f>
        <v>1</v>
      </c>
    </row>
    <row r="52" spans="1:14" ht="28.5" x14ac:dyDescent="0.65">
      <c r="A52" s="283">
        <v>51</v>
      </c>
      <c r="B52" s="284" t="str">
        <f>VLOOKUP(A52,Estimate!A:C,3,FALSE)</f>
        <v>Lower Sub-Base Course - 150mm Type 2.3</v>
      </c>
      <c r="C52" s="284">
        <f>IFERROR(VLOOKUP(A52,Estimate!A:L,12,FALSE),0)</f>
        <v>1</v>
      </c>
      <c r="D52" s="285">
        <v>55212211</v>
      </c>
      <c r="E52" s="285" t="s">
        <v>992</v>
      </c>
      <c r="F52" s="279">
        <f>IFERROR(VLOOKUP(A52,Estimate!A:Q,17,FALSE),0)</f>
        <v>4708.8333773403501</v>
      </c>
      <c r="G52" s="205">
        <f>IFERROR(VLOOKUP($A52,'Budget &amp; Revenue'!$A:$AA,13,FALSE)," ")</f>
        <v>0</v>
      </c>
      <c r="H52" s="205">
        <f>IFERROR(VLOOKUP($A52,'Budget &amp; Revenue'!$A:$AA,15,FALSE)," ")</f>
        <v>0</v>
      </c>
      <c r="I52" s="205">
        <f>IFERROR(VLOOKUP($A52,'Budget &amp; Revenue'!$A:$AA,17,FALSE)," ")</f>
        <v>0</v>
      </c>
      <c r="J52" s="205">
        <f>IFERROR(VLOOKUP($A52,'Budget &amp; Revenue'!$A:$AA,19,FALSE)," ")</f>
        <v>0</v>
      </c>
      <c r="K52" s="205">
        <f>IFERROR(VLOOKUP($A52,'Budget &amp; Revenue'!$A:$AA,21,FALSE)," ")</f>
        <v>1</v>
      </c>
      <c r="L52" s="205">
        <f>IFERROR(VLOOKUP($A52,'Budget &amp; Revenue'!$A:$AA,23,FALSE)," ")</f>
        <v>1</v>
      </c>
      <c r="M52" s="205">
        <f>IFERROR(VLOOKUP($A52,'Budget &amp; Revenue'!$A:$AA,25,FALSE)," ")</f>
        <v>1</v>
      </c>
      <c r="N52" s="205">
        <f>IFERROR(VLOOKUP($A52,'Budget &amp; Revenue'!$A:$AA,27,FALSE)," ")</f>
        <v>1</v>
      </c>
    </row>
    <row r="53" spans="1:14" ht="28.5" x14ac:dyDescent="0.65">
      <c r="A53" s="283">
        <v>52</v>
      </c>
      <c r="B53" s="284" t="str">
        <f>VLOOKUP(A53,Estimate!A:C,3,FALSE)</f>
        <v>Pavement B - Public Car Park including Road 3</v>
      </c>
      <c r="C53" s="284">
        <f>IFERROR(VLOOKUP(A53,Estimate!A:L,12,FALSE),0)</f>
        <v>0</v>
      </c>
      <c r="D53" s="285"/>
      <c r="E53" s="285"/>
      <c r="F53" s="279">
        <f>IFERROR(VLOOKUP(A53,Estimate!A:Q,17,FALSE),0)</f>
        <v>0</v>
      </c>
      <c r="G53" s="205" t="str">
        <f>IFERROR(VLOOKUP($A53,'Budget &amp; Revenue'!$A:$AA,13,FALSE)," ")</f>
        <v xml:space="preserve"> </v>
      </c>
      <c r="H53" s="205" t="str">
        <f>IFERROR(VLOOKUP($A53,'Budget &amp; Revenue'!$A:$AA,15,FALSE)," ")</f>
        <v xml:space="preserve"> </v>
      </c>
      <c r="I53" s="205" t="str">
        <f>IFERROR(VLOOKUP($A53,'Budget &amp; Revenue'!$A:$AA,17,FALSE)," ")</f>
        <v xml:space="preserve"> </v>
      </c>
      <c r="J53" s="205" t="str">
        <f>IFERROR(VLOOKUP($A53,'Budget &amp; Revenue'!$A:$AA,19,FALSE)," ")</f>
        <v xml:space="preserve"> </v>
      </c>
      <c r="K53" s="205" t="str">
        <f>IFERROR(VLOOKUP($A53,'Budget &amp; Revenue'!$A:$AA,21,FALSE)," ")</f>
        <v xml:space="preserve"> </v>
      </c>
      <c r="L53" s="205" t="str">
        <f>IFERROR(VLOOKUP($A53,'Budget &amp; Revenue'!$A:$AA,23,FALSE)," ")</f>
        <v xml:space="preserve"> </v>
      </c>
      <c r="M53" s="205" t="str">
        <f>IFERROR(VLOOKUP($A53,'Budget &amp; Revenue'!$A:$AA,25,FALSE)," ")</f>
        <v xml:space="preserve"> </v>
      </c>
      <c r="N53" s="205" t="str">
        <f>IFERROR(VLOOKUP($A53,'Budget &amp; Revenue'!$A:$AA,27,FALSE)," ")</f>
        <v xml:space="preserve"> </v>
      </c>
    </row>
    <row r="54" spans="1:14" x14ac:dyDescent="0.65">
      <c r="A54" s="283">
        <v>53</v>
      </c>
      <c r="B54" s="284" t="str">
        <f>VLOOKUP(A54,Estimate!A:C,3,FALSE)</f>
        <v>Base Course - 150mm Type 2.1</v>
      </c>
      <c r="C54" s="284">
        <f>IFERROR(VLOOKUP(A54,Estimate!A:L,12,FALSE),0)</f>
        <v>2</v>
      </c>
      <c r="D54" s="285" t="s">
        <v>1778</v>
      </c>
      <c r="E54" s="285" t="s">
        <v>993</v>
      </c>
      <c r="F54" s="279">
        <f>IFERROR(VLOOKUP(A54,Estimate!A:Q,17,FALSE),0)</f>
        <v>21139.836555666985</v>
      </c>
      <c r="G54" s="205">
        <f>IFERROR(VLOOKUP($A54,'Budget &amp; Revenue'!$A:$AA,13,FALSE)," ")</f>
        <v>0</v>
      </c>
      <c r="H54" s="205">
        <f>IFERROR(VLOOKUP($A54,'Budget &amp; Revenue'!$A:$AA,15,FALSE)," ")</f>
        <v>0</v>
      </c>
      <c r="I54" s="205">
        <f>IFERROR(VLOOKUP($A54,'Budget &amp; Revenue'!$A:$AA,17,FALSE)," ")</f>
        <v>0</v>
      </c>
      <c r="J54" s="205">
        <f>IFERROR(VLOOKUP($A54,'Budget &amp; Revenue'!$A:$AA,19,FALSE)," ")</f>
        <v>0.4642857142857143</v>
      </c>
      <c r="K54" s="205">
        <f>IFERROR(VLOOKUP($A54,'Budget &amp; Revenue'!$A:$AA,21,FALSE)," ")</f>
        <v>1</v>
      </c>
      <c r="L54" s="205">
        <f>IFERROR(VLOOKUP($A54,'Budget &amp; Revenue'!$A:$AA,23,FALSE)," ")</f>
        <v>1</v>
      </c>
      <c r="M54" s="205">
        <f>IFERROR(VLOOKUP($A54,'Budget &amp; Revenue'!$A:$AA,25,FALSE)," ")</f>
        <v>1</v>
      </c>
      <c r="N54" s="205">
        <f>IFERROR(VLOOKUP($A54,'Budget &amp; Revenue'!$A:$AA,27,FALSE)," ")</f>
        <v>1</v>
      </c>
    </row>
    <row r="55" spans="1:14" ht="28.5" x14ac:dyDescent="0.65">
      <c r="A55" s="283">
        <v>54</v>
      </c>
      <c r="B55" s="284" t="str">
        <f>VLOOKUP(A55,Estimate!A:C,3,FALSE)</f>
        <v>Upper Sub Base Course - 150mm Type 2.3</v>
      </c>
      <c r="C55" s="284">
        <f>IFERROR(VLOOKUP(A55,Estimate!A:L,12,FALSE),0)</f>
        <v>2</v>
      </c>
      <c r="D55" s="285">
        <v>51</v>
      </c>
      <c r="E55" s="285" t="s">
        <v>994</v>
      </c>
      <c r="F55" s="279">
        <f>IFERROR(VLOOKUP(A55,Estimate!A:Q,17,FALSE),0)</f>
        <v>20547.636555666984</v>
      </c>
      <c r="G55" s="205">
        <f>IFERROR(VLOOKUP($A55,'Budget &amp; Revenue'!$A:$AA,13,FALSE)," ")</f>
        <v>0</v>
      </c>
      <c r="H55" s="205">
        <f>IFERROR(VLOOKUP($A55,'Budget &amp; Revenue'!$A:$AA,15,FALSE)," ")</f>
        <v>0</v>
      </c>
      <c r="I55" s="205">
        <f>IFERROR(VLOOKUP($A55,'Budget &amp; Revenue'!$A:$AA,17,FALSE)," ")</f>
        <v>0</v>
      </c>
      <c r="J55" s="205">
        <f>IFERROR(VLOOKUP($A55,'Budget &amp; Revenue'!$A:$AA,19,FALSE)," ")</f>
        <v>0.37202380952380953</v>
      </c>
      <c r="K55" s="205">
        <f>IFERROR(VLOOKUP($A55,'Budget &amp; Revenue'!$A:$AA,21,FALSE)," ")</f>
        <v>1</v>
      </c>
      <c r="L55" s="205">
        <f>IFERROR(VLOOKUP($A55,'Budget &amp; Revenue'!$A:$AA,23,FALSE)," ")</f>
        <v>1</v>
      </c>
      <c r="M55" s="205">
        <f>IFERROR(VLOOKUP($A55,'Budget &amp; Revenue'!$A:$AA,25,FALSE)," ")</f>
        <v>1</v>
      </c>
      <c r="N55" s="205">
        <f>IFERROR(VLOOKUP($A55,'Budget &amp; Revenue'!$A:$AA,27,FALSE)," ")</f>
        <v>1</v>
      </c>
    </row>
    <row r="56" spans="1:14" x14ac:dyDescent="0.65">
      <c r="A56" s="283">
        <v>55</v>
      </c>
      <c r="B56" s="284" t="str">
        <f>VLOOKUP(A56,Estimate!A:C,3,FALSE)</f>
        <v>Lower Base Course - 150mm Type 2.3</v>
      </c>
      <c r="C56" s="284">
        <f>IFERROR(VLOOKUP(A56,Estimate!A:L,12,FALSE),0)</f>
        <v>2</v>
      </c>
      <c r="D56" s="285">
        <v>47</v>
      </c>
      <c r="E56" s="285">
        <v>51</v>
      </c>
      <c r="F56" s="279">
        <f>IFERROR(VLOOKUP(A56,Estimate!A:Q,17,FALSE),0)</f>
        <v>20547.636555666984</v>
      </c>
      <c r="G56" s="205">
        <f>IFERROR(VLOOKUP($A56,'Budget &amp; Revenue'!$A:$AA,13,FALSE)," ")</f>
        <v>0</v>
      </c>
      <c r="H56" s="205">
        <f>IFERROR(VLOOKUP($A56,'Budget &amp; Revenue'!$A:$AA,15,FALSE)," ")</f>
        <v>0</v>
      </c>
      <c r="I56" s="205">
        <f>IFERROR(VLOOKUP($A56,'Budget &amp; Revenue'!$A:$AA,17,FALSE)," ")</f>
        <v>0</v>
      </c>
      <c r="J56" s="205">
        <f>IFERROR(VLOOKUP($A56,'Budget &amp; Revenue'!$A:$AA,19,FALSE)," ")</f>
        <v>0</v>
      </c>
      <c r="K56" s="205">
        <f>IFERROR(VLOOKUP($A56,'Budget &amp; Revenue'!$A:$AA,21,FALSE)," ")</f>
        <v>1</v>
      </c>
      <c r="L56" s="205">
        <f>IFERROR(VLOOKUP($A56,'Budget &amp; Revenue'!$A:$AA,23,FALSE)," ")</f>
        <v>1</v>
      </c>
      <c r="M56" s="205">
        <f>IFERROR(VLOOKUP($A56,'Budget &amp; Revenue'!$A:$AA,25,FALSE)," ")</f>
        <v>1</v>
      </c>
      <c r="N56" s="205">
        <f>IFERROR(VLOOKUP($A56,'Budget &amp; Revenue'!$A:$AA,27,FALSE)," ")</f>
        <v>1</v>
      </c>
    </row>
    <row r="57" spans="1:14" x14ac:dyDescent="0.65">
      <c r="A57" s="283">
        <v>56</v>
      </c>
      <c r="B57" s="284" t="str">
        <f>VLOOKUP(A57,Estimate!A:C,3,FALSE)</f>
        <v>Final Trim to Pavement</v>
      </c>
      <c r="C57" s="284">
        <f>IFERROR(VLOOKUP(A57,Estimate!A:L,12,FALSE),0)</f>
        <v>13</v>
      </c>
      <c r="D57" s="285">
        <v>49</v>
      </c>
      <c r="E57" s="285" t="s">
        <v>995</v>
      </c>
      <c r="F57" s="279">
        <f>IFERROR(VLOOKUP(A57,Estimate!A:Q,17,FALSE),0)</f>
        <v>40742.391111111108</v>
      </c>
      <c r="G57" s="205">
        <f>IFERROR(VLOOKUP($A57,'Budget &amp; Revenue'!$A:$AA,13,FALSE)," ")</f>
        <v>0</v>
      </c>
      <c r="H57" s="205">
        <f>IFERROR(VLOOKUP($A57,'Budget &amp; Revenue'!$A:$AA,15,FALSE)," ")</f>
        <v>0</v>
      </c>
      <c r="I57" s="205">
        <f>IFERROR(VLOOKUP($A57,'Budget &amp; Revenue'!$A:$AA,17,FALSE)," ")</f>
        <v>0.19338852964283557</v>
      </c>
      <c r="J57" s="205">
        <f>IFERROR(VLOOKUP($A57,'Budget &amp; Revenue'!$A:$AA,19,FALSE)," ")</f>
        <v>0.48044962833141958</v>
      </c>
      <c r="K57" s="205">
        <f>IFERROR(VLOOKUP($A57,'Budget &amp; Revenue'!$A:$AA,21,FALSE)," ")</f>
        <v>1</v>
      </c>
      <c r="L57" s="205">
        <f>IFERROR(VLOOKUP($A57,'Budget &amp; Revenue'!$A:$AA,23,FALSE)," ")</f>
        <v>1</v>
      </c>
      <c r="M57" s="205">
        <f>IFERROR(VLOOKUP($A57,'Budget &amp; Revenue'!$A:$AA,25,FALSE)," ")</f>
        <v>1</v>
      </c>
      <c r="N57" s="205">
        <f>IFERROR(VLOOKUP($A57,'Budget &amp; Revenue'!$A:$AA,27,FALSE)," ")</f>
        <v>1</v>
      </c>
    </row>
    <row r="58" spans="1:14" x14ac:dyDescent="0.65">
      <c r="A58" s="283">
        <v>57</v>
      </c>
      <c r="B58" s="284" t="str">
        <f>VLOOKUP(A58,Estimate!A:C,3,FALSE)</f>
        <v>Concrete Works</v>
      </c>
      <c r="C58" s="284">
        <f>IFERROR(VLOOKUP(A58,Estimate!A:L,12,FALSE),0)</f>
        <v>0</v>
      </c>
      <c r="D58" s="285"/>
      <c r="E58" s="285"/>
      <c r="F58" s="279">
        <f>IFERROR(VLOOKUP(A58,Estimate!A:Q,17,FALSE),0)</f>
        <v>0</v>
      </c>
      <c r="G58" s="205" t="str">
        <f>IFERROR(VLOOKUP($A58,'Budget &amp; Revenue'!$A:$AA,13,FALSE)," ")</f>
        <v xml:space="preserve"> </v>
      </c>
      <c r="H58" s="205" t="str">
        <f>IFERROR(VLOOKUP($A58,'Budget &amp; Revenue'!$A:$AA,15,FALSE)," ")</f>
        <v xml:space="preserve"> </v>
      </c>
      <c r="I58" s="205" t="str">
        <f>IFERROR(VLOOKUP($A58,'Budget &amp; Revenue'!$A:$AA,17,FALSE)," ")</f>
        <v xml:space="preserve"> </v>
      </c>
      <c r="J58" s="205" t="str">
        <f>IFERROR(VLOOKUP($A58,'Budget &amp; Revenue'!$A:$AA,19,FALSE)," ")</f>
        <v xml:space="preserve"> </v>
      </c>
      <c r="K58" s="205" t="str">
        <f>IFERROR(VLOOKUP($A58,'Budget &amp; Revenue'!$A:$AA,21,FALSE)," ")</f>
        <v xml:space="preserve"> </v>
      </c>
      <c r="L58" s="205" t="str">
        <f>IFERROR(VLOOKUP($A58,'Budget &amp; Revenue'!$A:$AA,23,FALSE)," ")</f>
        <v xml:space="preserve"> </v>
      </c>
      <c r="M58" s="205" t="str">
        <f>IFERROR(VLOOKUP($A58,'Budget &amp; Revenue'!$A:$AA,25,FALSE)," ")</f>
        <v xml:space="preserve"> </v>
      </c>
      <c r="N58" s="205" t="str">
        <f>IFERROR(VLOOKUP($A58,'Budget &amp; Revenue'!$A:$AA,27,FALSE)," ")</f>
        <v xml:space="preserve"> </v>
      </c>
    </row>
    <row r="59" spans="1:14" ht="42.75" x14ac:dyDescent="0.65">
      <c r="A59" s="283">
        <v>58</v>
      </c>
      <c r="B59" s="284" t="str">
        <f>VLOOKUP(A59,Estimate!A:C,3,FALSE)</f>
        <v>Concrete Kerb &amp; Channel as specified in place, including but not limited to transitions, ramps &amp; gullies</v>
      </c>
      <c r="C59" s="284">
        <f>IFERROR(VLOOKUP(A59,Estimate!A:L,12,FALSE),0)</f>
        <v>0</v>
      </c>
      <c r="D59" s="285"/>
      <c r="E59" s="285"/>
      <c r="F59" s="279">
        <f>IFERROR(VLOOKUP(A59,Estimate!A:Q,17,FALSE),0)</f>
        <v>0</v>
      </c>
      <c r="G59" s="205" t="str">
        <f>IFERROR(VLOOKUP($A59,'Budget &amp; Revenue'!$A:$AA,13,FALSE)," ")</f>
        <v xml:space="preserve"> </v>
      </c>
      <c r="H59" s="205" t="str">
        <f>IFERROR(VLOOKUP($A59,'Budget &amp; Revenue'!$A:$AA,15,FALSE)," ")</f>
        <v xml:space="preserve"> </v>
      </c>
      <c r="I59" s="205" t="str">
        <f>IFERROR(VLOOKUP($A59,'Budget &amp; Revenue'!$A:$AA,17,FALSE)," ")</f>
        <v xml:space="preserve"> </v>
      </c>
      <c r="J59" s="205" t="str">
        <f>IFERROR(VLOOKUP($A59,'Budget &amp; Revenue'!$A:$AA,19,FALSE)," ")</f>
        <v xml:space="preserve"> </v>
      </c>
      <c r="K59" s="205" t="str">
        <f>IFERROR(VLOOKUP($A59,'Budget &amp; Revenue'!$A:$AA,21,FALSE)," ")</f>
        <v xml:space="preserve"> </v>
      </c>
      <c r="L59" s="205" t="str">
        <f>IFERROR(VLOOKUP($A59,'Budget &amp; Revenue'!$A:$AA,23,FALSE)," ")</f>
        <v xml:space="preserve"> </v>
      </c>
      <c r="M59" s="205" t="str">
        <f>IFERROR(VLOOKUP($A59,'Budget &amp; Revenue'!$A:$AA,25,FALSE)," ")</f>
        <v xml:space="preserve"> </v>
      </c>
      <c r="N59" s="205" t="str">
        <f>IFERROR(VLOOKUP($A59,'Budget &amp; Revenue'!$A:$AA,27,FALSE)," ")</f>
        <v xml:space="preserve"> </v>
      </c>
    </row>
    <row r="60" spans="1:14" ht="28.5" x14ac:dyDescent="0.65">
      <c r="A60" s="283">
        <v>59</v>
      </c>
      <c r="B60" s="284" t="str">
        <f>VLOOKUP(A60,Estimate!A:C,3,FALSE)</f>
        <v>Barrier Kerb &amp; Channel Type B1 600mm wide</v>
      </c>
      <c r="C60" s="284">
        <f>IFERROR(VLOOKUP(A60,Estimate!A:L,12,FALSE),0)</f>
        <v>6.7</v>
      </c>
      <c r="D60" s="285">
        <v>47</v>
      </c>
      <c r="E60" s="285" t="s">
        <v>996</v>
      </c>
      <c r="F60" s="279">
        <f>IFERROR(VLOOKUP(A60,Estimate!A:Q,17,FALSE),0)</f>
        <v>27475.512559599953</v>
      </c>
      <c r="G60" s="205">
        <f>IFERROR(VLOOKUP($A60,'Budget &amp; Revenue'!$A:$AA,13,FALSE)," ")</f>
        <v>0</v>
      </c>
      <c r="H60" s="205">
        <f>IFERROR(VLOOKUP($A60,'Budget &amp; Revenue'!$A:$AA,15,FALSE)," ")</f>
        <v>0</v>
      </c>
      <c r="I60" s="205">
        <f>IFERROR(VLOOKUP($A60,'Budget &amp; Revenue'!$A:$AA,17,FALSE)," ")</f>
        <v>0.46268656716417911</v>
      </c>
      <c r="J60" s="205">
        <f>IFERROR(VLOOKUP($A60,'Budget &amp; Revenue'!$A:$AA,19,FALSE)," ")</f>
        <v>0.47462686567164181</v>
      </c>
      <c r="K60" s="205">
        <f>IFERROR(VLOOKUP($A60,'Budget &amp; Revenue'!$A:$AA,21,FALSE)," ")</f>
        <v>1</v>
      </c>
      <c r="L60" s="205">
        <f>IFERROR(VLOOKUP($A60,'Budget &amp; Revenue'!$A:$AA,23,FALSE)," ")</f>
        <v>1</v>
      </c>
      <c r="M60" s="205">
        <f>IFERROR(VLOOKUP($A60,'Budget &amp; Revenue'!$A:$AA,25,FALSE)," ")</f>
        <v>1</v>
      </c>
      <c r="N60" s="205">
        <f>IFERROR(VLOOKUP($A60,'Budget &amp; Revenue'!$A:$AA,27,FALSE)," ")</f>
        <v>1</v>
      </c>
    </row>
    <row r="61" spans="1:14" x14ac:dyDescent="0.65">
      <c r="A61" s="283">
        <v>60</v>
      </c>
      <c r="B61" s="284" t="str">
        <f>VLOOKUP(A61,Estimate!A:C,3,FALSE)</f>
        <v>Barrier Kerb Type B2</v>
      </c>
      <c r="C61" s="284">
        <f>IFERROR(VLOOKUP(A61,Estimate!A:L,12,FALSE),0)</f>
        <v>3.72</v>
      </c>
      <c r="D61" s="285">
        <v>50</v>
      </c>
      <c r="E61" s="285" t="s">
        <v>1779</v>
      </c>
      <c r="F61" s="279">
        <f>IFERROR(VLOOKUP(A61,Estimate!A:Q,17,FALSE),0)</f>
        <v>10820.390464874497</v>
      </c>
      <c r="G61" s="205">
        <f>IFERROR(VLOOKUP($A61,'Budget &amp; Revenue'!$A:$AA,13,FALSE)," ")</f>
        <v>0</v>
      </c>
      <c r="H61" s="205">
        <f>IFERROR(VLOOKUP($A61,'Budget &amp; Revenue'!$A:$AA,15,FALSE)," ")</f>
        <v>0</v>
      </c>
      <c r="I61" s="205">
        <f>IFERROR(VLOOKUP($A61,'Budget &amp; Revenue'!$A:$AA,17,FALSE)," ")</f>
        <v>0</v>
      </c>
      <c r="J61" s="205">
        <f>IFERROR(VLOOKUP($A61,'Budget &amp; Revenue'!$A:$AA,19,FALSE)," ")</f>
        <v>0</v>
      </c>
      <c r="K61" s="205">
        <f>IFERROR(VLOOKUP($A61,'Budget &amp; Revenue'!$A:$AA,21,FALSE)," ")</f>
        <v>1</v>
      </c>
      <c r="L61" s="205">
        <f>IFERROR(VLOOKUP($A61,'Budget &amp; Revenue'!$A:$AA,23,FALSE)," ")</f>
        <v>1</v>
      </c>
      <c r="M61" s="205">
        <f>IFERROR(VLOOKUP($A61,'Budget &amp; Revenue'!$A:$AA,25,FALSE)," ")</f>
        <v>1</v>
      </c>
      <c r="N61" s="205">
        <f>IFERROR(VLOOKUP($A61,'Budget &amp; Revenue'!$A:$AA,27,FALSE)," ")</f>
        <v>1</v>
      </c>
    </row>
    <row r="62" spans="1:14" x14ac:dyDescent="0.65">
      <c r="A62" s="283">
        <v>61</v>
      </c>
      <c r="B62" s="284" t="str">
        <f>VLOOKUP(A62,Estimate!A:C,3,FALSE)</f>
        <v>Semi Mountable Kerb Type SM4</v>
      </c>
      <c r="C62" s="284">
        <f>IFERROR(VLOOKUP(A62,Estimate!A:L,12,FALSE),0)</f>
        <v>1</v>
      </c>
      <c r="D62" s="285">
        <v>60</v>
      </c>
      <c r="E62" s="285" t="s">
        <v>997</v>
      </c>
      <c r="F62" s="279">
        <f>IFERROR(VLOOKUP(A62,Estimate!A:Q,17,FALSE),0)</f>
        <v>858.40305416503713</v>
      </c>
      <c r="G62" s="205">
        <f>IFERROR(VLOOKUP($A62,'Budget &amp; Revenue'!$A:$AA,13,FALSE)," ")</f>
        <v>0</v>
      </c>
      <c r="H62" s="205">
        <f>IFERROR(VLOOKUP($A62,'Budget &amp; Revenue'!$A:$AA,15,FALSE)," ")</f>
        <v>0</v>
      </c>
      <c r="I62" s="205">
        <f>IFERROR(VLOOKUP($A62,'Budget &amp; Revenue'!$A:$AA,17,FALSE)," ")</f>
        <v>0.43478260869565216</v>
      </c>
      <c r="J62" s="205">
        <f>IFERROR(VLOOKUP($A62,'Budget &amp; Revenue'!$A:$AA,19,FALSE)," ")</f>
        <v>0.43478260869565216</v>
      </c>
      <c r="K62" s="205">
        <f>IFERROR(VLOOKUP($A62,'Budget &amp; Revenue'!$A:$AA,21,FALSE)," ")</f>
        <v>0.79710144927536231</v>
      </c>
      <c r="L62" s="205">
        <f>IFERROR(VLOOKUP($A62,'Budget &amp; Revenue'!$A:$AA,23,FALSE)," ")</f>
        <v>0.95169082125603865</v>
      </c>
      <c r="M62" s="205">
        <f>IFERROR(VLOOKUP($A62,'Budget &amp; Revenue'!$A:$AA,25,FALSE)," ")</f>
        <v>0.95169082125603865</v>
      </c>
      <c r="N62" s="205">
        <f>IFERROR(VLOOKUP($A62,'Budget &amp; Revenue'!$A:$AA,27,FALSE)," ")</f>
        <v>1</v>
      </c>
    </row>
    <row r="63" spans="1:14" x14ac:dyDescent="0.65">
      <c r="A63" s="283">
        <v>62</v>
      </c>
      <c r="B63" s="284" t="str">
        <f>VLOOKUP(A63,Estimate!A:C,3,FALSE)</f>
        <v>Kerb Ramp</v>
      </c>
      <c r="C63" s="284">
        <f>IFERROR(VLOOKUP(A63,Estimate!A:L,12,FALSE),0)</f>
        <v>5</v>
      </c>
      <c r="D63" s="285">
        <v>61</v>
      </c>
      <c r="E63" s="285">
        <v>65</v>
      </c>
      <c r="F63" s="279">
        <f>IFERROR(VLOOKUP(A63,Estimate!A:Q,17,FALSE),0)</f>
        <v>2291</v>
      </c>
      <c r="G63" s="205">
        <f>IFERROR(VLOOKUP($A63,'Budget &amp; Revenue'!$A:$AA,13,FALSE)," ")</f>
        <v>0</v>
      </c>
      <c r="H63" s="205">
        <f>IFERROR(VLOOKUP($A63,'Budget &amp; Revenue'!$A:$AA,15,FALSE)," ")</f>
        <v>0</v>
      </c>
      <c r="I63" s="205">
        <f>IFERROR(VLOOKUP($A63,'Budget &amp; Revenue'!$A:$AA,17,FALSE)," ")</f>
        <v>0</v>
      </c>
      <c r="J63" s="205">
        <f>IFERROR(VLOOKUP($A63,'Budget &amp; Revenue'!$A:$AA,19,FALSE)," ")</f>
        <v>0.6</v>
      </c>
      <c r="K63" s="205">
        <f>IFERROR(VLOOKUP($A63,'Budget &amp; Revenue'!$A:$AA,21,FALSE)," ")</f>
        <v>1</v>
      </c>
      <c r="L63" s="205">
        <f>IFERROR(VLOOKUP($A63,'Budget &amp; Revenue'!$A:$AA,23,FALSE)," ")</f>
        <v>1</v>
      </c>
      <c r="M63" s="205">
        <f>IFERROR(VLOOKUP($A63,'Budget &amp; Revenue'!$A:$AA,25,FALSE)," ")</f>
        <v>1</v>
      </c>
      <c r="N63" s="205">
        <f>IFERROR(VLOOKUP($A63,'Budget &amp; Revenue'!$A:$AA,27,FALSE)," ")</f>
        <v>1</v>
      </c>
    </row>
    <row r="64" spans="1:14" x14ac:dyDescent="0.65">
      <c r="A64" s="283">
        <v>63</v>
      </c>
      <c r="B64" s="284" t="str">
        <f>VLOOKUP(A64,Estimate!A:C,3,FALSE)</f>
        <v>Raised Threshold Pedestrian Crossing</v>
      </c>
      <c r="C64" s="284">
        <f>IFERROR(VLOOKUP(A64,Estimate!A:L,12,FALSE),0)</f>
        <v>4.0250000000000004</v>
      </c>
      <c r="D64" s="285">
        <v>51</v>
      </c>
      <c r="E64" s="285">
        <v>50</v>
      </c>
      <c r="F64" s="279">
        <f>IFERROR(VLOOKUP(A64,Estimate!A:Q,17,FALSE),0)</f>
        <v>11276.462122155623</v>
      </c>
      <c r="G64" s="205">
        <f>IFERROR(VLOOKUP($A64,'Budget &amp; Revenue'!$A:$AA,13,FALSE)," ")</f>
        <v>0</v>
      </c>
      <c r="H64" s="205">
        <f>IFERROR(VLOOKUP($A64,'Budget &amp; Revenue'!$A:$AA,15,FALSE)," ")</f>
        <v>0</v>
      </c>
      <c r="I64" s="205">
        <f>IFERROR(VLOOKUP($A64,'Budget &amp; Revenue'!$A:$AA,17,FALSE)," ")</f>
        <v>0</v>
      </c>
      <c r="J64" s="205">
        <f>IFERROR(VLOOKUP($A64,'Budget &amp; Revenue'!$A:$AA,19,FALSE)," ")</f>
        <v>0</v>
      </c>
      <c r="K64" s="205">
        <f>IFERROR(VLOOKUP($A64,'Budget &amp; Revenue'!$A:$AA,21,FALSE)," ")</f>
        <v>1</v>
      </c>
      <c r="L64" s="205">
        <f>IFERROR(VLOOKUP($A64,'Budget &amp; Revenue'!$A:$AA,23,FALSE)," ")</f>
        <v>1</v>
      </c>
      <c r="M64" s="205">
        <f>IFERROR(VLOOKUP($A64,'Budget &amp; Revenue'!$A:$AA,25,FALSE)," ")</f>
        <v>1</v>
      </c>
      <c r="N64" s="205">
        <f>IFERROR(VLOOKUP($A64,'Budget &amp; Revenue'!$A:$AA,27,FALSE)," ")</f>
        <v>1</v>
      </c>
    </row>
    <row r="65" spans="1:14" x14ac:dyDescent="0.65">
      <c r="A65" s="283">
        <v>64</v>
      </c>
      <c r="B65" s="284" t="str">
        <f>VLOOKUP(A65,Estimate!A:C,3,FALSE)</f>
        <v>Additional Concrete Works</v>
      </c>
      <c r="C65" s="284">
        <f>IFERROR(VLOOKUP(A65,Estimate!A:L,12,FALSE),0)</f>
        <v>0</v>
      </c>
      <c r="D65" s="285"/>
      <c r="E65" s="285"/>
      <c r="F65" s="279">
        <f>IFERROR(VLOOKUP(A65,Estimate!A:Q,17,FALSE),0)</f>
        <v>0</v>
      </c>
      <c r="G65" s="205" t="str">
        <f>IFERROR(VLOOKUP($A65,'Budget &amp; Revenue'!$A:$AA,13,FALSE)," ")</f>
        <v xml:space="preserve"> </v>
      </c>
      <c r="H65" s="205" t="str">
        <f>IFERROR(VLOOKUP($A65,'Budget &amp; Revenue'!$A:$AA,15,FALSE)," ")</f>
        <v xml:space="preserve"> </v>
      </c>
      <c r="I65" s="205" t="str">
        <f>IFERROR(VLOOKUP($A65,'Budget &amp; Revenue'!$A:$AA,17,FALSE)," ")</f>
        <v xml:space="preserve"> </v>
      </c>
      <c r="J65" s="205" t="str">
        <f>IFERROR(VLOOKUP($A65,'Budget &amp; Revenue'!$A:$AA,19,FALSE)," ")</f>
        <v xml:space="preserve"> </v>
      </c>
      <c r="K65" s="205" t="str">
        <f>IFERROR(VLOOKUP($A65,'Budget &amp; Revenue'!$A:$AA,21,FALSE)," ")</f>
        <v xml:space="preserve"> </v>
      </c>
      <c r="L65" s="205" t="str">
        <f>IFERROR(VLOOKUP($A65,'Budget &amp; Revenue'!$A:$AA,23,FALSE)," ")</f>
        <v xml:space="preserve"> </v>
      </c>
      <c r="M65" s="205" t="str">
        <f>IFERROR(VLOOKUP($A65,'Budget &amp; Revenue'!$A:$AA,25,FALSE)," ")</f>
        <v xml:space="preserve"> </v>
      </c>
      <c r="N65" s="205" t="str">
        <f>IFERROR(VLOOKUP($A65,'Budget &amp; Revenue'!$A:$AA,27,FALSE)," ")</f>
        <v xml:space="preserve"> </v>
      </c>
    </row>
    <row r="66" spans="1:14" x14ac:dyDescent="0.65">
      <c r="A66" s="283">
        <v>65</v>
      </c>
      <c r="B66" s="284" t="str">
        <f>VLOOKUP(A66,Estimate!A:C,3,FALSE)</f>
        <v>Concrete Footpaths 2.45m wide</v>
      </c>
      <c r="C66" s="284">
        <f>IFERROR(VLOOKUP(A66,Estimate!A:L,12,FALSE),0)</f>
        <v>5</v>
      </c>
      <c r="D66" s="285">
        <v>62</v>
      </c>
      <c r="E66" s="285" t="s">
        <v>998</v>
      </c>
      <c r="F66" s="279">
        <f>IFERROR(VLOOKUP(A66,Estimate!A:Q,17,FALSE),0)</f>
        <v>10775.038603013971</v>
      </c>
      <c r="G66" s="205">
        <f>IFERROR(VLOOKUP($A66,'Budget &amp; Revenue'!$A:$AA,13,FALSE)," ")</f>
        <v>0</v>
      </c>
      <c r="H66" s="205">
        <f>IFERROR(VLOOKUP($A66,'Budget &amp; Revenue'!$A:$AA,15,FALSE)," ")</f>
        <v>0</v>
      </c>
      <c r="I66" s="205">
        <f>IFERROR(VLOOKUP($A66,'Budget &amp; Revenue'!$A:$AA,17,FALSE)," ")</f>
        <v>0</v>
      </c>
      <c r="J66" s="205">
        <f>IFERROR(VLOOKUP($A66,'Budget &amp; Revenue'!$A:$AA,19,FALSE)," ")</f>
        <v>0</v>
      </c>
      <c r="K66" s="205">
        <f>IFERROR(VLOOKUP($A66,'Budget &amp; Revenue'!$A:$AA,21,FALSE)," ")</f>
        <v>1</v>
      </c>
      <c r="L66" s="205">
        <f>IFERROR(VLOOKUP($A66,'Budget &amp; Revenue'!$A:$AA,23,FALSE)," ")</f>
        <v>1</v>
      </c>
      <c r="M66" s="205">
        <f>IFERROR(VLOOKUP($A66,'Budget &amp; Revenue'!$A:$AA,25,FALSE)," ")</f>
        <v>1</v>
      </c>
      <c r="N66" s="205">
        <f>IFERROR(VLOOKUP($A66,'Budget &amp; Revenue'!$A:$AA,27,FALSE)," ")</f>
        <v>1</v>
      </c>
    </row>
    <row r="67" spans="1:14" x14ac:dyDescent="0.65">
      <c r="A67" s="283">
        <v>66</v>
      </c>
      <c r="B67" s="284" t="str">
        <f>VLOOKUP(A67,Estimate!A:C,3,FALSE)</f>
        <v>Concrete Footpaths 2.5m wide</v>
      </c>
      <c r="C67" s="284">
        <f>IFERROR(VLOOKUP(A67,Estimate!A:L,12,FALSE),0)</f>
        <v>1</v>
      </c>
      <c r="D67" s="285">
        <v>65</v>
      </c>
      <c r="E67" s="285">
        <v>67</v>
      </c>
      <c r="F67" s="279">
        <f>IFERROR(VLOOKUP(A67,Estimate!A:Q,17,FALSE),0)</f>
        <v>1270.9019890734426</v>
      </c>
      <c r="G67" s="205">
        <f>IFERROR(VLOOKUP($A67,'Budget &amp; Revenue'!$A:$AA,13,FALSE)," ")</f>
        <v>0</v>
      </c>
      <c r="H67" s="205">
        <f>IFERROR(VLOOKUP($A67,'Budget &amp; Revenue'!$A:$AA,15,FALSE)," ")</f>
        <v>0</v>
      </c>
      <c r="I67" s="205">
        <f>IFERROR(VLOOKUP($A67,'Budget &amp; Revenue'!$A:$AA,17,FALSE)," ")</f>
        <v>0</v>
      </c>
      <c r="J67" s="205">
        <f>IFERROR(VLOOKUP($A67,'Budget &amp; Revenue'!$A:$AA,19,FALSE)," ")</f>
        <v>1</v>
      </c>
      <c r="K67" s="205">
        <f>IFERROR(VLOOKUP($A67,'Budget &amp; Revenue'!$A:$AA,21,FALSE)," ")</f>
        <v>1</v>
      </c>
      <c r="L67" s="205">
        <f>IFERROR(VLOOKUP($A67,'Budget &amp; Revenue'!$A:$AA,23,FALSE)," ")</f>
        <v>1</v>
      </c>
      <c r="M67" s="205">
        <f>IFERROR(VLOOKUP($A67,'Budget &amp; Revenue'!$A:$AA,25,FALSE)," ")</f>
        <v>1</v>
      </c>
      <c r="N67" s="205">
        <f>IFERROR(VLOOKUP($A67,'Budget &amp; Revenue'!$A:$AA,27,FALSE)," ")</f>
        <v>1</v>
      </c>
    </row>
    <row r="68" spans="1:14" x14ac:dyDescent="0.65">
      <c r="A68" s="283">
        <v>67</v>
      </c>
      <c r="B68" s="284" t="str">
        <f>VLOOKUP(A68,Estimate!A:C,3,FALSE)</f>
        <v>Concrete Footpaths 3m wide</v>
      </c>
      <c r="C68" s="284">
        <f>IFERROR(VLOOKUP(A68,Estimate!A:L,12,FALSE),0)</f>
        <v>8</v>
      </c>
      <c r="D68" s="285">
        <v>66</v>
      </c>
      <c r="E68" s="285" t="s">
        <v>1780</v>
      </c>
      <c r="F68" s="279">
        <f>IFERROR(VLOOKUP(A68,Estimate!A:Q,17,FALSE),0)</f>
        <v>16575.151008836576</v>
      </c>
      <c r="G68" s="205">
        <f>IFERROR(VLOOKUP($A68,'Budget &amp; Revenue'!$A:$AA,13,FALSE)," ")</f>
        <v>0</v>
      </c>
      <c r="H68" s="205">
        <f>IFERROR(VLOOKUP($A68,'Budget &amp; Revenue'!$A:$AA,15,FALSE)," ")</f>
        <v>0</v>
      </c>
      <c r="I68" s="205">
        <f>IFERROR(VLOOKUP($A68,'Budget &amp; Revenue'!$A:$AA,17,FALSE)," ")</f>
        <v>0</v>
      </c>
      <c r="J68" s="205">
        <f>IFERROR(VLOOKUP($A68,'Budget &amp; Revenue'!$A:$AA,19,FALSE)," ")</f>
        <v>0.9191343963553531</v>
      </c>
      <c r="K68" s="205">
        <f>IFERROR(VLOOKUP($A68,'Budget &amp; Revenue'!$A:$AA,21,FALSE)," ")</f>
        <v>0.9191343963553531</v>
      </c>
      <c r="L68" s="205">
        <f>IFERROR(VLOOKUP($A68,'Budget &amp; Revenue'!$A:$AA,23,FALSE)," ")</f>
        <v>1</v>
      </c>
      <c r="M68" s="205">
        <f>IFERROR(VLOOKUP($A68,'Budget &amp; Revenue'!$A:$AA,25,FALSE)," ")</f>
        <v>1</v>
      </c>
      <c r="N68" s="205">
        <f>IFERROR(VLOOKUP($A68,'Budget &amp; Revenue'!$A:$AA,27,FALSE)," ")</f>
        <v>1</v>
      </c>
    </row>
    <row r="69" spans="1:14" ht="42.75" x14ac:dyDescent="0.65">
      <c r="A69" s="283">
        <v>68</v>
      </c>
      <c r="B69" s="284" t="str">
        <f>VLOOKUP(A69,Estimate!A:C,3,FALSE)</f>
        <v>Concrete Infill to Median Islands to carparks and round about island, complete in place</v>
      </c>
      <c r="C69" s="284">
        <f>IFERROR(VLOOKUP(A69,Estimate!A:L,12,FALSE),0)</f>
        <v>4</v>
      </c>
      <c r="D69" s="285">
        <v>67</v>
      </c>
      <c r="E69" s="285">
        <v>30</v>
      </c>
      <c r="F69" s="279">
        <f>IFERROR(VLOOKUP(A69,Estimate!A:Q,17,FALSE),0)</f>
        <v>3766.1740384996151</v>
      </c>
      <c r="G69" s="205">
        <f>IFERROR(VLOOKUP($A69,'Budget &amp; Revenue'!$A:$AA,13,FALSE)," ")</f>
        <v>0</v>
      </c>
      <c r="H69" s="205">
        <f>IFERROR(VLOOKUP($A69,'Budget &amp; Revenue'!$A:$AA,15,FALSE)," ")</f>
        <v>0</v>
      </c>
      <c r="I69" s="205">
        <f>IFERROR(VLOOKUP($A69,'Budget &amp; Revenue'!$A:$AA,17,FALSE)," ")</f>
        <v>0</v>
      </c>
      <c r="J69" s="205">
        <f>IFERROR(VLOOKUP($A69,'Budget &amp; Revenue'!$A:$AA,19,FALSE)," ")</f>
        <v>0</v>
      </c>
      <c r="K69" s="205">
        <f>IFERROR(VLOOKUP($A69,'Budget &amp; Revenue'!$A:$AA,21,FALSE)," ")</f>
        <v>0</v>
      </c>
      <c r="L69" s="205">
        <f>IFERROR(VLOOKUP($A69,'Budget &amp; Revenue'!$A:$AA,23,FALSE)," ")</f>
        <v>0</v>
      </c>
      <c r="M69" s="205">
        <f>IFERROR(VLOOKUP($A69,'Budget &amp; Revenue'!$A:$AA,25,FALSE)," ")</f>
        <v>1</v>
      </c>
      <c r="N69" s="205">
        <f>IFERROR(VLOOKUP($A69,'Budget &amp; Revenue'!$A:$AA,27,FALSE)," ")</f>
        <v>1</v>
      </c>
    </row>
    <row r="70" spans="1:14" ht="28.5" x14ac:dyDescent="0.65">
      <c r="A70" s="283">
        <v>69</v>
      </c>
      <c r="B70" s="284" t="str">
        <f>VLOOKUP(A70,Estimate!A:C,3,FALSE)</f>
        <v>Wheelstops, complete in place (in accordance with AS2890.1)</v>
      </c>
      <c r="C70" s="284">
        <f>IFERROR(VLOOKUP(A70,Estimate!A:L,12,FALSE),0)</f>
        <v>1</v>
      </c>
      <c r="D70" s="285">
        <v>79</v>
      </c>
      <c r="E70" s="285" t="s">
        <v>999</v>
      </c>
      <c r="F70" s="279">
        <f>IFERROR(VLOOKUP(A70,Estimate!A:Q,17,FALSE),0)</f>
        <v>13301.333333333334</v>
      </c>
      <c r="G70" s="205">
        <f>IFERROR(VLOOKUP($A70,'Budget &amp; Revenue'!$A:$AA,13,FALSE)," ")</f>
        <v>0</v>
      </c>
      <c r="H70" s="205">
        <f>IFERROR(VLOOKUP($A70,'Budget &amp; Revenue'!$A:$AA,15,FALSE)," ")</f>
        <v>0</v>
      </c>
      <c r="I70" s="205">
        <f>IFERROR(VLOOKUP($A70,'Budget &amp; Revenue'!$A:$AA,17,FALSE)," ")</f>
        <v>0</v>
      </c>
      <c r="J70" s="205">
        <f>IFERROR(VLOOKUP($A70,'Budget &amp; Revenue'!$A:$AA,19,FALSE)," ")</f>
        <v>0</v>
      </c>
      <c r="K70" s="205">
        <f>IFERROR(VLOOKUP($A70,'Budget &amp; Revenue'!$A:$AA,21,FALSE)," ")</f>
        <v>0</v>
      </c>
      <c r="L70" s="205">
        <f>IFERROR(VLOOKUP($A70,'Budget &amp; Revenue'!$A:$AA,23,FALSE)," ")</f>
        <v>0</v>
      </c>
      <c r="M70" s="205">
        <f>IFERROR(VLOOKUP($A70,'Budget &amp; Revenue'!$A:$AA,25,FALSE)," ")</f>
        <v>1</v>
      </c>
      <c r="N70" s="205">
        <f>IFERROR(VLOOKUP($A70,'Budget &amp; Revenue'!$A:$AA,27,FALSE)," ")</f>
        <v>1</v>
      </c>
    </row>
    <row r="71" spans="1:14" x14ac:dyDescent="0.65">
      <c r="A71" s="283">
        <v>70</v>
      </c>
      <c r="B71" s="284" t="str">
        <f>VLOOKUP(A71,Estimate!A:C,3,FALSE)</f>
        <v>Surfacing Works</v>
      </c>
      <c r="C71" s="284">
        <f>IFERROR(VLOOKUP(A71,Estimate!A:L,12,FALSE),0)</f>
        <v>0</v>
      </c>
      <c r="D71" s="285"/>
      <c r="E71" s="285"/>
      <c r="F71" s="279">
        <f>IFERROR(VLOOKUP(A71,Estimate!A:Q,17,FALSE),0)</f>
        <v>0</v>
      </c>
      <c r="G71" s="205" t="str">
        <f>IFERROR(VLOOKUP($A71,'Budget &amp; Revenue'!$A:$AA,13,FALSE)," ")</f>
        <v xml:space="preserve"> </v>
      </c>
      <c r="H71" s="205" t="str">
        <f>IFERROR(VLOOKUP($A71,'Budget &amp; Revenue'!$A:$AA,15,FALSE)," ")</f>
        <v xml:space="preserve"> </v>
      </c>
      <c r="I71" s="205" t="str">
        <f>IFERROR(VLOOKUP($A71,'Budget &amp; Revenue'!$A:$AA,17,FALSE)," ")</f>
        <v xml:space="preserve"> </v>
      </c>
      <c r="J71" s="205" t="str">
        <f>IFERROR(VLOOKUP($A71,'Budget &amp; Revenue'!$A:$AA,19,FALSE)," ")</f>
        <v xml:space="preserve"> </v>
      </c>
      <c r="K71" s="205" t="str">
        <f>IFERROR(VLOOKUP($A71,'Budget &amp; Revenue'!$A:$AA,21,FALSE)," ")</f>
        <v xml:space="preserve"> </v>
      </c>
      <c r="L71" s="205" t="str">
        <f>IFERROR(VLOOKUP($A71,'Budget &amp; Revenue'!$A:$AA,23,FALSE)," ")</f>
        <v xml:space="preserve"> </v>
      </c>
      <c r="M71" s="205" t="str">
        <f>IFERROR(VLOOKUP($A71,'Budget &amp; Revenue'!$A:$AA,25,FALSE)," ")</f>
        <v xml:space="preserve"> </v>
      </c>
      <c r="N71" s="205" t="str">
        <f>IFERROR(VLOOKUP($A71,'Budget &amp; Revenue'!$A:$AA,27,FALSE)," ")</f>
        <v xml:space="preserve"> </v>
      </c>
    </row>
    <row r="72" spans="1:14" x14ac:dyDescent="0.65">
      <c r="A72" s="283">
        <v>71</v>
      </c>
      <c r="B72" s="284" t="str">
        <f>VLOOKUP(A72,Estimate!A:C,3,FALSE)</f>
        <v>Existing Public Carpark</v>
      </c>
      <c r="C72" s="284">
        <f>IFERROR(VLOOKUP(A72,Estimate!A:L,12,FALSE),0)</f>
        <v>0</v>
      </c>
      <c r="D72" s="285"/>
      <c r="E72" s="285"/>
      <c r="F72" s="279">
        <f>IFERROR(VLOOKUP(A72,Estimate!A:Q,17,FALSE),0)</f>
        <v>0</v>
      </c>
      <c r="G72" s="205" t="str">
        <f>IFERROR(VLOOKUP($A72,'Budget &amp; Revenue'!$A:$AA,13,FALSE)," ")</f>
        <v xml:space="preserve"> </v>
      </c>
      <c r="H72" s="205" t="str">
        <f>IFERROR(VLOOKUP($A72,'Budget &amp; Revenue'!$A:$AA,15,FALSE)," ")</f>
        <v xml:space="preserve"> </v>
      </c>
      <c r="I72" s="205" t="str">
        <f>IFERROR(VLOOKUP($A72,'Budget &amp; Revenue'!$A:$AA,17,FALSE)," ")</f>
        <v xml:space="preserve"> </v>
      </c>
      <c r="J72" s="205" t="str">
        <f>IFERROR(VLOOKUP($A72,'Budget &amp; Revenue'!$A:$AA,19,FALSE)," ")</f>
        <v xml:space="preserve"> </v>
      </c>
      <c r="K72" s="205" t="str">
        <f>IFERROR(VLOOKUP($A72,'Budget &amp; Revenue'!$A:$AA,21,FALSE)," ")</f>
        <v xml:space="preserve"> </v>
      </c>
      <c r="L72" s="205" t="str">
        <f>IFERROR(VLOOKUP($A72,'Budget &amp; Revenue'!$A:$AA,23,FALSE)," ")</f>
        <v xml:space="preserve"> </v>
      </c>
      <c r="M72" s="205" t="str">
        <f>IFERROR(VLOOKUP($A72,'Budget &amp; Revenue'!$A:$AA,25,FALSE)," ")</f>
        <v xml:space="preserve"> </v>
      </c>
      <c r="N72" s="205" t="str">
        <f>IFERROR(VLOOKUP($A72,'Budget &amp; Revenue'!$A:$AA,27,FALSE)," ")</f>
        <v xml:space="preserve"> </v>
      </c>
    </row>
    <row r="73" spans="1:14" x14ac:dyDescent="0.65">
      <c r="A73" s="283">
        <v>72</v>
      </c>
      <c r="B73" s="284" t="str">
        <f>VLOOKUP(A73,Estimate!A:C,3,FALSE)</f>
        <v>First Seal: 7mm CRS60</v>
      </c>
      <c r="C73" s="284">
        <f>IFERROR(VLOOKUP(A73,Estimate!A:L,12,FALSE),0)</f>
        <v>1</v>
      </c>
      <c r="D73" s="285">
        <v>46</v>
      </c>
      <c r="E73" s="285">
        <v>73</v>
      </c>
      <c r="F73" s="279">
        <f>IFERROR(VLOOKUP(A73,Estimate!A:Q,17,FALSE),0)</f>
        <v>11739.105000000001</v>
      </c>
      <c r="G73" s="205">
        <f>IFERROR(VLOOKUP($A73,'Budget &amp; Revenue'!$A:$AA,13,FALSE)," ")</f>
        <v>0</v>
      </c>
      <c r="H73" s="205">
        <f>IFERROR(VLOOKUP($A73,'Budget &amp; Revenue'!$A:$AA,15,FALSE)," ")</f>
        <v>0</v>
      </c>
      <c r="I73" s="205">
        <f>IFERROR(VLOOKUP($A73,'Budget &amp; Revenue'!$A:$AA,17,FALSE)," ")</f>
        <v>0</v>
      </c>
      <c r="J73" s="205">
        <f>IFERROR(VLOOKUP($A73,'Budget &amp; Revenue'!$A:$AA,19,FALSE)," ")</f>
        <v>1</v>
      </c>
      <c r="K73" s="205">
        <f>IFERROR(VLOOKUP($A73,'Budget &amp; Revenue'!$A:$AA,21,FALSE)," ")</f>
        <v>1</v>
      </c>
      <c r="L73" s="205">
        <f>IFERROR(VLOOKUP($A73,'Budget &amp; Revenue'!$A:$AA,23,FALSE)," ")</f>
        <v>1</v>
      </c>
      <c r="M73" s="205">
        <f>IFERROR(VLOOKUP($A73,'Budget &amp; Revenue'!$A:$AA,25,FALSE)," ")</f>
        <v>1</v>
      </c>
      <c r="N73" s="205">
        <f>IFERROR(VLOOKUP($A73,'Budget &amp; Revenue'!$A:$AA,27,FALSE)," ")</f>
        <v>1</v>
      </c>
    </row>
    <row r="74" spans="1:14" ht="57" x14ac:dyDescent="0.65">
      <c r="A74" s="283">
        <v>73</v>
      </c>
      <c r="B74" s="284" t="str">
        <f>VLOOKUP(A74,Estimate!A:C,3,FALSE)</f>
        <v>Second Seal: 40mm AC Surfacing, (DG10) complete in place, including but not limited to supply, compaction and prime coat)</v>
      </c>
      <c r="C74" s="284">
        <f>IFERROR(VLOOKUP(A74,Estimate!A:L,12,FALSE),0)</f>
        <v>1</v>
      </c>
      <c r="D74" s="285">
        <v>72</v>
      </c>
      <c r="E74" s="285">
        <v>110</v>
      </c>
      <c r="F74" s="279">
        <f>IFERROR(VLOOKUP(A74,Estimate!A:Q,17,FALSE),0)</f>
        <v>71463</v>
      </c>
      <c r="G74" s="205">
        <f>IFERROR(VLOOKUP($A74,'Budget &amp; Revenue'!$A:$AA,13,FALSE)," ")</f>
        <v>0</v>
      </c>
      <c r="H74" s="205">
        <f>IFERROR(VLOOKUP($A74,'Budget &amp; Revenue'!$A:$AA,15,FALSE)," ")</f>
        <v>0</v>
      </c>
      <c r="I74" s="205">
        <f>IFERROR(VLOOKUP($A74,'Budget &amp; Revenue'!$A:$AA,17,FALSE)," ")</f>
        <v>0</v>
      </c>
      <c r="J74" s="205">
        <f>IFERROR(VLOOKUP($A74,'Budget &amp; Revenue'!$A:$AA,19,FALSE)," ")</f>
        <v>0</v>
      </c>
      <c r="K74" s="205">
        <f>IFERROR(VLOOKUP($A74,'Budget &amp; Revenue'!$A:$AA,21,FALSE)," ")</f>
        <v>1</v>
      </c>
      <c r="L74" s="205">
        <f>IFERROR(VLOOKUP($A74,'Budget &amp; Revenue'!$A:$AA,23,FALSE)," ")</f>
        <v>1</v>
      </c>
      <c r="M74" s="205">
        <f>IFERROR(VLOOKUP($A74,'Budget &amp; Revenue'!$A:$AA,25,FALSE)," ")</f>
        <v>1</v>
      </c>
      <c r="N74" s="205">
        <f>IFERROR(VLOOKUP($A74,'Budget &amp; Revenue'!$A:$AA,27,FALSE)," ")</f>
        <v>1</v>
      </c>
    </row>
    <row r="75" spans="1:14" x14ac:dyDescent="0.65">
      <c r="A75" s="283">
        <v>74</v>
      </c>
      <c r="B75" s="284" t="str">
        <f>VLOOKUP(A75,Estimate!A:C,3,FALSE)</f>
        <v>Roadways and New Carpark</v>
      </c>
      <c r="C75" s="284">
        <f>IFERROR(VLOOKUP(A75,Estimate!A:L,12,FALSE),0)</f>
        <v>0</v>
      </c>
      <c r="D75" s="285"/>
      <c r="E75" s="285"/>
      <c r="F75" s="279">
        <f>IFERROR(VLOOKUP(A75,Estimate!A:Q,17,FALSE),0)</f>
        <v>0</v>
      </c>
      <c r="G75" s="205" t="str">
        <f>IFERROR(VLOOKUP($A75,'Budget &amp; Revenue'!$A:$AA,13,FALSE)," ")</f>
        <v xml:space="preserve"> </v>
      </c>
      <c r="H75" s="205" t="str">
        <f>IFERROR(VLOOKUP($A75,'Budget &amp; Revenue'!$A:$AA,15,FALSE)," ")</f>
        <v xml:space="preserve"> </v>
      </c>
      <c r="I75" s="205" t="str">
        <f>IFERROR(VLOOKUP($A75,'Budget &amp; Revenue'!$A:$AA,17,FALSE)," ")</f>
        <v xml:space="preserve"> </v>
      </c>
      <c r="J75" s="205" t="str">
        <f>IFERROR(VLOOKUP($A75,'Budget &amp; Revenue'!$A:$AA,19,FALSE)," ")</f>
        <v xml:space="preserve"> </v>
      </c>
      <c r="K75" s="205" t="str">
        <f>IFERROR(VLOOKUP($A75,'Budget &amp; Revenue'!$A:$AA,21,FALSE)," ")</f>
        <v xml:space="preserve"> </v>
      </c>
      <c r="L75" s="205" t="str">
        <f>IFERROR(VLOOKUP($A75,'Budget &amp; Revenue'!$A:$AA,23,FALSE)," ")</f>
        <v xml:space="preserve"> </v>
      </c>
      <c r="M75" s="205" t="str">
        <f>IFERROR(VLOOKUP($A75,'Budget &amp; Revenue'!$A:$AA,25,FALSE)," ")</f>
        <v xml:space="preserve"> </v>
      </c>
      <c r="N75" s="205" t="str">
        <f>IFERROR(VLOOKUP($A75,'Budget &amp; Revenue'!$A:$AA,27,FALSE)," ")</f>
        <v xml:space="preserve"> </v>
      </c>
    </row>
    <row r="76" spans="1:14" x14ac:dyDescent="0.65">
      <c r="A76" s="283">
        <v>75</v>
      </c>
      <c r="B76" s="284" t="str">
        <f>VLOOKUP(A76,Estimate!A:C,3,FALSE)</f>
        <v>First Seal: 7mm CRS60 Primerseal</v>
      </c>
      <c r="C76" s="284">
        <f>IFERROR(VLOOKUP(A76,Estimate!A:L,12,FALSE),0)</f>
        <v>1</v>
      </c>
      <c r="D76" s="285" t="s">
        <v>1000</v>
      </c>
      <c r="E76" s="285" t="s">
        <v>1001</v>
      </c>
      <c r="F76" s="279">
        <f>IFERROR(VLOOKUP(A76,Estimate!A:Q,17,FALSE),0)</f>
        <v>48375.484500000006</v>
      </c>
      <c r="G76" s="205">
        <f>IFERROR(VLOOKUP($A76,'Budget &amp; Revenue'!$A:$AA,13,FALSE)," ")</f>
        <v>0</v>
      </c>
      <c r="H76" s="205">
        <f>IFERROR(VLOOKUP($A76,'Budget &amp; Revenue'!$A:$AA,15,FALSE)," ")</f>
        <v>0</v>
      </c>
      <c r="I76" s="205">
        <f>IFERROR(VLOOKUP($A76,'Budget &amp; Revenue'!$A:$AA,17,FALSE)," ")</f>
        <v>0.31186044245200273</v>
      </c>
      <c r="J76" s="205">
        <f>IFERROR(VLOOKUP($A76,'Budget &amp; Revenue'!$A:$AA,19,FALSE)," ")</f>
        <v>0.77477828671669424</v>
      </c>
      <c r="K76" s="205">
        <f>IFERROR(VLOOKUP($A76,'Budget &amp; Revenue'!$A:$AA,21,FALSE)," ")</f>
        <v>1</v>
      </c>
      <c r="L76" s="205">
        <f>IFERROR(VLOOKUP($A76,'Budget &amp; Revenue'!$A:$AA,23,FALSE)," ")</f>
        <v>1</v>
      </c>
      <c r="M76" s="205">
        <f>IFERROR(VLOOKUP($A76,'Budget &amp; Revenue'!$A:$AA,25,FALSE)," ")</f>
        <v>1</v>
      </c>
      <c r="N76" s="205">
        <f>IFERROR(VLOOKUP($A76,'Budget &amp; Revenue'!$A:$AA,27,FALSE)," ")</f>
        <v>1</v>
      </c>
    </row>
    <row r="77" spans="1:14" ht="57" x14ac:dyDescent="0.65">
      <c r="A77" s="283">
        <v>76</v>
      </c>
      <c r="B77" s="284" t="str">
        <f>VLOOKUP(A77,Estimate!A:C,3,FALSE)</f>
        <v>Second Seal: 40mm AC Surfacing, (DG10) complete in place, including but not limited to supply, compaction and prime coat)</v>
      </c>
      <c r="C77" s="284">
        <f>IFERROR(VLOOKUP(A77,Estimate!A:L,12,FALSE),0)</f>
        <v>3</v>
      </c>
      <c r="D77" s="285">
        <v>75</v>
      </c>
      <c r="E77" s="285" t="s">
        <v>1002</v>
      </c>
      <c r="F77" s="279">
        <f>IFERROR(VLOOKUP(A77,Estimate!A:Q,17,FALSE),0)</f>
        <v>294462</v>
      </c>
      <c r="G77" s="205">
        <f>IFERROR(VLOOKUP($A77,'Budget &amp; Revenue'!$A:$AA,13,FALSE)," ")</f>
        <v>0</v>
      </c>
      <c r="H77" s="205">
        <f>IFERROR(VLOOKUP($A77,'Budget &amp; Revenue'!$A:$AA,15,FALSE)," ")</f>
        <v>0</v>
      </c>
      <c r="I77" s="205">
        <f>IFERROR(VLOOKUP($A77,'Budget &amp; Revenue'!$A:$AA,17,FALSE)," ")</f>
        <v>0</v>
      </c>
      <c r="J77" s="205">
        <f>IFERROR(VLOOKUP($A77,'Budget &amp; Revenue'!$A:$AA,19,FALSE)," ")</f>
        <v>0</v>
      </c>
      <c r="K77" s="205">
        <f>IFERROR(VLOOKUP($A77,'Budget &amp; Revenue'!$A:$AA,21,FALSE)," ")</f>
        <v>0.19005847953216373</v>
      </c>
      <c r="L77" s="205">
        <f>IFERROR(VLOOKUP($A77,'Budget &amp; Revenue'!$A:$AA,23,FALSE)," ")</f>
        <v>1</v>
      </c>
      <c r="M77" s="205">
        <f>IFERROR(VLOOKUP($A77,'Budget &amp; Revenue'!$A:$AA,25,FALSE)," ")</f>
        <v>1</v>
      </c>
      <c r="N77" s="205">
        <f>IFERROR(VLOOKUP($A77,'Budget &amp; Revenue'!$A:$AA,27,FALSE)," ")</f>
        <v>1</v>
      </c>
    </row>
    <row r="78" spans="1:14" x14ac:dyDescent="0.65">
      <c r="A78" s="283">
        <v>77</v>
      </c>
      <c r="B78" s="284" t="str">
        <f>VLOOKUP(A78,Estimate!A:C,3,FALSE)</f>
        <v>Signage and Pavement Marking</v>
      </c>
      <c r="C78" s="284">
        <f>IFERROR(VLOOKUP(A78,Estimate!A:L,12,FALSE),0)</f>
        <v>0</v>
      </c>
      <c r="D78" s="285"/>
      <c r="E78" s="285"/>
      <c r="F78" s="279">
        <f>IFERROR(VLOOKUP(A78,Estimate!A:Q,17,FALSE),0)</f>
        <v>0</v>
      </c>
      <c r="G78" s="205" t="str">
        <f>IFERROR(VLOOKUP($A78,'Budget &amp; Revenue'!$A:$AA,13,FALSE)," ")</f>
        <v xml:space="preserve"> </v>
      </c>
      <c r="H78" s="205" t="str">
        <f>IFERROR(VLOOKUP($A78,'Budget &amp; Revenue'!$A:$AA,15,FALSE)," ")</f>
        <v xml:space="preserve"> </v>
      </c>
      <c r="I78" s="205" t="str">
        <f>IFERROR(VLOOKUP($A78,'Budget &amp; Revenue'!$A:$AA,17,FALSE)," ")</f>
        <v xml:space="preserve"> </v>
      </c>
      <c r="J78" s="205" t="str">
        <f>IFERROR(VLOOKUP($A78,'Budget &amp; Revenue'!$A:$AA,19,FALSE)," ")</f>
        <v xml:space="preserve"> </v>
      </c>
      <c r="K78" s="205" t="str">
        <f>IFERROR(VLOOKUP($A78,'Budget &amp; Revenue'!$A:$AA,21,FALSE)," ")</f>
        <v xml:space="preserve"> </v>
      </c>
      <c r="L78" s="205" t="str">
        <f>IFERROR(VLOOKUP($A78,'Budget &amp; Revenue'!$A:$AA,23,FALSE)," ")</f>
        <v xml:space="preserve"> </v>
      </c>
      <c r="M78" s="205" t="str">
        <f>IFERROR(VLOOKUP($A78,'Budget &amp; Revenue'!$A:$AA,25,FALSE)," ")</f>
        <v xml:space="preserve"> </v>
      </c>
      <c r="N78" s="205" t="str">
        <f>IFERROR(VLOOKUP($A78,'Budget &amp; Revenue'!$A:$AA,27,FALSE)," ")</f>
        <v xml:space="preserve"> </v>
      </c>
    </row>
    <row r="79" spans="1:14" ht="71.25" x14ac:dyDescent="0.65">
      <c r="A79" s="283">
        <v>78</v>
      </c>
      <c r="B79" s="284" t="str">
        <f>VLOOKUP(A79,Estimate!A:C,3,FALSE)</f>
        <v>Signage and pavement marking, complete in place.  All work to be in accordance with the requirements of AS 1742 Manual of Uniform Traffic Control Devices (Provisional Sum)</v>
      </c>
      <c r="C79" s="284">
        <f>IFERROR(VLOOKUP(A79,Estimate!A:L,12,FALSE),0)</f>
        <v>1</v>
      </c>
      <c r="D79" s="285">
        <v>76</v>
      </c>
      <c r="E79" s="285" t="s">
        <v>1003</v>
      </c>
      <c r="F79" s="279">
        <f>IFERROR(VLOOKUP(A79,Estimate!A:Q,17,FALSE),0)</f>
        <v>7660</v>
      </c>
      <c r="G79" s="205">
        <f>IFERROR(VLOOKUP($A79,'Budget &amp; Revenue'!$A:$AA,13,FALSE)," ")</f>
        <v>0</v>
      </c>
      <c r="H79" s="205">
        <f>IFERROR(VLOOKUP($A79,'Budget &amp; Revenue'!$A:$AA,15,FALSE)," ")</f>
        <v>0</v>
      </c>
      <c r="I79" s="205">
        <f>IFERROR(VLOOKUP($A79,'Budget &amp; Revenue'!$A:$AA,17,FALSE)," ")</f>
        <v>0</v>
      </c>
      <c r="J79" s="205">
        <f>IFERROR(VLOOKUP($A79,'Budget &amp; Revenue'!$A:$AA,19,FALSE)," ")</f>
        <v>0</v>
      </c>
      <c r="K79" s="205">
        <f>IFERROR(VLOOKUP($A79,'Budget &amp; Revenue'!$A:$AA,21,FALSE)," ")</f>
        <v>0.25</v>
      </c>
      <c r="L79" s="205">
        <f>IFERROR(VLOOKUP($A79,'Budget &amp; Revenue'!$A:$AA,23,FALSE)," ")</f>
        <v>0.25</v>
      </c>
      <c r="M79" s="205">
        <f>IFERROR(VLOOKUP($A79,'Budget &amp; Revenue'!$A:$AA,25,FALSE)," ")</f>
        <v>1</v>
      </c>
      <c r="N79" s="205">
        <f>IFERROR(VLOOKUP($A79,'Budget &amp; Revenue'!$A:$AA,27,FALSE)," ")</f>
        <v>1</v>
      </c>
    </row>
    <row r="80" spans="1:14" ht="71.25" x14ac:dyDescent="0.65">
      <c r="A80" s="283">
        <v>79</v>
      </c>
      <c r="B80" s="284" t="str">
        <f>VLOOKUP(A80,Estimate!A:C,3,FALSE)</f>
        <v>Signage complete in place including supply and installation. All work to be in accordance with the requirements of AS 1742 Manual of Uniform Traffic Control Devices(Provisional Sum)</v>
      </c>
      <c r="C80" s="284">
        <f>IFERROR(VLOOKUP(A80,Estimate!A:L,12,FALSE),0)</f>
        <v>1</v>
      </c>
      <c r="D80" s="285">
        <v>78203</v>
      </c>
      <c r="E80" s="285" t="s">
        <v>1781</v>
      </c>
      <c r="F80" s="279">
        <f>IFERROR(VLOOKUP(A80,Estimate!A:Q,17,FALSE),0)</f>
        <v>1682.1</v>
      </c>
      <c r="G80" s="205">
        <f>IFERROR(VLOOKUP($A80,'Budget &amp; Revenue'!$A:$AA,13,FALSE)," ")</f>
        <v>0</v>
      </c>
      <c r="H80" s="205">
        <f>IFERROR(VLOOKUP($A80,'Budget &amp; Revenue'!$A:$AA,15,FALSE)," ")</f>
        <v>0</v>
      </c>
      <c r="I80" s="205">
        <f>IFERROR(VLOOKUP($A80,'Budget &amp; Revenue'!$A:$AA,17,FALSE)," ")</f>
        <v>0</v>
      </c>
      <c r="J80" s="205">
        <f>IFERROR(VLOOKUP($A80,'Budget &amp; Revenue'!$A:$AA,19,FALSE)," ")</f>
        <v>0</v>
      </c>
      <c r="K80" s="205">
        <f>IFERROR(VLOOKUP($A80,'Budget &amp; Revenue'!$A:$AA,21,FALSE)," ")</f>
        <v>0.5</v>
      </c>
      <c r="L80" s="205">
        <f>IFERROR(VLOOKUP($A80,'Budget &amp; Revenue'!$A:$AA,23,FALSE)," ")</f>
        <v>1</v>
      </c>
      <c r="M80" s="205">
        <f>IFERROR(VLOOKUP($A80,'Budget &amp; Revenue'!$A:$AA,25,FALSE)," ")</f>
        <v>1</v>
      </c>
      <c r="N80" s="205">
        <f>IFERROR(VLOOKUP($A80,'Budget &amp; Revenue'!$A:$AA,27,FALSE)," ")</f>
        <v>1</v>
      </c>
    </row>
    <row r="81" spans="1:14" x14ac:dyDescent="0.65">
      <c r="A81" s="283">
        <v>80</v>
      </c>
      <c r="B81" s="284" t="str">
        <f>VLOOKUP(A81,Estimate!A:C,3,FALSE)</f>
        <v>STORMWATER DRAINAGE</v>
      </c>
      <c r="C81" s="284">
        <f>IFERROR(VLOOKUP(A81,Estimate!A:L,12,FALSE),0)</f>
        <v>0</v>
      </c>
      <c r="D81" s="285"/>
      <c r="E81" s="285"/>
      <c r="F81" s="279">
        <f>IFERROR(VLOOKUP(A81,Estimate!A:Q,17,FALSE),0)</f>
        <v>0</v>
      </c>
      <c r="G81" s="205" t="str">
        <f>IFERROR(VLOOKUP($A81,'Budget &amp; Revenue'!$A:$AA,13,FALSE)," ")</f>
        <v xml:space="preserve"> </v>
      </c>
      <c r="H81" s="205" t="str">
        <f>IFERROR(VLOOKUP($A81,'Budget &amp; Revenue'!$A:$AA,15,FALSE)," ")</f>
        <v xml:space="preserve"> </v>
      </c>
      <c r="I81" s="205" t="str">
        <f>IFERROR(VLOOKUP($A81,'Budget &amp; Revenue'!$A:$AA,17,FALSE)," ")</f>
        <v xml:space="preserve"> </v>
      </c>
      <c r="J81" s="205" t="str">
        <f>IFERROR(VLOOKUP($A81,'Budget &amp; Revenue'!$A:$AA,19,FALSE)," ")</f>
        <v xml:space="preserve"> </v>
      </c>
      <c r="K81" s="205" t="str">
        <f>IFERROR(VLOOKUP($A81,'Budget &amp; Revenue'!$A:$AA,21,FALSE)," ")</f>
        <v xml:space="preserve"> </v>
      </c>
      <c r="L81" s="205" t="str">
        <f>IFERROR(VLOOKUP($A81,'Budget &amp; Revenue'!$A:$AA,23,FALSE)," ")</f>
        <v xml:space="preserve"> </v>
      </c>
      <c r="M81" s="205" t="str">
        <f>IFERROR(VLOOKUP($A81,'Budget &amp; Revenue'!$A:$AA,25,FALSE)," ")</f>
        <v xml:space="preserve"> </v>
      </c>
      <c r="N81" s="205" t="str">
        <f>IFERROR(VLOOKUP($A81,'Budget &amp; Revenue'!$A:$AA,27,FALSE)," ")</f>
        <v xml:space="preserve"> </v>
      </c>
    </row>
    <row r="82" spans="1:14" x14ac:dyDescent="0.65">
      <c r="A82" s="283">
        <v>81</v>
      </c>
      <c r="B82" s="284" t="str">
        <f>VLOOKUP(A82,Estimate!A:C,3,FALSE)</f>
        <v>Pipework</v>
      </c>
      <c r="C82" s="284">
        <f>IFERROR(VLOOKUP(A82,Estimate!A:L,12,FALSE),0)</f>
        <v>0</v>
      </c>
      <c r="D82" s="285"/>
      <c r="E82" s="285"/>
      <c r="F82" s="279">
        <f>IFERROR(VLOOKUP(A82,Estimate!A:Q,17,FALSE),0)</f>
        <v>0</v>
      </c>
      <c r="G82" s="205" t="str">
        <f>IFERROR(VLOOKUP($A82,'Budget &amp; Revenue'!$A:$AA,13,FALSE)," ")</f>
        <v xml:space="preserve"> </v>
      </c>
      <c r="H82" s="205" t="str">
        <f>IFERROR(VLOOKUP($A82,'Budget &amp; Revenue'!$A:$AA,15,FALSE)," ")</f>
        <v xml:space="preserve"> </v>
      </c>
      <c r="I82" s="205" t="str">
        <f>IFERROR(VLOOKUP($A82,'Budget &amp; Revenue'!$A:$AA,17,FALSE)," ")</f>
        <v xml:space="preserve"> </v>
      </c>
      <c r="J82" s="205" t="str">
        <f>IFERROR(VLOOKUP($A82,'Budget &amp; Revenue'!$A:$AA,19,FALSE)," ")</f>
        <v xml:space="preserve"> </v>
      </c>
      <c r="K82" s="205" t="str">
        <f>IFERROR(VLOOKUP($A82,'Budget &amp; Revenue'!$A:$AA,21,FALSE)," ")</f>
        <v xml:space="preserve"> </v>
      </c>
      <c r="L82" s="205" t="str">
        <f>IFERROR(VLOOKUP($A82,'Budget &amp; Revenue'!$A:$AA,23,FALSE)," ")</f>
        <v xml:space="preserve"> </v>
      </c>
      <c r="M82" s="205" t="str">
        <f>IFERROR(VLOOKUP($A82,'Budget &amp; Revenue'!$A:$AA,25,FALSE)," ")</f>
        <v xml:space="preserve"> </v>
      </c>
      <c r="N82" s="205" t="str">
        <f>IFERROR(VLOOKUP($A82,'Budget &amp; Revenue'!$A:$AA,27,FALSE)," ")</f>
        <v xml:space="preserve"> </v>
      </c>
    </row>
    <row r="83" spans="1:14" x14ac:dyDescent="0.65">
      <c r="A83" s="283">
        <v>82</v>
      </c>
      <c r="B83" s="284" t="str">
        <f>VLOOKUP(A83,Estimate!A:C,3,FALSE)</f>
        <v>375mm dia Class 2 RRJ</v>
      </c>
      <c r="C83" s="284">
        <f>IFERROR(VLOOKUP(A83,Estimate!A:L,12,FALSE),0)</f>
        <v>2</v>
      </c>
      <c r="D83" s="285">
        <v>38</v>
      </c>
      <c r="E83" s="285">
        <v>83</v>
      </c>
      <c r="F83" s="279">
        <f>IFERROR(VLOOKUP(A83,Estimate!A:Q,17,FALSE),0)</f>
        <v>10207.420064196789</v>
      </c>
      <c r="G83" s="205">
        <f>IFERROR(VLOOKUP($A83,'Budget &amp; Revenue'!$A:$AA,13,FALSE)," ")</f>
        <v>0</v>
      </c>
      <c r="H83" s="205">
        <f>IFERROR(VLOOKUP($A83,'Budget &amp; Revenue'!$A:$AA,15,FALSE)," ")</f>
        <v>0.58973429951690826</v>
      </c>
      <c r="I83" s="205">
        <f>IFERROR(VLOOKUP($A83,'Budget &amp; Revenue'!$A:$AA,17,FALSE)," ")</f>
        <v>0.80591787439613538</v>
      </c>
      <c r="J83" s="205">
        <f>IFERROR(VLOOKUP($A83,'Budget &amp; Revenue'!$A:$AA,19,FALSE)," ")</f>
        <v>0.80591787439613538</v>
      </c>
      <c r="K83" s="205">
        <f>IFERROR(VLOOKUP($A83,'Budget &amp; Revenue'!$A:$AA,21,FALSE)," ")</f>
        <v>1</v>
      </c>
      <c r="L83" s="205">
        <f>IFERROR(VLOOKUP($A83,'Budget &amp; Revenue'!$A:$AA,23,FALSE)," ")</f>
        <v>1</v>
      </c>
      <c r="M83" s="205">
        <f>IFERROR(VLOOKUP($A83,'Budget &amp; Revenue'!$A:$AA,25,FALSE)," ")</f>
        <v>1</v>
      </c>
      <c r="N83" s="205">
        <f>IFERROR(VLOOKUP($A83,'Budget &amp; Revenue'!$A:$AA,27,FALSE)," ")</f>
        <v>1</v>
      </c>
    </row>
    <row r="84" spans="1:14" x14ac:dyDescent="0.65">
      <c r="A84" s="283">
        <v>83</v>
      </c>
      <c r="B84" s="284" t="str">
        <f>VLOOKUP(A84,Estimate!A:C,3,FALSE)</f>
        <v>375mm dia Class 3 RRJ</v>
      </c>
      <c r="C84" s="284">
        <f>IFERROR(VLOOKUP(A84,Estimate!A:L,12,FALSE),0)</f>
        <v>1</v>
      </c>
      <c r="D84" s="285">
        <v>82</v>
      </c>
      <c r="E84" s="285" t="s">
        <v>1004</v>
      </c>
      <c r="F84" s="279">
        <f>IFERROR(VLOOKUP(A84,Estimate!A:Q,17,FALSE),0)</f>
        <v>6395.1273406329674</v>
      </c>
      <c r="G84" s="205">
        <f>IFERROR(VLOOKUP($A84,'Budget &amp; Revenue'!$A:$AA,13,FALSE)," ")</f>
        <v>0</v>
      </c>
      <c r="H84" s="205">
        <f>IFERROR(VLOOKUP($A84,'Budget &amp; Revenue'!$A:$AA,15,FALSE)," ")</f>
        <v>0</v>
      </c>
      <c r="I84" s="205">
        <f>IFERROR(VLOOKUP($A84,'Budget &amp; Revenue'!$A:$AA,17,FALSE)," ")</f>
        <v>1</v>
      </c>
      <c r="J84" s="205">
        <f>IFERROR(VLOOKUP($A84,'Budget &amp; Revenue'!$A:$AA,19,FALSE)," ")</f>
        <v>1</v>
      </c>
      <c r="K84" s="205">
        <f>IFERROR(VLOOKUP($A84,'Budget &amp; Revenue'!$A:$AA,21,FALSE)," ")</f>
        <v>1</v>
      </c>
      <c r="L84" s="205">
        <f>IFERROR(VLOOKUP($A84,'Budget &amp; Revenue'!$A:$AA,23,FALSE)," ")</f>
        <v>1</v>
      </c>
      <c r="M84" s="205">
        <f>IFERROR(VLOOKUP($A84,'Budget &amp; Revenue'!$A:$AA,25,FALSE)," ")</f>
        <v>1</v>
      </c>
      <c r="N84" s="205">
        <f>IFERROR(VLOOKUP($A84,'Budget &amp; Revenue'!$A:$AA,27,FALSE)," ")</f>
        <v>1</v>
      </c>
    </row>
    <row r="85" spans="1:14" x14ac:dyDescent="0.65">
      <c r="A85" s="283">
        <v>84</v>
      </c>
      <c r="B85" s="284" t="str">
        <f>VLOOKUP(A85,Estimate!A:C,3,FALSE)</f>
        <v>450mm dia Class 2 RRJ</v>
      </c>
      <c r="C85" s="284">
        <f>IFERROR(VLOOKUP(A85,Estimate!A:L,12,FALSE),0)</f>
        <v>1</v>
      </c>
      <c r="D85" s="285" t="s">
        <v>1005</v>
      </c>
      <c r="E85" s="285" t="s">
        <v>1006</v>
      </c>
      <c r="F85" s="279">
        <f>IFERROR(VLOOKUP(A85,Estimate!A:Q,17,FALSE),0)</f>
        <v>2889.823610019499</v>
      </c>
      <c r="G85" s="205">
        <f>IFERROR(VLOOKUP($A85,'Budget &amp; Revenue'!$A:$AA,13,FALSE)," ")</f>
        <v>0</v>
      </c>
      <c r="H85" s="205">
        <f>IFERROR(VLOOKUP($A85,'Budget &amp; Revenue'!$A:$AA,15,FALSE)," ")</f>
        <v>0.97745098039215694</v>
      </c>
      <c r="I85" s="205">
        <f>IFERROR(VLOOKUP($A85,'Budget &amp; Revenue'!$A:$AA,17,FALSE)," ")</f>
        <v>1</v>
      </c>
      <c r="J85" s="205">
        <f>IFERROR(VLOOKUP($A85,'Budget &amp; Revenue'!$A:$AA,19,FALSE)," ")</f>
        <v>1</v>
      </c>
      <c r="K85" s="205">
        <f>IFERROR(VLOOKUP($A85,'Budget &amp; Revenue'!$A:$AA,21,FALSE)," ")</f>
        <v>1</v>
      </c>
      <c r="L85" s="205">
        <f>IFERROR(VLOOKUP($A85,'Budget &amp; Revenue'!$A:$AA,23,FALSE)," ")</f>
        <v>1</v>
      </c>
      <c r="M85" s="205">
        <f>IFERROR(VLOOKUP($A85,'Budget &amp; Revenue'!$A:$AA,25,FALSE)," ")</f>
        <v>1</v>
      </c>
      <c r="N85" s="205">
        <f>IFERROR(VLOOKUP($A85,'Budget &amp; Revenue'!$A:$AA,27,FALSE)," ")</f>
        <v>1</v>
      </c>
    </row>
    <row r="86" spans="1:14" x14ac:dyDescent="0.65">
      <c r="A86" s="283">
        <v>85</v>
      </c>
      <c r="B86" s="284" t="str">
        <f>VLOOKUP(A86,Estimate!A:C,3,FALSE)</f>
        <v>450mm dia Class 3 RRJ</v>
      </c>
      <c r="C86" s="284">
        <f>IFERROR(VLOOKUP(A86,Estimate!A:L,12,FALSE),0)</f>
        <v>1</v>
      </c>
      <c r="D86" s="285" t="s">
        <v>1007</v>
      </c>
      <c r="E86" s="285" t="s">
        <v>1782</v>
      </c>
      <c r="F86" s="279">
        <f>IFERROR(VLOOKUP(A86,Estimate!A:Q,17,FALSE),0)</f>
        <v>3883.4212341382936</v>
      </c>
      <c r="G86" s="205">
        <f>IFERROR(VLOOKUP($A86,'Budget &amp; Revenue'!$A:$AA,13,FALSE)," ")</f>
        <v>0</v>
      </c>
      <c r="H86" s="205">
        <f>IFERROR(VLOOKUP($A86,'Budget &amp; Revenue'!$A:$AA,15,FALSE)," ")</f>
        <v>0</v>
      </c>
      <c r="I86" s="205">
        <f>IFERROR(VLOOKUP($A86,'Budget &amp; Revenue'!$A:$AA,17,FALSE)," ")</f>
        <v>0.67592592592592582</v>
      </c>
      <c r="J86" s="205">
        <f>IFERROR(VLOOKUP($A86,'Budget &amp; Revenue'!$A:$AA,19,FALSE)," ")</f>
        <v>0.67592592592592582</v>
      </c>
      <c r="K86" s="205">
        <f>IFERROR(VLOOKUP($A86,'Budget &amp; Revenue'!$A:$AA,21,FALSE)," ")</f>
        <v>1</v>
      </c>
      <c r="L86" s="205">
        <f>IFERROR(VLOOKUP($A86,'Budget &amp; Revenue'!$A:$AA,23,FALSE)," ")</f>
        <v>1</v>
      </c>
      <c r="M86" s="205">
        <f>IFERROR(VLOOKUP($A86,'Budget &amp; Revenue'!$A:$AA,25,FALSE)," ")</f>
        <v>1</v>
      </c>
      <c r="N86" s="205">
        <f>IFERROR(VLOOKUP($A86,'Budget &amp; Revenue'!$A:$AA,27,FALSE)," ")</f>
        <v>1</v>
      </c>
    </row>
    <row r="87" spans="1:14" x14ac:dyDescent="0.65">
      <c r="A87" s="283">
        <v>86</v>
      </c>
      <c r="B87" s="284" t="str">
        <f>VLOOKUP(A87,Estimate!A:C,3,FALSE)</f>
        <v>Drainage Structures</v>
      </c>
      <c r="C87" s="284">
        <f>IFERROR(VLOOKUP(A87,Estimate!A:L,12,FALSE),0)</f>
        <v>0</v>
      </c>
      <c r="D87" s="285"/>
      <c r="E87" s="285"/>
      <c r="F87" s="279">
        <f>IFERROR(VLOOKUP(A87,Estimate!A:Q,17,FALSE),0)</f>
        <v>0</v>
      </c>
      <c r="G87" s="205" t="str">
        <f>IFERROR(VLOOKUP($A87,'Budget &amp; Revenue'!$A:$AA,13,FALSE)," ")</f>
        <v xml:space="preserve"> </v>
      </c>
      <c r="H87" s="205" t="str">
        <f>IFERROR(VLOOKUP($A87,'Budget &amp; Revenue'!$A:$AA,15,FALSE)," ")</f>
        <v xml:space="preserve"> </v>
      </c>
      <c r="I87" s="205" t="str">
        <f>IFERROR(VLOOKUP($A87,'Budget &amp; Revenue'!$A:$AA,17,FALSE)," ")</f>
        <v xml:space="preserve"> </v>
      </c>
      <c r="J87" s="205" t="str">
        <f>IFERROR(VLOOKUP($A87,'Budget &amp; Revenue'!$A:$AA,19,FALSE)," ")</f>
        <v xml:space="preserve"> </v>
      </c>
      <c r="K87" s="205" t="str">
        <f>IFERROR(VLOOKUP($A87,'Budget &amp; Revenue'!$A:$AA,21,FALSE)," ")</f>
        <v xml:space="preserve"> </v>
      </c>
      <c r="L87" s="205" t="str">
        <f>IFERROR(VLOOKUP($A87,'Budget &amp; Revenue'!$A:$AA,23,FALSE)," ")</f>
        <v xml:space="preserve"> </v>
      </c>
      <c r="M87" s="205" t="str">
        <f>IFERROR(VLOOKUP($A87,'Budget &amp; Revenue'!$A:$AA,25,FALSE)," ")</f>
        <v xml:space="preserve"> </v>
      </c>
      <c r="N87" s="205" t="str">
        <f>IFERROR(VLOOKUP($A87,'Budget &amp; Revenue'!$A:$AA,27,FALSE)," ")</f>
        <v xml:space="preserve"> </v>
      </c>
    </row>
    <row r="88" spans="1:14" x14ac:dyDescent="0.65">
      <c r="A88" s="283">
        <v>87</v>
      </c>
      <c r="B88" s="284" t="str">
        <f>VLOOKUP(A88,Estimate!A:C,3,FALSE)</f>
        <v>Manholes as per IPWEA STD Drawings:</v>
      </c>
      <c r="C88" s="284">
        <f>IFERROR(VLOOKUP(A88,Estimate!A:L,12,FALSE),0)</f>
        <v>0</v>
      </c>
      <c r="D88" s="285"/>
      <c r="E88" s="285"/>
      <c r="F88" s="279">
        <f>IFERROR(VLOOKUP(A88,Estimate!A:Q,17,FALSE),0)</f>
        <v>0</v>
      </c>
      <c r="G88" s="205" t="str">
        <f>IFERROR(VLOOKUP($A88,'Budget &amp; Revenue'!$A:$AA,13,FALSE)," ")</f>
        <v xml:space="preserve"> </v>
      </c>
      <c r="H88" s="205" t="str">
        <f>IFERROR(VLOOKUP($A88,'Budget &amp; Revenue'!$A:$AA,15,FALSE)," ")</f>
        <v xml:space="preserve"> </v>
      </c>
      <c r="I88" s="205" t="str">
        <f>IFERROR(VLOOKUP($A88,'Budget &amp; Revenue'!$A:$AA,17,FALSE)," ")</f>
        <v xml:space="preserve"> </v>
      </c>
      <c r="J88" s="205" t="str">
        <f>IFERROR(VLOOKUP($A88,'Budget &amp; Revenue'!$A:$AA,19,FALSE)," ")</f>
        <v xml:space="preserve"> </v>
      </c>
      <c r="K88" s="205" t="str">
        <f>IFERROR(VLOOKUP($A88,'Budget &amp; Revenue'!$A:$AA,21,FALSE)," ")</f>
        <v xml:space="preserve"> </v>
      </c>
      <c r="L88" s="205" t="str">
        <f>IFERROR(VLOOKUP($A88,'Budget &amp; Revenue'!$A:$AA,23,FALSE)," ")</f>
        <v xml:space="preserve"> </v>
      </c>
      <c r="M88" s="205" t="str">
        <f>IFERROR(VLOOKUP($A88,'Budget &amp; Revenue'!$A:$AA,25,FALSE)," ")</f>
        <v xml:space="preserve"> </v>
      </c>
      <c r="N88" s="205" t="str">
        <f>IFERROR(VLOOKUP($A88,'Budget &amp; Revenue'!$A:$AA,27,FALSE)," ")</f>
        <v xml:space="preserve"> </v>
      </c>
    </row>
    <row r="89" spans="1:14" x14ac:dyDescent="0.65">
      <c r="A89" s="283">
        <v>88</v>
      </c>
      <c r="B89" s="284" t="str">
        <f>VLOOKUP(A89,Estimate!A:C,3,FALSE)</f>
        <v>1050mm dia Access Chamber</v>
      </c>
      <c r="C89" s="284">
        <f>IFERROR(VLOOKUP(A89,Estimate!A:L,12,FALSE),0)</f>
        <v>19</v>
      </c>
      <c r="D89" s="285">
        <v>83</v>
      </c>
      <c r="E89" s="285" t="s">
        <v>1007</v>
      </c>
      <c r="F89" s="279">
        <f>IFERROR(VLOOKUP(A89,Estimate!A:Q,17,FALSE),0)</f>
        <v>11816.8</v>
      </c>
      <c r="G89" s="205">
        <f>IFERROR(VLOOKUP($A89,'Budget &amp; Revenue'!$A:$AA,13,FALSE)," ")</f>
        <v>0</v>
      </c>
      <c r="H89" s="205">
        <f>IFERROR(VLOOKUP($A89,'Budget &amp; Revenue'!$A:$AA,15,FALSE)," ")</f>
        <v>0</v>
      </c>
      <c r="I89" s="205">
        <f>IFERROR(VLOOKUP($A89,'Budget &amp; Revenue'!$A:$AA,17,FALSE)," ")</f>
        <v>0</v>
      </c>
      <c r="J89" s="205">
        <f>IFERROR(VLOOKUP($A89,'Budget &amp; Revenue'!$A:$AA,19,FALSE)," ")</f>
        <v>0.25</v>
      </c>
      <c r="K89" s="205">
        <f>IFERROR(VLOOKUP($A89,'Budget &amp; Revenue'!$A:$AA,21,FALSE)," ")</f>
        <v>0.25</v>
      </c>
      <c r="L89" s="205">
        <f>IFERROR(VLOOKUP($A89,'Budget &amp; Revenue'!$A:$AA,23,FALSE)," ")</f>
        <v>0.25</v>
      </c>
      <c r="M89" s="205">
        <f>IFERROR(VLOOKUP($A89,'Budget &amp; Revenue'!$A:$AA,25,FALSE)," ")</f>
        <v>0.25</v>
      </c>
      <c r="N89" s="205">
        <f>IFERROR(VLOOKUP($A89,'Budget &amp; Revenue'!$A:$AA,27,FALSE)," ")</f>
        <v>0.25</v>
      </c>
    </row>
    <row r="90" spans="1:14" x14ac:dyDescent="0.65">
      <c r="A90" s="283">
        <v>89</v>
      </c>
      <c r="B90" s="284" t="str">
        <f>VLOOKUP(A90,Estimate!A:C,3,FALSE)</f>
        <v>900x900 mm Access Chamber</v>
      </c>
      <c r="C90" s="284">
        <f>IFERROR(VLOOKUP(A90,Estimate!A:L,12,FALSE),0)</f>
        <v>18</v>
      </c>
      <c r="D90" s="285" t="s">
        <v>1783</v>
      </c>
      <c r="E90" s="285" t="s">
        <v>1784</v>
      </c>
      <c r="F90" s="279">
        <f>IFERROR(VLOOKUP(A90,Estimate!A:Q,17,FALSE),0)</f>
        <v>9774.6840000000011</v>
      </c>
      <c r="G90" s="205">
        <f>IFERROR(VLOOKUP($A90,'Budget &amp; Revenue'!$A:$AA,13,FALSE)," ")</f>
        <v>0</v>
      </c>
      <c r="H90" s="205">
        <f>IFERROR(VLOOKUP($A90,'Budget &amp; Revenue'!$A:$AA,15,FALSE)," ")</f>
        <v>0</v>
      </c>
      <c r="I90" s="205">
        <f>IFERROR(VLOOKUP($A90,'Budget &amp; Revenue'!$A:$AA,17,FALSE)," ")</f>
        <v>0.77777777777777779</v>
      </c>
      <c r="J90" s="205">
        <f>IFERROR(VLOOKUP($A90,'Budget &amp; Revenue'!$A:$AA,19,FALSE)," ")</f>
        <v>1</v>
      </c>
      <c r="K90" s="205">
        <f>IFERROR(VLOOKUP($A90,'Budget &amp; Revenue'!$A:$AA,21,FALSE)," ")</f>
        <v>1</v>
      </c>
      <c r="L90" s="205">
        <f>IFERROR(VLOOKUP($A90,'Budget &amp; Revenue'!$A:$AA,23,FALSE)," ")</f>
        <v>1</v>
      </c>
      <c r="M90" s="205">
        <f>IFERROR(VLOOKUP($A90,'Budget &amp; Revenue'!$A:$AA,25,FALSE)," ")</f>
        <v>1</v>
      </c>
      <c r="N90" s="205">
        <f>IFERROR(VLOOKUP($A90,'Budget &amp; Revenue'!$A:$AA,27,FALSE)," ")</f>
        <v>1</v>
      </c>
    </row>
    <row r="91" spans="1:14" x14ac:dyDescent="0.65">
      <c r="A91" s="283">
        <v>90</v>
      </c>
      <c r="B91" s="284" t="str">
        <f>VLOOKUP(A91,Estimate!A:C,3,FALSE)</f>
        <v>4/10 - 900x900 Manhole</v>
      </c>
      <c r="C91" s="284">
        <f>IFERROR(VLOOKUP(A91,Estimate!A:L,12,FALSE),0)</f>
        <v>5</v>
      </c>
      <c r="D91" s="285" t="s">
        <v>1785</v>
      </c>
      <c r="E91" s="285">
        <v>93</v>
      </c>
      <c r="F91" s="279">
        <f>IFERROR(VLOOKUP(A91,Estimate!A:Q,17,FALSE),0)</f>
        <v>2920.76</v>
      </c>
      <c r="G91" s="205">
        <f>IFERROR(VLOOKUP($A91,'Budget &amp; Revenue'!$A:$AA,13,FALSE)," ")</f>
        <v>0</v>
      </c>
      <c r="H91" s="205">
        <f>IFERROR(VLOOKUP($A91,'Budget &amp; Revenue'!$A:$AA,15,FALSE)," ")</f>
        <v>0</v>
      </c>
      <c r="I91" s="205">
        <f>IFERROR(VLOOKUP($A91,'Budget &amp; Revenue'!$A:$AA,17,FALSE)," ")</f>
        <v>0</v>
      </c>
      <c r="J91" s="205">
        <f>IFERROR(VLOOKUP($A91,'Budget &amp; Revenue'!$A:$AA,19,FALSE)," ")</f>
        <v>1</v>
      </c>
      <c r="K91" s="205">
        <f>IFERROR(VLOOKUP($A91,'Budget &amp; Revenue'!$A:$AA,21,FALSE)," ")</f>
        <v>1</v>
      </c>
      <c r="L91" s="205">
        <f>IFERROR(VLOOKUP($A91,'Budget &amp; Revenue'!$A:$AA,23,FALSE)," ")</f>
        <v>1</v>
      </c>
      <c r="M91" s="205">
        <f>IFERROR(VLOOKUP($A91,'Budget &amp; Revenue'!$A:$AA,25,FALSE)," ")</f>
        <v>1</v>
      </c>
      <c r="N91" s="205">
        <f>IFERROR(VLOOKUP($A91,'Budget &amp; Revenue'!$A:$AA,27,FALSE)," ")</f>
        <v>1</v>
      </c>
    </row>
    <row r="92" spans="1:14" x14ac:dyDescent="0.65">
      <c r="A92" s="283">
        <v>91</v>
      </c>
      <c r="B92" s="284" t="str">
        <f>VLOOKUP(A92,Estimate!A:C,3,FALSE)</f>
        <v>Kerb Inlets</v>
      </c>
      <c r="C92" s="284">
        <f>IFERROR(VLOOKUP(A92,Estimate!A:L,12,FALSE),0)</f>
        <v>0</v>
      </c>
      <c r="D92" s="285"/>
      <c r="E92" s="285"/>
      <c r="F92" s="279">
        <f>IFERROR(VLOOKUP(A92,Estimate!A:Q,17,FALSE),0)</f>
        <v>0</v>
      </c>
      <c r="G92" s="205" t="str">
        <f>IFERROR(VLOOKUP($A92,'Budget &amp; Revenue'!$A:$AA,13,FALSE)," ")</f>
        <v xml:space="preserve"> </v>
      </c>
      <c r="H92" s="205" t="str">
        <f>IFERROR(VLOOKUP($A92,'Budget &amp; Revenue'!$A:$AA,15,FALSE)," ")</f>
        <v xml:space="preserve"> </v>
      </c>
      <c r="I92" s="205" t="str">
        <f>IFERROR(VLOOKUP($A92,'Budget &amp; Revenue'!$A:$AA,17,FALSE)," ")</f>
        <v xml:space="preserve"> </v>
      </c>
      <c r="J92" s="205" t="str">
        <f>IFERROR(VLOOKUP($A92,'Budget &amp; Revenue'!$A:$AA,19,FALSE)," ")</f>
        <v xml:space="preserve"> </v>
      </c>
      <c r="K92" s="205" t="str">
        <f>IFERROR(VLOOKUP($A92,'Budget &amp; Revenue'!$A:$AA,21,FALSE)," ")</f>
        <v xml:space="preserve"> </v>
      </c>
      <c r="L92" s="205" t="str">
        <f>IFERROR(VLOOKUP($A92,'Budget &amp; Revenue'!$A:$AA,23,FALSE)," ")</f>
        <v xml:space="preserve"> </v>
      </c>
      <c r="M92" s="205" t="str">
        <f>IFERROR(VLOOKUP($A92,'Budget &amp; Revenue'!$A:$AA,25,FALSE)," ")</f>
        <v xml:space="preserve"> </v>
      </c>
      <c r="N92" s="205" t="str">
        <f>IFERROR(VLOOKUP($A92,'Budget &amp; Revenue'!$A:$AA,27,FALSE)," ")</f>
        <v xml:space="preserve"> </v>
      </c>
    </row>
    <row r="93" spans="1:14" x14ac:dyDescent="0.65">
      <c r="A93" s="283">
        <v>92</v>
      </c>
      <c r="B93" s="284" t="str">
        <f>VLOOKUP(A93,Estimate!A:C,3,FALSE)</f>
        <v>On Grade (L)</v>
      </c>
      <c r="C93" s="284">
        <f>IFERROR(VLOOKUP(A93,Estimate!A:L,12,FALSE),0)</f>
        <v>0</v>
      </c>
      <c r="D93" s="285"/>
      <c r="E93" s="285"/>
      <c r="F93" s="279">
        <f>IFERROR(VLOOKUP(A93,Estimate!A:Q,17,FALSE),0)</f>
        <v>0</v>
      </c>
      <c r="G93" s="205" t="str">
        <f>IFERROR(VLOOKUP($A93,'Budget &amp; Revenue'!$A:$AA,13,FALSE)," ")</f>
        <v xml:space="preserve"> </v>
      </c>
      <c r="H93" s="205" t="str">
        <f>IFERROR(VLOOKUP($A93,'Budget &amp; Revenue'!$A:$AA,15,FALSE)," ")</f>
        <v xml:space="preserve"> </v>
      </c>
      <c r="I93" s="205" t="str">
        <f>IFERROR(VLOOKUP($A93,'Budget &amp; Revenue'!$A:$AA,17,FALSE)," ")</f>
        <v xml:space="preserve"> </v>
      </c>
      <c r="J93" s="205" t="str">
        <f>IFERROR(VLOOKUP($A93,'Budget &amp; Revenue'!$A:$AA,19,FALSE)," ")</f>
        <v xml:space="preserve"> </v>
      </c>
      <c r="K93" s="205" t="str">
        <f>IFERROR(VLOOKUP($A93,'Budget &amp; Revenue'!$A:$AA,21,FALSE)," ")</f>
        <v xml:space="preserve"> </v>
      </c>
      <c r="L93" s="205" t="str">
        <f>IFERROR(VLOOKUP($A93,'Budget &amp; Revenue'!$A:$AA,23,FALSE)," ")</f>
        <v xml:space="preserve"> </v>
      </c>
      <c r="M93" s="205" t="str">
        <f>IFERROR(VLOOKUP($A93,'Budget &amp; Revenue'!$A:$AA,25,FALSE)," ")</f>
        <v xml:space="preserve"> </v>
      </c>
      <c r="N93" s="205" t="str">
        <f>IFERROR(VLOOKUP($A93,'Budget &amp; Revenue'!$A:$AA,27,FALSE)," ")</f>
        <v xml:space="preserve"> </v>
      </c>
    </row>
    <row r="94" spans="1:14" x14ac:dyDescent="0.65">
      <c r="A94" s="283">
        <v>93</v>
      </c>
      <c r="B94" s="284" t="str">
        <f>VLOOKUP(A94,Estimate!A:C,3,FALSE)</f>
        <v>2.4m Lintel</v>
      </c>
      <c r="C94" s="284">
        <f>IFERROR(VLOOKUP(A94,Estimate!A:L,12,FALSE),0)</f>
        <v>6</v>
      </c>
      <c r="D94" s="285" t="s">
        <v>1008</v>
      </c>
      <c r="E94" s="285">
        <v>95202</v>
      </c>
      <c r="F94" s="279">
        <f>IFERROR(VLOOKUP(A94,Estimate!A:Q,17,FALSE),0)</f>
        <v>8428.7999999999993</v>
      </c>
      <c r="G94" s="205">
        <f>IFERROR(VLOOKUP($A94,'Budget &amp; Revenue'!$A:$AA,13,FALSE)," ")</f>
        <v>0</v>
      </c>
      <c r="H94" s="205">
        <f>IFERROR(VLOOKUP($A94,'Budget &amp; Revenue'!$A:$AA,15,FALSE)," ")</f>
        <v>0</v>
      </c>
      <c r="I94" s="205">
        <f>IFERROR(VLOOKUP($A94,'Budget &amp; Revenue'!$A:$AA,17,FALSE)," ")</f>
        <v>0</v>
      </c>
      <c r="J94" s="205">
        <f>IFERROR(VLOOKUP($A94,'Budget &amp; Revenue'!$A:$AA,19,FALSE)," ")</f>
        <v>1</v>
      </c>
      <c r="K94" s="205">
        <f>IFERROR(VLOOKUP($A94,'Budget &amp; Revenue'!$A:$AA,21,FALSE)," ")</f>
        <v>1</v>
      </c>
      <c r="L94" s="205">
        <f>IFERROR(VLOOKUP($A94,'Budget &amp; Revenue'!$A:$AA,23,FALSE)," ")</f>
        <v>1</v>
      </c>
      <c r="M94" s="205">
        <f>IFERROR(VLOOKUP($A94,'Budget &amp; Revenue'!$A:$AA,25,FALSE)," ")</f>
        <v>1</v>
      </c>
      <c r="N94" s="205">
        <f>IFERROR(VLOOKUP($A94,'Budget &amp; Revenue'!$A:$AA,27,FALSE)," ")</f>
        <v>1</v>
      </c>
    </row>
    <row r="95" spans="1:14" x14ac:dyDescent="0.65">
      <c r="A95" s="283">
        <v>94</v>
      </c>
      <c r="B95" s="284" t="str">
        <f>VLOOKUP(A95,Estimate!A:C,3,FALSE)</f>
        <v>On Grade(RH)</v>
      </c>
      <c r="C95" s="284">
        <f>IFERROR(VLOOKUP(A95,Estimate!A:L,12,FALSE),0)</f>
        <v>0</v>
      </c>
      <c r="D95" s="285"/>
      <c r="E95" s="285"/>
      <c r="F95" s="279">
        <f>IFERROR(VLOOKUP(A95,Estimate!A:Q,17,FALSE),0)</f>
        <v>0</v>
      </c>
      <c r="G95" s="205" t="str">
        <f>IFERROR(VLOOKUP($A95,'Budget &amp; Revenue'!$A:$AA,13,FALSE)," ")</f>
        <v xml:space="preserve"> </v>
      </c>
      <c r="H95" s="205" t="str">
        <f>IFERROR(VLOOKUP($A95,'Budget &amp; Revenue'!$A:$AA,15,FALSE)," ")</f>
        <v xml:space="preserve"> </v>
      </c>
      <c r="I95" s="205" t="str">
        <f>IFERROR(VLOOKUP($A95,'Budget &amp; Revenue'!$A:$AA,17,FALSE)," ")</f>
        <v xml:space="preserve"> </v>
      </c>
      <c r="J95" s="205" t="str">
        <f>IFERROR(VLOOKUP($A95,'Budget &amp; Revenue'!$A:$AA,19,FALSE)," ")</f>
        <v xml:space="preserve"> </v>
      </c>
      <c r="K95" s="205" t="str">
        <f>IFERROR(VLOOKUP($A95,'Budget &amp; Revenue'!$A:$AA,21,FALSE)," ")</f>
        <v xml:space="preserve"> </v>
      </c>
      <c r="L95" s="205" t="str">
        <f>IFERROR(VLOOKUP($A95,'Budget &amp; Revenue'!$A:$AA,23,FALSE)," ")</f>
        <v xml:space="preserve"> </v>
      </c>
      <c r="M95" s="205" t="str">
        <f>IFERROR(VLOOKUP($A95,'Budget &amp; Revenue'!$A:$AA,25,FALSE)," ")</f>
        <v xml:space="preserve"> </v>
      </c>
      <c r="N95" s="205" t="str">
        <f>IFERROR(VLOOKUP($A95,'Budget &amp; Revenue'!$A:$AA,27,FALSE)," ")</f>
        <v xml:space="preserve"> </v>
      </c>
    </row>
    <row r="96" spans="1:14" x14ac:dyDescent="0.65">
      <c r="A96" s="283">
        <v>95</v>
      </c>
      <c r="B96" s="284" t="str">
        <f>VLOOKUP(A96,Estimate!A:C,3,FALSE)</f>
        <v>2.4m Lintel</v>
      </c>
      <c r="C96" s="284">
        <f>IFERROR(VLOOKUP(A96,Estimate!A:L,12,FALSE),0)</f>
        <v>7</v>
      </c>
      <c r="D96" s="285">
        <v>93202</v>
      </c>
      <c r="E96" s="285">
        <v>75</v>
      </c>
      <c r="F96" s="279">
        <f>IFERROR(VLOOKUP(A96,Estimate!A:Q,17,FALSE),0)</f>
        <v>10536</v>
      </c>
      <c r="G96" s="205">
        <f>IFERROR(VLOOKUP($A96,'Budget &amp; Revenue'!$A:$AA,13,FALSE)," ")</f>
        <v>0</v>
      </c>
      <c r="H96" s="205">
        <f>IFERROR(VLOOKUP($A96,'Budget &amp; Revenue'!$A:$AA,15,FALSE)," ")</f>
        <v>0</v>
      </c>
      <c r="I96" s="205">
        <f>IFERROR(VLOOKUP($A96,'Budget &amp; Revenue'!$A:$AA,17,FALSE)," ")</f>
        <v>0</v>
      </c>
      <c r="J96" s="205">
        <f>IFERROR(VLOOKUP($A96,'Budget &amp; Revenue'!$A:$AA,19,FALSE)," ")</f>
        <v>0.4</v>
      </c>
      <c r="K96" s="205">
        <f>IFERROR(VLOOKUP($A96,'Budget &amp; Revenue'!$A:$AA,21,FALSE)," ")</f>
        <v>1</v>
      </c>
      <c r="L96" s="205">
        <f>IFERROR(VLOOKUP($A96,'Budget &amp; Revenue'!$A:$AA,23,FALSE)," ")</f>
        <v>1</v>
      </c>
      <c r="M96" s="205">
        <f>IFERROR(VLOOKUP($A96,'Budget &amp; Revenue'!$A:$AA,25,FALSE)," ")</f>
        <v>1</v>
      </c>
      <c r="N96" s="205">
        <f>IFERROR(VLOOKUP($A96,'Budget &amp; Revenue'!$A:$AA,27,FALSE)," ")</f>
        <v>1</v>
      </c>
    </row>
    <row r="97" spans="1:14" x14ac:dyDescent="0.65">
      <c r="A97" s="283">
        <v>96</v>
      </c>
      <c r="B97" s="284" t="str">
        <f>VLOOKUP(A97,Estimate!A:C,3,FALSE)</f>
        <v>Pre-Cast Headwalls</v>
      </c>
      <c r="C97" s="284">
        <f>IFERROR(VLOOKUP(A97,Estimate!A:L,12,FALSE),0)</f>
        <v>0</v>
      </c>
      <c r="D97" s="285"/>
      <c r="E97" s="285"/>
      <c r="F97" s="279">
        <f>IFERROR(VLOOKUP(A97,Estimate!A:Q,17,FALSE),0)</f>
        <v>0</v>
      </c>
      <c r="G97" s="205" t="str">
        <f>IFERROR(VLOOKUP($A97,'Budget &amp; Revenue'!$A:$AA,13,FALSE)," ")</f>
        <v xml:space="preserve"> </v>
      </c>
      <c r="H97" s="205" t="str">
        <f>IFERROR(VLOOKUP($A97,'Budget &amp; Revenue'!$A:$AA,15,FALSE)," ")</f>
        <v xml:space="preserve"> </v>
      </c>
      <c r="I97" s="205" t="str">
        <f>IFERROR(VLOOKUP($A97,'Budget &amp; Revenue'!$A:$AA,17,FALSE)," ")</f>
        <v xml:space="preserve"> </v>
      </c>
      <c r="J97" s="205" t="str">
        <f>IFERROR(VLOOKUP($A97,'Budget &amp; Revenue'!$A:$AA,19,FALSE)," ")</f>
        <v xml:space="preserve"> </v>
      </c>
      <c r="K97" s="205" t="str">
        <f>IFERROR(VLOOKUP($A97,'Budget &amp; Revenue'!$A:$AA,21,FALSE)," ")</f>
        <v xml:space="preserve"> </v>
      </c>
      <c r="L97" s="205" t="str">
        <f>IFERROR(VLOOKUP($A97,'Budget &amp; Revenue'!$A:$AA,23,FALSE)," ")</f>
        <v xml:space="preserve"> </v>
      </c>
      <c r="M97" s="205" t="str">
        <f>IFERROR(VLOOKUP($A97,'Budget &amp; Revenue'!$A:$AA,25,FALSE)," ")</f>
        <v xml:space="preserve"> </v>
      </c>
      <c r="N97" s="205" t="str">
        <f>IFERROR(VLOOKUP($A97,'Budget &amp; Revenue'!$A:$AA,27,FALSE)," ")</f>
        <v xml:space="preserve"> </v>
      </c>
    </row>
    <row r="98" spans="1:14" ht="28.5" x14ac:dyDescent="0.65">
      <c r="A98" s="283">
        <v>97</v>
      </c>
      <c r="B98" s="284" t="str">
        <f>VLOOKUP(A98,Estimate!A:C,3,FALSE)</f>
        <v>Humes Precast Headwall or equivalent for 375mm pipe</v>
      </c>
      <c r="C98" s="284">
        <f>IFERROR(VLOOKUP(A98,Estimate!A:L,12,FALSE),0)</f>
        <v>2</v>
      </c>
      <c r="D98" s="285">
        <v>83</v>
      </c>
      <c r="E98" s="285">
        <v>98</v>
      </c>
      <c r="F98" s="279">
        <f>IFERROR(VLOOKUP(A98,Estimate!A:Q,17,FALSE),0)</f>
        <v>1694</v>
      </c>
      <c r="G98" s="205">
        <f>IFERROR(VLOOKUP($A98,'Budget &amp; Revenue'!$A:$AA,13,FALSE)," ")</f>
        <v>0</v>
      </c>
      <c r="H98" s="205">
        <f>IFERROR(VLOOKUP($A98,'Budget &amp; Revenue'!$A:$AA,15,FALSE)," ")</f>
        <v>0.25</v>
      </c>
      <c r="I98" s="205">
        <f>IFERROR(VLOOKUP($A98,'Budget &amp; Revenue'!$A:$AA,17,FALSE)," ")</f>
        <v>0.25</v>
      </c>
      <c r="J98" s="205">
        <f>IFERROR(VLOOKUP($A98,'Budget &amp; Revenue'!$A:$AA,19,FALSE)," ")</f>
        <v>0.5</v>
      </c>
      <c r="K98" s="205">
        <f>IFERROR(VLOOKUP($A98,'Budget &amp; Revenue'!$A:$AA,21,FALSE)," ")</f>
        <v>0.5</v>
      </c>
      <c r="L98" s="205">
        <f>IFERROR(VLOOKUP($A98,'Budget &amp; Revenue'!$A:$AA,23,FALSE)," ")</f>
        <v>0.5</v>
      </c>
      <c r="M98" s="205">
        <f>IFERROR(VLOOKUP($A98,'Budget &amp; Revenue'!$A:$AA,25,FALSE)," ")</f>
        <v>0.5</v>
      </c>
      <c r="N98" s="205">
        <f>IFERROR(VLOOKUP($A98,'Budget &amp; Revenue'!$A:$AA,27,FALSE)," ")</f>
        <v>0.5</v>
      </c>
    </row>
    <row r="99" spans="1:14" ht="28.5" x14ac:dyDescent="0.65">
      <c r="A99" s="283">
        <v>98</v>
      </c>
      <c r="B99" s="284" t="str">
        <f>VLOOKUP(A99,Estimate!A:C,3,FALSE)</f>
        <v>Humes Precast Headwall or equivalent for 450mm pipe</v>
      </c>
      <c r="C99" s="284">
        <f>IFERROR(VLOOKUP(A99,Estimate!A:L,12,FALSE),0)</f>
        <v>2</v>
      </c>
      <c r="D99" s="285" t="s">
        <v>1009</v>
      </c>
      <c r="E99" s="285" t="s">
        <v>1786</v>
      </c>
      <c r="F99" s="279">
        <f>IFERROR(VLOOKUP(A99,Estimate!A:Q,17,FALSE),0)</f>
        <v>1980</v>
      </c>
      <c r="G99" s="205">
        <f>IFERROR(VLOOKUP($A99,'Budget &amp; Revenue'!$A:$AA,13,FALSE)," ")</f>
        <v>0</v>
      </c>
      <c r="H99" s="205">
        <f>IFERROR(VLOOKUP($A99,'Budget &amp; Revenue'!$A:$AA,15,FALSE)," ")</f>
        <v>0.32500000000000001</v>
      </c>
      <c r="I99" s="205">
        <f>IFERROR(VLOOKUP($A99,'Budget &amp; Revenue'!$A:$AA,17,FALSE)," ")</f>
        <v>0.32500000000000001</v>
      </c>
      <c r="J99" s="205">
        <f>IFERROR(VLOOKUP($A99,'Budget &amp; Revenue'!$A:$AA,19,FALSE)," ")</f>
        <v>1</v>
      </c>
      <c r="K99" s="205">
        <f>IFERROR(VLOOKUP($A99,'Budget &amp; Revenue'!$A:$AA,21,FALSE)," ")</f>
        <v>1</v>
      </c>
      <c r="L99" s="205">
        <f>IFERROR(VLOOKUP($A99,'Budget &amp; Revenue'!$A:$AA,23,FALSE)," ")</f>
        <v>1</v>
      </c>
      <c r="M99" s="205">
        <f>IFERROR(VLOOKUP($A99,'Budget &amp; Revenue'!$A:$AA,25,FALSE)," ")</f>
        <v>1</v>
      </c>
      <c r="N99" s="205">
        <f>IFERROR(VLOOKUP($A99,'Budget &amp; Revenue'!$A:$AA,27,FALSE)," ")</f>
        <v>1</v>
      </c>
    </row>
    <row r="100" spans="1:14" ht="28.5" x14ac:dyDescent="0.65">
      <c r="A100" s="283">
        <v>99</v>
      </c>
      <c r="B100" s="284" t="str">
        <f>VLOOKUP(A100,Estimate!A:C,3,FALSE)</f>
        <v>Rock Protection at Outlet Drains (300 Deep)</v>
      </c>
      <c r="C100" s="284">
        <f>IFERROR(VLOOKUP(A100,Estimate!A:L,12,FALSE),0)</f>
        <v>1</v>
      </c>
      <c r="D100" s="285">
        <v>98</v>
      </c>
      <c r="E100" s="285">
        <v>36</v>
      </c>
      <c r="F100" s="279">
        <f>IFERROR(VLOOKUP(A100,Estimate!A:Q,17,FALSE),0)</f>
        <v>710.6400000000001</v>
      </c>
      <c r="G100" s="205">
        <f>IFERROR(VLOOKUP($A100,'Budget &amp; Revenue'!$A:$AA,13,FALSE)," ")</f>
        <v>0</v>
      </c>
      <c r="H100" s="205">
        <f>IFERROR(VLOOKUP($A100,'Budget &amp; Revenue'!$A:$AA,15,FALSE)," ")</f>
        <v>0</v>
      </c>
      <c r="I100" s="205">
        <f>IFERROR(VLOOKUP($A100,'Budget &amp; Revenue'!$A:$AA,17,FALSE)," ")</f>
        <v>0</v>
      </c>
      <c r="J100" s="205">
        <f>IFERROR(VLOOKUP($A100,'Budget &amp; Revenue'!$A:$AA,19,FALSE)," ")</f>
        <v>0</v>
      </c>
      <c r="K100" s="205">
        <f>IFERROR(VLOOKUP($A100,'Budget &amp; Revenue'!$A:$AA,21,FALSE)," ")</f>
        <v>0</v>
      </c>
      <c r="L100" s="205">
        <f>IFERROR(VLOOKUP($A100,'Budget &amp; Revenue'!$A:$AA,23,FALSE)," ")</f>
        <v>0</v>
      </c>
      <c r="M100" s="205">
        <f>IFERROR(VLOOKUP($A100,'Budget &amp; Revenue'!$A:$AA,25,FALSE)," ")</f>
        <v>1</v>
      </c>
      <c r="N100" s="205">
        <f>IFERROR(VLOOKUP($A100,'Budget &amp; Revenue'!$A:$AA,27,FALSE)," ")</f>
        <v>1</v>
      </c>
    </row>
    <row r="101" spans="1:14" x14ac:dyDescent="0.65">
      <c r="A101" s="283">
        <v>100</v>
      </c>
      <c r="B101" s="284" t="str">
        <f>VLOOKUP(A101,Estimate!A:C,3,FALSE)</f>
        <v>ELECTRICAL AND LIGHTING</v>
      </c>
      <c r="C101" s="284">
        <f>IFERROR(VLOOKUP(A101,Estimate!A:L,12,FALSE),0)</f>
        <v>0</v>
      </c>
      <c r="D101" s="285"/>
      <c r="E101" s="285"/>
      <c r="F101" s="279">
        <f>IFERROR(VLOOKUP(A101,Estimate!A:Q,17,FALSE),0)</f>
        <v>0</v>
      </c>
      <c r="G101" s="205" t="str">
        <f>IFERROR(VLOOKUP($A101,'Budget &amp; Revenue'!$A:$AA,13,FALSE)," ")</f>
        <v xml:space="preserve"> </v>
      </c>
      <c r="H101" s="205" t="str">
        <f>IFERROR(VLOOKUP($A101,'Budget &amp; Revenue'!$A:$AA,15,FALSE)," ")</f>
        <v xml:space="preserve"> </v>
      </c>
      <c r="I101" s="205" t="str">
        <f>IFERROR(VLOOKUP($A101,'Budget &amp; Revenue'!$A:$AA,17,FALSE)," ")</f>
        <v xml:space="preserve"> </v>
      </c>
      <c r="J101" s="205" t="str">
        <f>IFERROR(VLOOKUP($A101,'Budget &amp; Revenue'!$A:$AA,19,FALSE)," ")</f>
        <v xml:space="preserve"> </v>
      </c>
      <c r="K101" s="205" t="str">
        <f>IFERROR(VLOOKUP($A101,'Budget &amp; Revenue'!$A:$AA,21,FALSE)," ")</f>
        <v xml:space="preserve"> </v>
      </c>
      <c r="L101" s="205" t="str">
        <f>IFERROR(VLOOKUP($A101,'Budget &amp; Revenue'!$A:$AA,23,FALSE)," ")</f>
        <v xml:space="preserve"> </v>
      </c>
      <c r="M101" s="205" t="str">
        <f>IFERROR(VLOOKUP($A101,'Budget &amp; Revenue'!$A:$AA,25,FALSE)," ")</f>
        <v xml:space="preserve"> </v>
      </c>
      <c r="N101" s="205" t="str">
        <f>IFERROR(VLOOKUP($A101,'Budget &amp; Revenue'!$A:$AA,27,FALSE)," ")</f>
        <v xml:space="preserve"> </v>
      </c>
    </row>
    <row r="102" spans="1:14" ht="85.5" x14ac:dyDescent="0.65">
      <c r="A102" s="283">
        <v>101</v>
      </c>
      <c r="B102" s="284" t="str">
        <f>VLOOKUP(A102,Estimate!A:C,3,FALSE)</f>
        <v>Trenching for electrical, lighting and communications service Conduits, complete in place, including trenching, backfilling, reinstatment of surface and maintence of trench while open. (trench configuration not specified)</v>
      </c>
      <c r="C102" s="284">
        <f>IFERROR(VLOOKUP(A102,Estimate!A:L,12,FALSE),0)</f>
        <v>7</v>
      </c>
      <c r="D102" s="285">
        <v>38</v>
      </c>
      <c r="E102" s="285" t="s">
        <v>1787</v>
      </c>
      <c r="F102" s="279">
        <f>IFERROR(VLOOKUP(A102,Estimate!A:Q,17,FALSE),0)</f>
        <v>32591.082171956557</v>
      </c>
      <c r="G102" s="205">
        <f>IFERROR(VLOOKUP($A102,'Budget &amp; Revenue'!$A:$AA,13,FALSE)," ")</f>
        <v>0</v>
      </c>
      <c r="H102" s="205">
        <f>IFERROR(VLOOKUP($A102,'Budget &amp; Revenue'!$A:$AA,15,FALSE)," ")</f>
        <v>0.28723404255319152</v>
      </c>
      <c r="I102" s="205">
        <f>IFERROR(VLOOKUP($A102,'Budget &amp; Revenue'!$A:$AA,17,FALSE)," ")</f>
        <v>0.79255319148936165</v>
      </c>
      <c r="J102" s="205">
        <f>IFERROR(VLOOKUP($A102,'Budget &amp; Revenue'!$A:$AA,19,FALSE)," ")</f>
        <v>1</v>
      </c>
      <c r="K102" s="205">
        <f>IFERROR(VLOOKUP($A102,'Budget &amp; Revenue'!$A:$AA,21,FALSE)," ")</f>
        <v>1</v>
      </c>
      <c r="L102" s="205">
        <f>IFERROR(VLOOKUP($A102,'Budget &amp; Revenue'!$A:$AA,23,FALSE)," ")</f>
        <v>1</v>
      </c>
      <c r="M102" s="205">
        <f>IFERROR(VLOOKUP($A102,'Budget &amp; Revenue'!$A:$AA,25,FALSE)," ")</f>
        <v>1</v>
      </c>
      <c r="N102" s="205">
        <f>IFERROR(VLOOKUP($A102,'Budget &amp; Revenue'!$A:$AA,27,FALSE)," ")</f>
        <v>1</v>
      </c>
    </row>
    <row r="103" spans="1:14" ht="28.5" x14ac:dyDescent="0.65">
      <c r="A103" s="283">
        <v>102</v>
      </c>
      <c r="B103" s="284" t="str">
        <f>VLOOKUP(A103,Estimate!A:C,3,FALSE)</f>
        <v>Supply only of electrical conduits (100 diameter), conuits and marker tape</v>
      </c>
      <c r="C103" s="284">
        <f>IFERROR(VLOOKUP(A103,Estimate!A:L,12,FALSE),0)</f>
        <v>5</v>
      </c>
      <c r="D103" s="285" t="s">
        <v>1010</v>
      </c>
      <c r="E103" s="285" t="s">
        <v>1011</v>
      </c>
      <c r="F103" s="279">
        <f>IFERROR(VLOOKUP(A103,Estimate!A:Q,17,FALSE),0)</f>
        <v>3342.9955</v>
      </c>
      <c r="G103" s="205">
        <f>IFERROR(VLOOKUP($A103,'Budget &amp; Revenue'!$A:$AA,13,FALSE)," ")</f>
        <v>0</v>
      </c>
      <c r="H103" s="205">
        <f>IFERROR(VLOOKUP($A103,'Budget &amp; Revenue'!$A:$AA,15,FALSE)," ")</f>
        <v>0.27732463295269166</v>
      </c>
      <c r="I103" s="205">
        <f>IFERROR(VLOOKUP($A103,'Budget &amp; Revenue'!$A:$AA,17,FALSE)," ")</f>
        <v>0.95921696574225124</v>
      </c>
      <c r="J103" s="205">
        <f>IFERROR(VLOOKUP($A103,'Budget &amp; Revenue'!$A:$AA,19,FALSE)," ")</f>
        <v>1</v>
      </c>
      <c r="K103" s="205">
        <f>IFERROR(VLOOKUP($A103,'Budget &amp; Revenue'!$A:$AA,21,FALSE)," ")</f>
        <v>1</v>
      </c>
      <c r="L103" s="205">
        <f>IFERROR(VLOOKUP($A103,'Budget &amp; Revenue'!$A:$AA,23,FALSE)," ")</f>
        <v>1</v>
      </c>
      <c r="M103" s="205">
        <f>IFERROR(VLOOKUP($A103,'Budget &amp; Revenue'!$A:$AA,25,FALSE)," ")</f>
        <v>1</v>
      </c>
      <c r="N103" s="205">
        <f>IFERROR(VLOOKUP($A103,'Budget &amp; Revenue'!$A:$AA,27,FALSE)," ")</f>
        <v>1</v>
      </c>
    </row>
    <row r="104" spans="1:14" ht="28.5" x14ac:dyDescent="0.65">
      <c r="A104" s="283">
        <v>103</v>
      </c>
      <c r="B104" s="284" t="str">
        <f>VLOOKUP(A104,Estimate!A:C,3,FALSE)</f>
        <v>Supply only of electrical conduits (40 diameter), conuits and marker tape</v>
      </c>
      <c r="C104" s="284">
        <f>IFERROR(VLOOKUP(A104,Estimate!A:L,12,FALSE),0)</f>
        <v>5</v>
      </c>
      <c r="D104" s="285" t="s">
        <v>1010</v>
      </c>
      <c r="E104" s="285">
        <v>105</v>
      </c>
      <c r="F104" s="279">
        <f>IFERROR(VLOOKUP(A104,Estimate!A:Q,17,FALSE),0)</f>
        <v>1461.5</v>
      </c>
      <c r="G104" s="205">
        <f>IFERROR(VLOOKUP($A104,'Budget &amp; Revenue'!$A:$AA,13,FALSE)," ")</f>
        <v>0</v>
      </c>
      <c r="H104" s="205">
        <f>IFERROR(VLOOKUP($A104,'Budget &amp; Revenue'!$A:$AA,15,FALSE)," ")</f>
        <v>0.44</v>
      </c>
      <c r="I104" s="205">
        <f>IFERROR(VLOOKUP($A104,'Budget &amp; Revenue'!$A:$AA,17,FALSE)," ")</f>
        <v>0.66</v>
      </c>
      <c r="J104" s="205">
        <f>IFERROR(VLOOKUP($A104,'Budget &amp; Revenue'!$A:$AA,19,FALSE)," ")</f>
        <v>1</v>
      </c>
      <c r="K104" s="205">
        <f>IFERROR(VLOOKUP($A104,'Budget &amp; Revenue'!$A:$AA,21,FALSE)," ")</f>
        <v>1</v>
      </c>
      <c r="L104" s="205">
        <f>IFERROR(VLOOKUP($A104,'Budget &amp; Revenue'!$A:$AA,23,FALSE)," ")</f>
        <v>1</v>
      </c>
      <c r="M104" s="205">
        <f>IFERROR(VLOOKUP($A104,'Budget &amp; Revenue'!$A:$AA,25,FALSE)," ")</f>
        <v>1</v>
      </c>
      <c r="N104" s="205">
        <f>IFERROR(VLOOKUP($A104,'Budget &amp; Revenue'!$A:$AA,27,FALSE)," ")</f>
        <v>1</v>
      </c>
    </row>
    <row r="105" spans="1:14" x14ac:dyDescent="0.65">
      <c r="A105" s="283">
        <v>104</v>
      </c>
      <c r="B105" s="284" t="str">
        <f>VLOOKUP(A105,Estimate!A:C,3,FALSE)</f>
        <v>Supply only, conduits and marker tape</v>
      </c>
      <c r="C105" s="284">
        <f>IFERROR(VLOOKUP(A105,Estimate!A:L,12,FALSE),0)</f>
        <v>5</v>
      </c>
      <c r="D105" s="285" t="s">
        <v>1010</v>
      </c>
      <c r="E105" s="285">
        <v>105</v>
      </c>
      <c r="F105" s="279">
        <f>IFERROR(VLOOKUP(A105,Estimate!A:Q,17,FALSE),0)</f>
        <v>1673.7300000000002</v>
      </c>
      <c r="G105" s="205">
        <f>IFERROR(VLOOKUP($A105,'Budget &amp; Revenue'!$A:$AA,13,FALSE)," ")</f>
        <v>0</v>
      </c>
      <c r="H105" s="205">
        <f>IFERROR(VLOOKUP($A105,'Budget &amp; Revenue'!$A:$AA,15,FALSE)," ")</f>
        <v>0.1111111111111111</v>
      </c>
      <c r="I105" s="205">
        <f>IFERROR(VLOOKUP($A105,'Budget &amp; Revenue'!$A:$AA,17,FALSE)," ")</f>
        <v>1</v>
      </c>
      <c r="J105" s="205">
        <f>IFERROR(VLOOKUP($A105,'Budget &amp; Revenue'!$A:$AA,19,FALSE)," ")</f>
        <v>1</v>
      </c>
      <c r="K105" s="205">
        <f>IFERROR(VLOOKUP($A105,'Budget &amp; Revenue'!$A:$AA,21,FALSE)," ")</f>
        <v>1</v>
      </c>
      <c r="L105" s="205">
        <f>IFERROR(VLOOKUP($A105,'Budget &amp; Revenue'!$A:$AA,23,FALSE)," ")</f>
        <v>1</v>
      </c>
      <c r="M105" s="205">
        <f>IFERROR(VLOOKUP($A105,'Budget &amp; Revenue'!$A:$AA,25,FALSE)," ")</f>
        <v>1</v>
      </c>
      <c r="N105" s="205">
        <f>IFERROR(VLOOKUP($A105,'Budget &amp; Revenue'!$A:$AA,27,FALSE)," ")</f>
        <v>1</v>
      </c>
    </row>
    <row r="106" spans="1:14" ht="71.25" x14ac:dyDescent="0.65">
      <c r="A106" s="283">
        <v>105</v>
      </c>
      <c r="B106" s="284" t="str">
        <f>VLOOKUP(A106,Estimate!A:C,3,FALSE)</f>
        <v>Installation of electrical pit, complete in place, including trenching, bedding, supplying, laying, marker tape/hard cover and backfill. (trench configuration not specified)</v>
      </c>
      <c r="C106" s="284">
        <f>IFERROR(VLOOKUP(A106,Estimate!A:L,12,FALSE),0)</f>
        <v>6</v>
      </c>
      <c r="D106" s="285">
        <v>101102103104</v>
      </c>
      <c r="E106" s="285" t="s">
        <v>1012</v>
      </c>
      <c r="F106" s="279">
        <f>IFERROR(VLOOKUP(A106,Estimate!A:Q,17,FALSE),0)</f>
        <v>16246.75</v>
      </c>
      <c r="G106" s="205">
        <f>IFERROR(VLOOKUP($A106,'Budget &amp; Revenue'!$A:$AA,13,FALSE)," ")</f>
        <v>0</v>
      </c>
      <c r="H106" s="205">
        <f>IFERROR(VLOOKUP($A106,'Budget &amp; Revenue'!$A:$AA,15,FALSE)," ")</f>
        <v>0</v>
      </c>
      <c r="I106" s="205">
        <f>IFERROR(VLOOKUP($A106,'Budget &amp; Revenue'!$A:$AA,17,FALSE)," ")</f>
        <v>0</v>
      </c>
      <c r="J106" s="205">
        <f>IFERROR(VLOOKUP($A106,'Budget &amp; Revenue'!$A:$AA,19,FALSE)," ")</f>
        <v>0.61538461538461542</v>
      </c>
      <c r="K106" s="205">
        <f>IFERROR(VLOOKUP($A106,'Budget &amp; Revenue'!$A:$AA,21,FALSE)," ")</f>
        <v>1</v>
      </c>
      <c r="L106" s="205">
        <f>IFERROR(VLOOKUP($A106,'Budget &amp; Revenue'!$A:$AA,23,FALSE)," ")</f>
        <v>1</v>
      </c>
      <c r="M106" s="205">
        <f>IFERROR(VLOOKUP($A106,'Budget &amp; Revenue'!$A:$AA,25,FALSE)," ")</f>
        <v>1</v>
      </c>
      <c r="N106" s="205">
        <f>IFERROR(VLOOKUP($A106,'Budget &amp; Revenue'!$A:$AA,27,FALSE)," ")</f>
        <v>1</v>
      </c>
    </row>
    <row r="107" spans="1:14" ht="71.25" x14ac:dyDescent="0.65">
      <c r="A107" s="283">
        <v>106</v>
      </c>
      <c r="B107" s="284" t="str">
        <f>VLOOKUP(A107,Estimate!A:C,3,FALSE)</f>
        <v>Installation of communications pit, complete in place, including trenching, bedding, supplying, laying, marker tape/hard cover and backfill. (trench configuration not specified)</v>
      </c>
      <c r="C107" s="284">
        <f>IFERROR(VLOOKUP(A107,Estimate!A:L,12,FALSE),0)</f>
        <v>4</v>
      </c>
      <c r="D107" s="285">
        <v>105</v>
      </c>
      <c r="E107" s="285">
        <v>107</v>
      </c>
      <c r="F107" s="279">
        <f>IFERROR(VLOOKUP(A107,Estimate!A:Q,17,FALSE),0)</f>
        <v>12308</v>
      </c>
      <c r="G107" s="205">
        <f>IFERROR(VLOOKUP($A107,'Budget &amp; Revenue'!$A:$AA,13,FALSE)," ")</f>
        <v>0</v>
      </c>
      <c r="H107" s="205">
        <f>IFERROR(VLOOKUP($A107,'Budget &amp; Revenue'!$A:$AA,15,FALSE)," ")</f>
        <v>0</v>
      </c>
      <c r="I107" s="205">
        <f>IFERROR(VLOOKUP($A107,'Budget &amp; Revenue'!$A:$AA,17,FALSE)," ")</f>
        <v>0</v>
      </c>
      <c r="J107" s="205">
        <f>IFERROR(VLOOKUP($A107,'Budget &amp; Revenue'!$A:$AA,19,FALSE)," ")</f>
        <v>0.625</v>
      </c>
      <c r="K107" s="205">
        <f>IFERROR(VLOOKUP($A107,'Budget &amp; Revenue'!$A:$AA,21,FALSE)," ")</f>
        <v>1</v>
      </c>
      <c r="L107" s="205">
        <f>IFERROR(VLOOKUP($A107,'Budget &amp; Revenue'!$A:$AA,23,FALSE)," ")</f>
        <v>1</v>
      </c>
      <c r="M107" s="205">
        <f>IFERROR(VLOOKUP($A107,'Budget &amp; Revenue'!$A:$AA,25,FALSE)," ")</f>
        <v>1</v>
      </c>
      <c r="N107" s="205">
        <f>IFERROR(VLOOKUP($A107,'Budget &amp; Revenue'!$A:$AA,27,FALSE)," ")</f>
        <v>1</v>
      </c>
    </row>
    <row r="108" spans="1:14" ht="57" x14ac:dyDescent="0.65">
      <c r="A108" s="283">
        <v>107</v>
      </c>
      <c r="B108" s="284" t="str">
        <f>VLOOKUP(A108,Estimate!A:C,3,FALSE)</f>
        <v>Supply and installation of distribution board complete in place including all ground works, plinth and circuit breakers</v>
      </c>
      <c r="C108" s="284">
        <f>IFERROR(VLOOKUP(A108,Estimate!A:L,12,FALSE),0)</f>
        <v>3</v>
      </c>
      <c r="D108" s="285">
        <v>4106</v>
      </c>
      <c r="E108" s="285">
        <v>108</v>
      </c>
      <c r="F108" s="279">
        <f>IFERROR(VLOOKUP(A108,Estimate!A:Q,17,FALSE),0)</f>
        <v>12010</v>
      </c>
      <c r="G108" s="205">
        <f>IFERROR(VLOOKUP($A108,'Budget &amp; Revenue'!$A:$AA,13,FALSE)," ")</f>
        <v>0</v>
      </c>
      <c r="H108" s="205">
        <f>IFERROR(VLOOKUP($A108,'Budget &amp; Revenue'!$A:$AA,15,FALSE)," ")</f>
        <v>0</v>
      </c>
      <c r="I108" s="205">
        <f>IFERROR(VLOOKUP($A108,'Budget &amp; Revenue'!$A:$AA,17,FALSE)," ")</f>
        <v>0</v>
      </c>
      <c r="J108" s="205">
        <f>IFERROR(VLOOKUP($A108,'Budget &amp; Revenue'!$A:$AA,19,FALSE)," ")</f>
        <v>0</v>
      </c>
      <c r="K108" s="205">
        <f>IFERROR(VLOOKUP($A108,'Budget &amp; Revenue'!$A:$AA,21,FALSE)," ")</f>
        <v>0.75</v>
      </c>
      <c r="L108" s="205">
        <f>IFERROR(VLOOKUP($A108,'Budget &amp; Revenue'!$A:$AA,23,FALSE)," ")</f>
        <v>1</v>
      </c>
      <c r="M108" s="205">
        <f>IFERROR(VLOOKUP($A108,'Budget &amp; Revenue'!$A:$AA,25,FALSE)," ")</f>
        <v>1</v>
      </c>
      <c r="N108" s="205">
        <f>IFERROR(VLOOKUP($A108,'Budget &amp; Revenue'!$A:$AA,27,FALSE)," ")</f>
        <v>1</v>
      </c>
    </row>
    <row r="109" spans="1:14" ht="71.25" x14ac:dyDescent="0.65">
      <c r="A109" s="283">
        <v>108</v>
      </c>
      <c r="B109" s="284" t="str">
        <f>VLOOKUP(A109,Estimate!A:C,3,FALSE)</f>
        <v>Supply and installation of electrical and communication conduits to gate controllers from nearest pits including all trenching and coordination with gate installer</v>
      </c>
      <c r="C109" s="284">
        <f>IFERROR(VLOOKUP(A109,Estimate!A:L,12,FALSE),0)</f>
        <v>1</v>
      </c>
      <c r="D109" s="285">
        <v>107</v>
      </c>
      <c r="E109" s="285">
        <v>109</v>
      </c>
      <c r="F109" s="279">
        <f>IFERROR(VLOOKUP(A109,Estimate!A:Q,17,FALSE),0)</f>
        <v>4689.6499999999996</v>
      </c>
      <c r="G109" s="205">
        <f>IFERROR(VLOOKUP($A109,'Budget &amp; Revenue'!$A:$AA,13,FALSE)," ")</f>
        <v>0</v>
      </c>
      <c r="H109" s="205">
        <f>IFERROR(VLOOKUP($A109,'Budget &amp; Revenue'!$A:$AA,15,FALSE)," ")</f>
        <v>0</v>
      </c>
      <c r="I109" s="205">
        <f>IFERROR(VLOOKUP($A109,'Budget &amp; Revenue'!$A:$AA,17,FALSE)," ")</f>
        <v>0</v>
      </c>
      <c r="J109" s="205">
        <f>IFERROR(VLOOKUP($A109,'Budget &amp; Revenue'!$A:$AA,19,FALSE)," ")</f>
        <v>1</v>
      </c>
      <c r="K109" s="205">
        <f>IFERROR(VLOOKUP($A109,'Budget &amp; Revenue'!$A:$AA,21,FALSE)," ")</f>
        <v>1</v>
      </c>
      <c r="L109" s="205">
        <f>IFERROR(VLOOKUP($A109,'Budget &amp; Revenue'!$A:$AA,23,FALSE)," ")</f>
        <v>1</v>
      </c>
      <c r="M109" s="205">
        <f>IFERROR(VLOOKUP($A109,'Budget &amp; Revenue'!$A:$AA,25,FALSE)," ")</f>
        <v>1</v>
      </c>
      <c r="N109" s="205">
        <f>IFERROR(VLOOKUP($A109,'Budget &amp; Revenue'!$A:$AA,27,FALSE)," ")</f>
        <v>1</v>
      </c>
    </row>
    <row r="110" spans="1:14" ht="71.25" x14ac:dyDescent="0.65">
      <c r="A110" s="283">
        <v>109</v>
      </c>
      <c r="B110" s="284" t="str">
        <f>VLOOKUP(A110,Estimate!A:C,3,FALSE)</f>
        <v>Supply and installation of electrical and communication conduits to ticket machines from nearest pits including all trenching and coordination with ticket machine installer</v>
      </c>
      <c r="C110" s="284">
        <f>IFERROR(VLOOKUP(A110,Estimate!A:L,12,FALSE),0)</f>
        <v>2</v>
      </c>
      <c r="D110" s="285">
        <v>108</v>
      </c>
      <c r="E110" s="285">
        <v>111</v>
      </c>
      <c r="F110" s="279">
        <f>IFERROR(VLOOKUP(A110,Estimate!A:Q,17,FALSE),0)</f>
        <v>1113.82</v>
      </c>
      <c r="G110" s="205">
        <f>IFERROR(VLOOKUP($A110,'Budget &amp; Revenue'!$A:$AA,13,FALSE)," ")</f>
        <v>0</v>
      </c>
      <c r="H110" s="205">
        <f>IFERROR(VLOOKUP($A110,'Budget &amp; Revenue'!$A:$AA,15,FALSE)," ")</f>
        <v>0</v>
      </c>
      <c r="I110" s="205">
        <f>IFERROR(VLOOKUP($A110,'Budget &amp; Revenue'!$A:$AA,17,FALSE)," ")</f>
        <v>0</v>
      </c>
      <c r="J110" s="205">
        <f>IFERROR(VLOOKUP($A110,'Budget &amp; Revenue'!$A:$AA,19,FALSE)," ")</f>
        <v>1</v>
      </c>
      <c r="K110" s="205">
        <f>IFERROR(VLOOKUP($A110,'Budget &amp; Revenue'!$A:$AA,21,FALSE)," ")</f>
        <v>1</v>
      </c>
      <c r="L110" s="205">
        <f>IFERROR(VLOOKUP($A110,'Budget &amp; Revenue'!$A:$AA,23,FALSE)," ")</f>
        <v>1</v>
      </c>
      <c r="M110" s="205">
        <f>IFERROR(VLOOKUP($A110,'Budget &amp; Revenue'!$A:$AA,25,FALSE)," ")</f>
        <v>1</v>
      </c>
      <c r="N110" s="205">
        <f>IFERROR(VLOOKUP($A110,'Budget &amp; Revenue'!$A:$AA,27,FALSE)," ")</f>
        <v>1</v>
      </c>
    </row>
    <row r="111" spans="1:14" ht="57" x14ac:dyDescent="0.65">
      <c r="A111" s="283">
        <v>110</v>
      </c>
      <c r="B111" s="284" t="str">
        <f>VLOOKUP(A111,Estimate!A:C,3,FALSE)</f>
        <v>Supply and installation of new car park lights and poles to match existing including footing installation, pole and all cabling from distribution board</v>
      </c>
      <c r="C111" s="284">
        <f>IFERROR(VLOOKUP(A111,Estimate!A:L,12,FALSE),0)</f>
        <v>2</v>
      </c>
      <c r="D111" s="285">
        <v>73</v>
      </c>
      <c r="E111" s="285">
        <v>111</v>
      </c>
      <c r="F111" s="279">
        <f>IFERROR(VLOOKUP(A111,Estimate!A:Q,17,FALSE),0)</f>
        <v>23218.6</v>
      </c>
      <c r="G111" s="205">
        <f>IFERROR(VLOOKUP($A111,'Budget &amp; Revenue'!$A:$AA,13,FALSE)," ")</f>
        <v>0</v>
      </c>
      <c r="H111" s="205">
        <f>IFERROR(VLOOKUP($A111,'Budget &amp; Revenue'!$A:$AA,15,FALSE)," ")</f>
        <v>0</v>
      </c>
      <c r="I111" s="205">
        <f>IFERROR(VLOOKUP($A111,'Budget &amp; Revenue'!$A:$AA,17,FALSE)," ")</f>
        <v>0</v>
      </c>
      <c r="J111" s="205">
        <f>IFERROR(VLOOKUP($A111,'Budget &amp; Revenue'!$A:$AA,19,FALSE)," ")</f>
        <v>0</v>
      </c>
      <c r="K111" s="205">
        <f>IFERROR(VLOOKUP($A111,'Budget &amp; Revenue'!$A:$AA,21,FALSE)," ")</f>
        <v>0</v>
      </c>
      <c r="L111" s="205">
        <f>IFERROR(VLOOKUP($A111,'Budget &amp; Revenue'!$A:$AA,23,FALSE)," ")</f>
        <v>1</v>
      </c>
      <c r="M111" s="205">
        <f>IFERROR(VLOOKUP($A111,'Budget &amp; Revenue'!$A:$AA,25,FALSE)," ")</f>
        <v>1</v>
      </c>
      <c r="N111" s="205">
        <f>IFERROR(VLOOKUP($A111,'Budget &amp; Revenue'!$A:$AA,27,FALSE)," ")</f>
        <v>1</v>
      </c>
    </row>
    <row r="112" spans="1:14" ht="85.5" x14ac:dyDescent="0.65">
      <c r="A112" s="283">
        <v>111</v>
      </c>
      <c r="B112" s="284" t="str">
        <f>VLOOKUP(A112,Estimate!A:C,3,FALSE)</f>
        <v>Supply and installation of services pillar at car wash bays P1, P2,P3 incl socket outlets (IP56), Safety Switch and Hose Cock and all cabling back to distribution board including all cabling back to distribution board</v>
      </c>
      <c r="C112" s="284">
        <f>IFERROR(VLOOKUP(A112,Estimate!A:L,12,FALSE),0)</f>
        <v>3</v>
      </c>
      <c r="D112" s="285">
        <v>109110</v>
      </c>
      <c r="E112" s="285">
        <v>2</v>
      </c>
      <c r="F112" s="279">
        <f>IFERROR(VLOOKUP(A112,Estimate!A:Q,17,FALSE),0)</f>
        <v>4630</v>
      </c>
      <c r="G112" s="205">
        <f>IFERROR(VLOOKUP($A112,'Budget &amp; Revenue'!$A:$AA,13,FALSE)," ")</f>
        <v>0</v>
      </c>
      <c r="H112" s="205">
        <f>IFERROR(VLOOKUP($A112,'Budget &amp; Revenue'!$A:$AA,15,FALSE)," ")</f>
        <v>0</v>
      </c>
      <c r="I112" s="205">
        <f>IFERROR(VLOOKUP($A112,'Budget &amp; Revenue'!$A:$AA,17,FALSE)," ")</f>
        <v>0</v>
      </c>
      <c r="J112" s="205">
        <f>IFERROR(VLOOKUP($A112,'Budget &amp; Revenue'!$A:$AA,19,FALSE)," ")</f>
        <v>0.33333333333333331</v>
      </c>
      <c r="K112" s="205">
        <f>IFERROR(VLOOKUP($A112,'Budget &amp; Revenue'!$A:$AA,21,FALSE)," ")</f>
        <v>1</v>
      </c>
      <c r="L112" s="205">
        <f>IFERROR(VLOOKUP($A112,'Budget &amp; Revenue'!$A:$AA,23,FALSE)," ")</f>
        <v>1</v>
      </c>
      <c r="M112" s="205">
        <f>IFERROR(VLOOKUP($A112,'Budget &amp; Revenue'!$A:$AA,25,FALSE)," ")</f>
        <v>1</v>
      </c>
      <c r="N112" s="205">
        <f>IFERROR(VLOOKUP($A112,'Budget &amp; Revenue'!$A:$AA,27,FALSE)," ")</f>
        <v>1</v>
      </c>
    </row>
    <row r="113" spans="1:14" x14ac:dyDescent="0.65">
      <c r="A113" s="283">
        <v>112</v>
      </c>
      <c r="B113" s="284" t="str">
        <f>VLOOKUP(A113,Estimate!A:C,3,FALSE)</f>
        <v>MISCELLANEOUS</v>
      </c>
      <c r="C113" s="284">
        <f>IFERROR(VLOOKUP(A113,Estimate!A:L,12,FALSE),0)</f>
        <v>0</v>
      </c>
      <c r="D113" s="285"/>
      <c r="E113" s="285"/>
      <c r="F113" s="279">
        <f>IFERROR(VLOOKUP(A113,Estimate!A:Q,17,FALSE),0)</f>
        <v>0</v>
      </c>
      <c r="G113" s="205" t="str">
        <f>IFERROR(VLOOKUP($A113,'Budget &amp; Revenue'!$A:$AA,13,FALSE)," ")</f>
        <v xml:space="preserve"> </v>
      </c>
      <c r="H113" s="205" t="str">
        <f>IFERROR(VLOOKUP($A113,'Budget &amp; Revenue'!$A:$AA,15,FALSE)," ")</f>
        <v xml:space="preserve"> </v>
      </c>
      <c r="I113" s="205" t="str">
        <f>IFERROR(VLOOKUP($A113,'Budget &amp; Revenue'!$A:$AA,17,FALSE)," ")</f>
        <v xml:space="preserve"> </v>
      </c>
      <c r="J113" s="205" t="str">
        <f>IFERROR(VLOOKUP($A113,'Budget &amp; Revenue'!$A:$AA,19,FALSE)," ")</f>
        <v xml:space="preserve"> </v>
      </c>
      <c r="K113" s="205" t="str">
        <f>IFERROR(VLOOKUP($A113,'Budget &amp; Revenue'!$A:$AA,21,FALSE)," ")</f>
        <v xml:space="preserve"> </v>
      </c>
      <c r="L113" s="205" t="str">
        <f>IFERROR(VLOOKUP($A113,'Budget &amp; Revenue'!$A:$AA,23,FALSE)," ")</f>
        <v xml:space="preserve"> </v>
      </c>
      <c r="M113" s="205" t="str">
        <f>IFERROR(VLOOKUP($A113,'Budget &amp; Revenue'!$A:$AA,25,FALSE)," ")</f>
        <v xml:space="preserve"> </v>
      </c>
      <c r="N113" s="205" t="str">
        <f>IFERROR(VLOOKUP($A113,'Budget &amp; Revenue'!$A:$AA,27,FALSE)," ")</f>
        <v xml:space="preserve"> </v>
      </c>
    </row>
    <row r="114" spans="1:14" x14ac:dyDescent="0.65">
      <c r="A114" s="283">
        <v>113</v>
      </c>
      <c r="B114" s="284" t="str">
        <f>VLOOKUP(A114,Estimate!A:C,3,FALSE)</f>
        <v>Existing Services</v>
      </c>
      <c r="C114" s="284">
        <f>IFERROR(VLOOKUP(A114,Estimate!A:L,12,FALSE),0)</f>
        <v>0</v>
      </c>
      <c r="D114" s="285"/>
      <c r="E114" s="285"/>
      <c r="F114" s="279">
        <f>IFERROR(VLOOKUP(A114,Estimate!A:Q,17,FALSE),0)</f>
        <v>0</v>
      </c>
      <c r="G114" s="205" t="str">
        <f>IFERROR(VLOOKUP($A114,'Budget &amp; Revenue'!$A:$AA,13,FALSE)," ")</f>
        <v xml:space="preserve"> </v>
      </c>
      <c r="H114" s="205" t="str">
        <f>IFERROR(VLOOKUP($A114,'Budget &amp; Revenue'!$A:$AA,15,FALSE)," ")</f>
        <v xml:space="preserve"> </v>
      </c>
      <c r="I114" s="205" t="str">
        <f>IFERROR(VLOOKUP($A114,'Budget &amp; Revenue'!$A:$AA,17,FALSE)," ")</f>
        <v xml:space="preserve"> </v>
      </c>
      <c r="J114" s="205" t="str">
        <f>IFERROR(VLOOKUP($A114,'Budget &amp; Revenue'!$A:$AA,19,FALSE)," ")</f>
        <v xml:space="preserve"> </v>
      </c>
      <c r="K114" s="205" t="str">
        <f>IFERROR(VLOOKUP($A114,'Budget &amp; Revenue'!$A:$AA,21,FALSE)," ")</f>
        <v xml:space="preserve"> </v>
      </c>
      <c r="L114" s="205" t="str">
        <f>IFERROR(VLOOKUP($A114,'Budget &amp; Revenue'!$A:$AA,23,FALSE)," ")</f>
        <v xml:space="preserve"> </v>
      </c>
      <c r="M114" s="205" t="str">
        <f>IFERROR(VLOOKUP($A114,'Budget &amp; Revenue'!$A:$AA,25,FALSE)," ")</f>
        <v xml:space="preserve"> </v>
      </c>
      <c r="N114" s="205" t="str">
        <f>IFERROR(VLOOKUP($A114,'Budget &amp; Revenue'!$A:$AA,27,FALSE)," ")</f>
        <v xml:space="preserve"> </v>
      </c>
    </row>
    <row r="115" spans="1:14" ht="42.75" x14ac:dyDescent="0.65">
      <c r="A115" s="283">
        <v>114</v>
      </c>
      <c r="B115" s="284" t="str">
        <f>VLOOKUP(A115,Estimate!A:C,3,FALSE)</f>
        <v>Service Conduit Crossings and Alterations to existing services, as required</v>
      </c>
      <c r="C115" s="284">
        <f>IFERROR(VLOOKUP(A115,Estimate!A:L,12,FALSE),0)</f>
        <v>0</v>
      </c>
      <c r="D115" s="285"/>
      <c r="E115" s="285"/>
      <c r="F115" s="279">
        <f>IFERROR(VLOOKUP(A115,Estimate!A:Q,17,FALSE),0)</f>
        <v>0</v>
      </c>
      <c r="G115" s="205" t="str">
        <f>IFERROR(VLOOKUP($A115,'Budget &amp; Revenue'!$A:$AA,13,FALSE)," ")</f>
        <v xml:space="preserve"> </v>
      </c>
      <c r="H115" s="205" t="str">
        <f>IFERROR(VLOOKUP($A115,'Budget &amp; Revenue'!$A:$AA,15,FALSE)," ")</f>
        <v xml:space="preserve"> </v>
      </c>
      <c r="I115" s="205" t="str">
        <f>IFERROR(VLOOKUP($A115,'Budget &amp; Revenue'!$A:$AA,17,FALSE)," ")</f>
        <v xml:space="preserve"> </v>
      </c>
      <c r="J115" s="205" t="str">
        <f>IFERROR(VLOOKUP($A115,'Budget &amp; Revenue'!$A:$AA,19,FALSE)," ")</f>
        <v xml:space="preserve"> </v>
      </c>
      <c r="K115" s="205" t="str">
        <f>IFERROR(VLOOKUP($A115,'Budget &amp; Revenue'!$A:$AA,21,FALSE)," ")</f>
        <v xml:space="preserve"> </v>
      </c>
      <c r="L115" s="205" t="str">
        <f>IFERROR(VLOOKUP($A115,'Budget &amp; Revenue'!$A:$AA,23,FALSE)," ")</f>
        <v xml:space="preserve"> </v>
      </c>
      <c r="M115" s="205" t="str">
        <f>IFERROR(VLOOKUP($A115,'Budget &amp; Revenue'!$A:$AA,25,FALSE)," ")</f>
        <v xml:space="preserve"> </v>
      </c>
      <c r="N115" s="205" t="str">
        <f>IFERROR(VLOOKUP($A115,'Budget &amp; Revenue'!$A:$AA,27,FALSE)," ")</f>
        <v xml:space="preserve"> </v>
      </c>
    </row>
    <row r="116" spans="1:14" ht="42.75" x14ac:dyDescent="0.65">
      <c r="A116" s="283">
        <v>115</v>
      </c>
      <c r="B116" s="284" t="str">
        <f>VLOOKUP(A116,Estimate!A:C,3,FALSE)</f>
        <v>Existing above ground services to be raised to compliment proposed earthworks level (50mm)</v>
      </c>
      <c r="C116" s="284">
        <f>IFERROR(VLOOKUP(A116,Estimate!A:L,12,FALSE),0)</f>
        <v>1</v>
      </c>
      <c r="D116" s="285">
        <v>60</v>
      </c>
      <c r="E116" s="285">
        <v>30</v>
      </c>
      <c r="F116" s="279">
        <f>IFERROR(VLOOKUP(A116,Estimate!A:Q,17,FALSE),0)</f>
        <v>2499</v>
      </c>
      <c r="G116" s="205">
        <f>IFERROR(VLOOKUP($A116,'Budget &amp; Revenue'!$A:$AA,13,FALSE)," ")</f>
        <v>0</v>
      </c>
      <c r="H116" s="205">
        <f>IFERROR(VLOOKUP($A116,'Budget &amp; Revenue'!$A:$AA,15,FALSE)," ")</f>
        <v>0</v>
      </c>
      <c r="I116" s="205">
        <f>IFERROR(VLOOKUP($A116,'Budget &amp; Revenue'!$A:$AA,17,FALSE)," ")</f>
        <v>0</v>
      </c>
      <c r="J116" s="205">
        <f>IFERROR(VLOOKUP($A116,'Budget &amp; Revenue'!$A:$AA,19,FALSE)," ")</f>
        <v>0</v>
      </c>
      <c r="K116" s="205">
        <f>IFERROR(VLOOKUP($A116,'Budget &amp; Revenue'!$A:$AA,21,FALSE)," ")</f>
        <v>1</v>
      </c>
      <c r="L116" s="205">
        <f>IFERROR(VLOOKUP($A116,'Budget &amp; Revenue'!$A:$AA,23,FALSE)," ")</f>
        <v>1</v>
      </c>
      <c r="M116" s="205">
        <f>IFERROR(VLOOKUP($A116,'Budget &amp; Revenue'!$A:$AA,25,FALSE)," ")</f>
        <v>1</v>
      </c>
      <c r="N116" s="205">
        <f>IFERROR(VLOOKUP($A116,'Budget &amp; Revenue'!$A:$AA,27,FALSE)," ")</f>
        <v>1</v>
      </c>
    </row>
    <row r="117" spans="1:14" x14ac:dyDescent="0.65">
      <c r="A117" s="283">
        <v>116</v>
      </c>
      <c r="B117" s="284" t="str">
        <f>VLOOKUP(A117,Estimate!A:C,3,FALSE)</f>
        <v>Fencing &amp; Vehicle Barriers</v>
      </c>
      <c r="C117" s="284">
        <f>IFERROR(VLOOKUP(A117,Estimate!A:L,12,FALSE),0)</f>
        <v>0</v>
      </c>
      <c r="D117" s="285"/>
      <c r="E117" s="285"/>
      <c r="F117" s="279">
        <f>IFERROR(VLOOKUP(A117,Estimate!A:Q,17,FALSE),0)</f>
        <v>0</v>
      </c>
      <c r="G117" s="205" t="str">
        <f>IFERROR(VLOOKUP($A117,'Budget &amp; Revenue'!$A:$AA,13,FALSE)," ")</f>
        <v xml:space="preserve"> </v>
      </c>
      <c r="H117" s="205" t="str">
        <f>IFERROR(VLOOKUP($A117,'Budget &amp; Revenue'!$A:$AA,15,FALSE)," ")</f>
        <v xml:space="preserve"> </v>
      </c>
      <c r="I117" s="205" t="str">
        <f>IFERROR(VLOOKUP($A117,'Budget &amp; Revenue'!$A:$AA,17,FALSE)," ")</f>
        <v xml:space="preserve"> </v>
      </c>
      <c r="J117" s="205" t="str">
        <f>IFERROR(VLOOKUP($A117,'Budget &amp; Revenue'!$A:$AA,19,FALSE)," ")</f>
        <v xml:space="preserve"> </v>
      </c>
      <c r="K117" s="205" t="str">
        <f>IFERROR(VLOOKUP($A117,'Budget &amp; Revenue'!$A:$AA,21,FALSE)," ")</f>
        <v xml:space="preserve"> </v>
      </c>
      <c r="L117" s="205" t="str">
        <f>IFERROR(VLOOKUP($A117,'Budget &amp; Revenue'!$A:$AA,23,FALSE)," ")</f>
        <v xml:space="preserve"> </v>
      </c>
      <c r="M117" s="205" t="str">
        <f>IFERROR(VLOOKUP($A117,'Budget &amp; Revenue'!$A:$AA,25,FALSE)," ")</f>
        <v xml:space="preserve"> </v>
      </c>
      <c r="N117" s="205" t="str">
        <f>IFERROR(VLOOKUP($A117,'Budget &amp; Revenue'!$A:$AA,27,FALSE)," ")</f>
        <v xml:space="preserve"> </v>
      </c>
    </row>
    <row r="118" spans="1:14" x14ac:dyDescent="0.65">
      <c r="A118" s="283">
        <v>117</v>
      </c>
      <c r="B118" s="284" t="str">
        <f>VLOOKUP(A118,Estimate!A:C,3,FALSE)</f>
        <v>Vehicle Barriers - CCA Treated Logs</v>
      </c>
      <c r="C118" s="284">
        <f>IFERROR(VLOOKUP(A118,Estimate!A:L,12,FALSE),0)</f>
        <v>0</v>
      </c>
      <c r="D118" s="285"/>
      <c r="E118" s="285"/>
      <c r="F118" s="279">
        <f>IFERROR(VLOOKUP(A118,Estimate!A:Q,17,FALSE),0)</f>
        <v>0</v>
      </c>
      <c r="G118" s="205" t="str">
        <f>IFERROR(VLOOKUP($A118,'Budget &amp; Revenue'!$A:$AA,13,FALSE)," ")</f>
        <v xml:space="preserve"> </v>
      </c>
      <c r="H118" s="205" t="str">
        <f>IFERROR(VLOOKUP($A118,'Budget &amp; Revenue'!$A:$AA,15,FALSE)," ")</f>
        <v xml:space="preserve"> </v>
      </c>
      <c r="I118" s="205" t="str">
        <f>IFERROR(VLOOKUP($A118,'Budget &amp; Revenue'!$A:$AA,17,FALSE)," ")</f>
        <v xml:space="preserve"> </v>
      </c>
      <c r="J118" s="205" t="str">
        <f>IFERROR(VLOOKUP($A118,'Budget &amp; Revenue'!$A:$AA,19,FALSE)," ")</f>
        <v xml:space="preserve"> </v>
      </c>
      <c r="K118" s="205" t="str">
        <f>IFERROR(VLOOKUP($A118,'Budget &amp; Revenue'!$A:$AA,21,FALSE)," ")</f>
        <v xml:space="preserve"> </v>
      </c>
      <c r="L118" s="205" t="str">
        <f>IFERROR(VLOOKUP($A118,'Budget &amp; Revenue'!$A:$AA,23,FALSE)," ")</f>
        <v xml:space="preserve"> </v>
      </c>
      <c r="M118" s="205" t="str">
        <f>IFERROR(VLOOKUP($A118,'Budget &amp; Revenue'!$A:$AA,25,FALSE)," ")</f>
        <v xml:space="preserve"> </v>
      </c>
      <c r="N118" s="205" t="str">
        <f>IFERROR(VLOOKUP($A118,'Budget &amp; Revenue'!$A:$AA,27,FALSE)," ")</f>
        <v xml:space="preserve"> </v>
      </c>
    </row>
    <row r="119" spans="1:14" ht="28.5" x14ac:dyDescent="0.65">
      <c r="A119" s="283">
        <v>118</v>
      </c>
      <c r="B119" s="284" t="str">
        <f>VLOOKUP(A119,Estimate!A:C,3,FALSE)</f>
        <v>Trafficked roadways and busbays within the extents of stage 1 boundary</v>
      </c>
      <c r="C119" s="284">
        <f>IFERROR(VLOOKUP(A119,Estimate!A:L,12,FALSE),0)</f>
        <v>10</v>
      </c>
      <c r="D119" s="285">
        <v>76242</v>
      </c>
      <c r="E119" s="285">
        <v>119201</v>
      </c>
      <c r="F119" s="279">
        <f>IFERROR(VLOOKUP(A119,Estimate!A:Q,17,FALSE),0)</f>
        <v>16838.64</v>
      </c>
      <c r="G119" s="205">
        <f>IFERROR(VLOOKUP($A119,'Budget &amp; Revenue'!$A:$AA,13,FALSE)," ")</f>
        <v>0</v>
      </c>
      <c r="H119" s="205">
        <f>IFERROR(VLOOKUP($A119,'Budget &amp; Revenue'!$A:$AA,15,FALSE)," ")</f>
        <v>0</v>
      </c>
      <c r="I119" s="205">
        <f>IFERROR(VLOOKUP($A119,'Budget &amp; Revenue'!$A:$AA,17,FALSE)," ")</f>
        <v>0</v>
      </c>
      <c r="J119" s="205">
        <f>IFERROR(VLOOKUP($A119,'Budget &amp; Revenue'!$A:$AA,19,FALSE)," ")</f>
        <v>0</v>
      </c>
      <c r="K119" s="205">
        <f>IFERROR(VLOOKUP($A119,'Budget &amp; Revenue'!$A:$AA,21,FALSE)," ")</f>
        <v>0.48878205128205127</v>
      </c>
      <c r="L119" s="205">
        <f>IFERROR(VLOOKUP($A119,'Budget &amp; Revenue'!$A:$AA,23,FALSE)," ")</f>
        <v>1</v>
      </c>
      <c r="M119" s="205">
        <f>IFERROR(VLOOKUP($A119,'Budget &amp; Revenue'!$A:$AA,25,FALSE)," ")</f>
        <v>1</v>
      </c>
      <c r="N119" s="205">
        <f>IFERROR(VLOOKUP($A119,'Budget &amp; Revenue'!$A:$AA,27,FALSE)," ")</f>
        <v>1</v>
      </c>
    </row>
    <row r="120" spans="1:14" ht="57" x14ac:dyDescent="0.65">
      <c r="A120" s="283">
        <v>119</v>
      </c>
      <c r="B120" s="284" t="str">
        <f>VLOOKUP(A120,Estimate!A:C,3,FALSE)</f>
        <v>Extension of Trafficked roadways beyond stage 1 boundary. (prevent vehicles leaving roadway and parking outside formal carpark)</v>
      </c>
      <c r="C120" s="284">
        <f>IFERROR(VLOOKUP(A120,Estimate!A:L,12,FALSE),0)</f>
        <v>11</v>
      </c>
      <c r="D120" s="285">
        <v>118201</v>
      </c>
      <c r="E120" s="285">
        <v>120</v>
      </c>
      <c r="F120" s="279">
        <f>IFERROR(VLOOKUP(A120,Estimate!A:Q,17,FALSE),0)</f>
        <v>19159.349999999999</v>
      </c>
      <c r="G120" s="205">
        <f>IFERROR(VLOOKUP($A120,'Budget &amp; Revenue'!$A:$AA,13,FALSE)," ")</f>
        <v>0</v>
      </c>
      <c r="H120" s="205">
        <f>IFERROR(VLOOKUP($A120,'Budget &amp; Revenue'!$A:$AA,15,FALSE)," ")</f>
        <v>0</v>
      </c>
      <c r="I120" s="205">
        <f>IFERROR(VLOOKUP($A120,'Budget &amp; Revenue'!$A:$AA,17,FALSE)," ")</f>
        <v>0</v>
      </c>
      <c r="J120" s="205">
        <f>IFERROR(VLOOKUP($A120,'Budget &amp; Revenue'!$A:$AA,19,FALSE)," ")</f>
        <v>0</v>
      </c>
      <c r="K120" s="205">
        <f>IFERROR(VLOOKUP($A120,'Budget &amp; Revenue'!$A:$AA,21,FALSE)," ")</f>
        <v>0</v>
      </c>
      <c r="L120" s="205">
        <f>IFERROR(VLOOKUP($A120,'Budget &amp; Revenue'!$A:$AA,23,FALSE)," ")</f>
        <v>1</v>
      </c>
      <c r="M120" s="205">
        <f>IFERROR(VLOOKUP($A120,'Budget &amp; Revenue'!$A:$AA,25,FALSE)," ")</f>
        <v>1</v>
      </c>
      <c r="N120" s="205">
        <f>IFERROR(VLOOKUP($A120,'Budget &amp; Revenue'!$A:$AA,27,FALSE)," ")</f>
        <v>1</v>
      </c>
    </row>
    <row r="121" spans="1:14" x14ac:dyDescent="0.65">
      <c r="A121" s="283">
        <v>120</v>
      </c>
      <c r="B121" s="284" t="str">
        <f>VLOOKUP(A121,Estimate!A:C,3,FALSE)</f>
        <v>Public Carpark</v>
      </c>
      <c r="C121" s="284">
        <f>IFERROR(VLOOKUP(A121,Estimate!A:L,12,FALSE),0)</f>
        <v>4</v>
      </c>
      <c r="D121" s="285">
        <v>119</v>
      </c>
      <c r="E121" s="285">
        <v>121</v>
      </c>
      <c r="F121" s="279">
        <f>IFERROR(VLOOKUP(A121,Estimate!A:Q,17,FALSE),0)</f>
        <v>5936.7</v>
      </c>
      <c r="G121" s="205">
        <f>IFERROR(VLOOKUP($A121,'Budget &amp; Revenue'!$A:$AA,13,FALSE)," ")</f>
        <v>0</v>
      </c>
      <c r="H121" s="205">
        <f>IFERROR(VLOOKUP($A121,'Budget &amp; Revenue'!$A:$AA,15,FALSE)," ")</f>
        <v>0</v>
      </c>
      <c r="I121" s="205">
        <f>IFERROR(VLOOKUP($A121,'Budget &amp; Revenue'!$A:$AA,17,FALSE)," ")</f>
        <v>0</v>
      </c>
      <c r="J121" s="205">
        <f>IFERROR(VLOOKUP($A121,'Budget &amp; Revenue'!$A:$AA,19,FALSE)," ")</f>
        <v>0</v>
      </c>
      <c r="K121" s="205">
        <f>IFERROR(VLOOKUP($A121,'Budget &amp; Revenue'!$A:$AA,21,FALSE)," ")</f>
        <v>0</v>
      </c>
      <c r="L121" s="205">
        <f>IFERROR(VLOOKUP($A121,'Budget &amp; Revenue'!$A:$AA,23,FALSE)," ")</f>
        <v>0.73636363636363633</v>
      </c>
      <c r="M121" s="205">
        <f>IFERROR(VLOOKUP($A121,'Budget &amp; Revenue'!$A:$AA,25,FALSE)," ")</f>
        <v>1</v>
      </c>
      <c r="N121" s="205">
        <f>IFERROR(VLOOKUP($A121,'Budget &amp; Revenue'!$A:$AA,27,FALSE)," ")</f>
        <v>1</v>
      </c>
    </row>
    <row r="122" spans="1:14" x14ac:dyDescent="0.65">
      <c r="A122" s="283">
        <v>121</v>
      </c>
      <c r="B122" s="284" t="str">
        <f>VLOOKUP(A122,Estimate!A:C,3,FALSE)</f>
        <v>Pedestrian Safety Fence</v>
      </c>
      <c r="C122" s="284">
        <f>IFERROR(VLOOKUP(A122,Estimate!A:L,12,FALSE),0)</f>
        <v>1</v>
      </c>
      <c r="D122" s="285">
        <v>120</v>
      </c>
      <c r="E122" s="285">
        <v>122241</v>
      </c>
      <c r="F122" s="279">
        <f>IFERROR(VLOOKUP(A122,Estimate!A:Q,17,FALSE),0)</f>
        <v>1500</v>
      </c>
      <c r="G122" s="205">
        <f>IFERROR(VLOOKUP($A122,'Budget &amp; Revenue'!$A:$AA,13,FALSE)," ")</f>
        <v>0</v>
      </c>
      <c r="H122" s="205">
        <f>IFERROR(VLOOKUP($A122,'Budget &amp; Revenue'!$A:$AA,15,FALSE)," ")</f>
        <v>0</v>
      </c>
      <c r="I122" s="205">
        <f>IFERROR(VLOOKUP($A122,'Budget &amp; Revenue'!$A:$AA,17,FALSE)," ")</f>
        <v>0</v>
      </c>
      <c r="J122" s="205">
        <f>IFERROR(VLOOKUP($A122,'Budget &amp; Revenue'!$A:$AA,19,FALSE)," ")</f>
        <v>0</v>
      </c>
      <c r="K122" s="205">
        <f>IFERROR(VLOOKUP($A122,'Budget &amp; Revenue'!$A:$AA,21,FALSE)," ")</f>
        <v>0</v>
      </c>
      <c r="L122" s="205">
        <f>IFERROR(VLOOKUP($A122,'Budget &amp; Revenue'!$A:$AA,23,FALSE)," ")</f>
        <v>0</v>
      </c>
      <c r="M122" s="205">
        <f>IFERROR(VLOOKUP($A122,'Budget &amp; Revenue'!$A:$AA,25,FALSE)," ")</f>
        <v>1</v>
      </c>
      <c r="N122" s="205">
        <f>IFERROR(VLOOKUP($A122,'Budget &amp; Revenue'!$A:$AA,27,FALSE)," ")</f>
        <v>1</v>
      </c>
    </row>
    <row r="123" spans="1:14" x14ac:dyDescent="0.65">
      <c r="A123" s="283">
        <v>122</v>
      </c>
      <c r="B123" s="284" t="str">
        <f>VLOOKUP(A123,Estimate!A:C,3,FALSE)</f>
        <v>Supply &amp; Installation of Fixed Bollards</v>
      </c>
      <c r="C123" s="284">
        <f>IFERROR(VLOOKUP(A123,Estimate!A:L,12,FALSE),0)</f>
        <v>1</v>
      </c>
      <c r="D123" s="285">
        <v>121241</v>
      </c>
      <c r="E123" s="285">
        <v>123243</v>
      </c>
      <c r="F123" s="279">
        <f>IFERROR(VLOOKUP(A123,Estimate!A:Q,17,FALSE),0)</f>
        <v>210</v>
      </c>
      <c r="G123" s="205">
        <f>IFERROR(VLOOKUP($A123,'Budget &amp; Revenue'!$A:$AA,13,FALSE)," ")</f>
        <v>0</v>
      </c>
      <c r="H123" s="205">
        <f>IFERROR(VLOOKUP($A123,'Budget &amp; Revenue'!$A:$AA,15,FALSE)," ")</f>
        <v>0</v>
      </c>
      <c r="I123" s="205">
        <f>IFERROR(VLOOKUP($A123,'Budget &amp; Revenue'!$A:$AA,17,FALSE)," ")</f>
        <v>0</v>
      </c>
      <c r="J123" s="205">
        <f>IFERROR(VLOOKUP($A123,'Budget &amp; Revenue'!$A:$AA,19,FALSE)," ")</f>
        <v>0</v>
      </c>
      <c r="K123" s="205">
        <f>IFERROR(VLOOKUP($A123,'Budget &amp; Revenue'!$A:$AA,21,FALSE)," ")</f>
        <v>0</v>
      </c>
      <c r="L123" s="205">
        <f>IFERROR(VLOOKUP($A123,'Budget &amp; Revenue'!$A:$AA,23,FALSE)," ")</f>
        <v>0</v>
      </c>
      <c r="M123" s="205">
        <f>IFERROR(VLOOKUP($A123,'Budget &amp; Revenue'!$A:$AA,25,FALSE)," ")</f>
        <v>1</v>
      </c>
      <c r="N123" s="205">
        <f>IFERROR(VLOOKUP($A123,'Budget &amp; Revenue'!$A:$AA,27,FALSE)," ")</f>
        <v>1</v>
      </c>
    </row>
    <row r="124" spans="1:14" x14ac:dyDescent="0.65">
      <c r="A124" s="283">
        <v>123</v>
      </c>
      <c r="B124" s="284" t="str">
        <f>VLOOKUP(A124,Estimate!A:C,3,FALSE)</f>
        <v>Temporary Fencing &amp; Signage</v>
      </c>
      <c r="C124" s="284">
        <f>IFERROR(VLOOKUP(A124,Estimate!A:L,12,FALSE),0)</f>
        <v>2</v>
      </c>
      <c r="D124" s="285">
        <v>122</v>
      </c>
      <c r="E124" s="285">
        <v>2</v>
      </c>
      <c r="F124" s="279">
        <f>IFERROR(VLOOKUP(A124,Estimate!A:Q,17,FALSE),0)</f>
        <v>12768</v>
      </c>
      <c r="G124" s="205">
        <f>IFERROR(VLOOKUP($A124,'Budget &amp; Revenue'!$A:$AA,13,FALSE)," ")</f>
        <v>0.1</v>
      </c>
      <c r="H124" s="205">
        <f>IFERROR(VLOOKUP($A124,'Budget &amp; Revenue'!$A:$AA,15,FALSE)," ")</f>
        <v>0.3</v>
      </c>
      <c r="I124" s="205">
        <f>IFERROR(VLOOKUP($A124,'Budget &amp; Revenue'!$A:$AA,17,FALSE)," ")</f>
        <v>0.6</v>
      </c>
      <c r="J124" s="205">
        <f>IFERROR(VLOOKUP($A124,'Budget &amp; Revenue'!$A:$AA,19,FALSE)," ")</f>
        <v>0.8</v>
      </c>
      <c r="K124" s="205">
        <f>IFERROR(VLOOKUP($A124,'Budget &amp; Revenue'!$A:$AA,21,FALSE)," ")</f>
        <v>1</v>
      </c>
      <c r="L124" s="205">
        <f>IFERROR(VLOOKUP($A124,'Budget &amp; Revenue'!$A:$AA,23,FALSE)," ")</f>
        <v>1</v>
      </c>
      <c r="M124" s="205">
        <f>IFERROR(VLOOKUP($A124,'Budget &amp; Revenue'!$A:$AA,25,FALSE)," ")</f>
        <v>1</v>
      </c>
      <c r="N124" s="205">
        <f>IFERROR(VLOOKUP($A124,'Budget &amp; Revenue'!$A:$AA,27,FALSE)," ")</f>
        <v>1</v>
      </c>
    </row>
    <row r="125" spans="1:14" x14ac:dyDescent="0.65">
      <c r="A125" s="283">
        <v>124</v>
      </c>
      <c r="B125" s="284" t="str">
        <f>VLOOKUP(A125,Estimate!A:C,3,FALSE)</f>
        <v>SCHEDULE B - SEWER WORKS</v>
      </c>
      <c r="C125" s="284">
        <f>IFERROR(VLOOKUP(A125,Estimate!A:L,12,FALSE),0)</f>
        <v>0</v>
      </c>
      <c r="D125" s="285"/>
      <c r="E125" s="285"/>
      <c r="F125" s="279">
        <f>IFERROR(VLOOKUP(A125,Estimate!A:Q,17,FALSE),0)</f>
        <v>0</v>
      </c>
      <c r="G125" s="205" t="str">
        <f>IFERROR(VLOOKUP($A125,'Budget &amp; Revenue'!$A:$AA,13,FALSE)," ")</f>
        <v xml:space="preserve"> </v>
      </c>
      <c r="H125" s="205" t="str">
        <f>IFERROR(VLOOKUP($A125,'Budget &amp; Revenue'!$A:$AA,15,FALSE)," ")</f>
        <v xml:space="preserve"> </v>
      </c>
      <c r="I125" s="205" t="str">
        <f>IFERROR(VLOOKUP($A125,'Budget &amp; Revenue'!$A:$AA,17,FALSE)," ")</f>
        <v xml:space="preserve"> </v>
      </c>
      <c r="J125" s="205" t="str">
        <f>IFERROR(VLOOKUP($A125,'Budget &amp; Revenue'!$A:$AA,19,FALSE)," ")</f>
        <v xml:space="preserve"> </v>
      </c>
      <c r="K125" s="205" t="str">
        <f>IFERROR(VLOOKUP($A125,'Budget &amp; Revenue'!$A:$AA,21,FALSE)," ")</f>
        <v xml:space="preserve"> </v>
      </c>
      <c r="L125" s="205" t="str">
        <f>IFERROR(VLOOKUP($A125,'Budget &amp; Revenue'!$A:$AA,23,FALSE)," ")</f>
        <v xml:space="preserve"> </v>
      </c>
      <c r="M125" s="205" t="str">
        <f>IFERROR(VLOOKUP($A125,'Budget &amp; Revenue'!$A:$AA,25,FALSE)," ")</f>
        <v xml:space="preserve"> </v>
      </c>
      <c r="N125" s="205" t="str">
        <f>IFERROR(VLOOKUP($A125,'Budget &amp; Revenue'!$A:$AA,27,FALSE)," ")</f>
        <v xml:space="preserve"> </v>
      </c>
    </row>
    <row r="126" spans="1:14" x14ac:dyDescent="0.65">
      <c r="A126" s="283">
        <v>125</v>
      </c>
      <c r="B126" s="284" t="str">
        <f>VLOOKUP(A126,Estimate!A:C,3,FALSE)</f>
        <v>EARTHWORKS</v>
      </c>
      <c r="C126" s="284">
        <f>IFERROR(VLOOKUP(A126,Estimate!A:L,12,FALSE),0)</f>
        <v>0</v>
      </c>
      <c r="D126" s="285"/>
      <c r="E126" s="285"/>
      <c r="F126" s="279">
        <f>IFERROR(VLOOKUP(A126,Estimate!A:Q,17,FALSE),0)</f>
        <v>0</v>
      </c>
      <c r="G126" s="205" t="str">
        <f>IFERROR(VLOOKUP($A126,'Budget &amp; Revenue'!$A:$AA,13,FALSE)," ")</f>
        <v xml:space="preserve"> </v>
      </c>
      <c r="H126" s="205" t="str">
        <f>IFERROR(VLOOKUP($A126,'Budget &amp; Revenue'!$A:$AA,15,FALSE)," ")</f>
        <v xml:space="preserve"> </v>
      </c>
      <c r="I126" s="205" t="str">
        <f>IFERROR(VLOOKUP($A126,'Budget &amp; Revenue'!$A:$AA,17,FALSE)," ")</f>
        <v xml:space="preserve"> </v>
      </c>
      <c r="J126" s="205" t="str">
        <f>IFERROR(VLOOKUP($A126,'Budget &amp; Revenue'!$A:$AA,19,FALSE)," ")</f>
        <v xml:space="preserve"> </v>
      </c>
      <c r="K126" s="205" t="str">
        <f>IFERROR(VLOOKUP($A126,'Budget &amp; Revenue'!$A:$AA,21,FALSE)," ")</f>
        <v xml:space="preserve"> </v>
      </c>
      <c r="L126" s="205" t="str">
        <f>IFERROR(VLOOKUP($A126,'Budget &amp; Revenue'!$A:$AA,23,FALSE)," ")</f>
        <v xml:space="preserve"> </v>
      </c>
      <c r="M126" s="205" t="str">
        <f>IFERROR(VLOOKUP($A126,'Budget &amp; Revenue'!$A:$AA,25,FALSE)," ")</f>
        <v xml:space="preserve"> </v>
      </c>
      <c r="N126" s="205" t="str">
        <f>IFERROR(VLOOKUP($A126,'Budget &amp; Revenue'!$A:$AA,27,FALSE)," ")</f>
        <v xml:space="preserve"> </v>
      </c>
    </row>
    <row r="127" spans="1:14" x14ac:dyDescent="0.65">
      <c r="A127" s="283">
        <v>126</v>
      </c>
      <c r="B127" s="284" t="str">
        <f>VLOOKUP(A127,Estimate!A:C,3,FALSE)</f>
        <v>Clearing &amp; Grubbing</v>
      </c>
      <c r="C127" s="284">
        <f>IFERROR(VLOOKUP(A127,Estimate!A:L,12,FALSE),0)</f>
        <v>2</v>
      </c>
      <c r="D127" s="285">
        <v>19</v>
      </c>
      <c r="E127" s="285">
        <v>127</v>
      </c>
      <c r="F127" s="279">
        <f>IFERROR(VLOOKUP(A127,Estimate!A:Q,17,FALSE),0)</f>
        <v>4482</v>
      </c>
      <c r="G127" s="205">
        <f>IFERROR(VLOOKUP($A127,'Budget &amp; Revenue'!$A:$AA,13,FALSE)," ")</f>
        <v>1</v>
      </c>
      <c r="H127" s="205">
        <f>IFERROR(VLOOKUP($A127,'Budget &amp; Revenue'!$A:$AA,15,FALSE)," ")</f>
        <v>1</v>
      </c>
      <c r="I127" s="205">
        <f>IFERROR(VLOOKUP($A127,'Budget &amp; Revenue'!$A:$AA,17,FALSE)," ")</f>
        <v>1</v>
      </c>
      <c r="J127" s="205">
        <f>IFERROR(VLOOKUP($A127,'Budget &amp; Revenue'!$A:$AA,19,FALSE)," ")</f>
        <v>1</v>
      </c>
      <c r="K127" s="205">
        <f>IFERROR(VLOOKUP($A127,'Budget &amp; Revenue'!$A:$AA,21,FALSE)," ")</f>
        <v>1</v>
      </c>
      <c r="L127" s="205">
        <f>IFERROR(VLOOKUP($A127,'Budget &amp; Revenue'!$A:$AA,23,FALSE)," ")</f>
        <v>1</v>
      </c>
      <c r="M127" s="205">
        <f>IFERROR(VLOOKUP($A127,'Budget &amp; Revenue'!$A:$AA,25,FALSE)," ")</f>
        <v>1</v>
      </c>
      <c r="N127" s="205">
        <f>IFERROR(VLOOKUP($A127,'Budget &amp; Revenue'!$A:$AA,27,FALSE)," ")</f>
        <v>1</v>
      </c>
    </row>
    <row r="128" spans="1:14" x14ac:dyDescent="0.65">
      <c r="A128" s="283">
        <v>127</v>
      </c>
      <c r="B128" s="284" t="str">
        <f>VLOOKUP(A128,Estimate!A:C,3,FALSE)</f>
        <v>Strip &amp; Stockpile Topsoil</v>
      </c>
      <c r="C128" s="284">
        <f>IFERROR(VLOOKUP(A128,Estimate!A:L,12,FALSE),0)</f>
        <v>1</v>
      </c>
      <c r="D128" s="285">
        <v>126</v>
      </c>
      <c r="E128" s="285">
        <v>130143</v>
      </c>
      <c r="F128" s="279">
        <f>IFERROR(VLOOKUP(A128,Estimate!A:Q,17,FALSE),0)</f>
        <v>471.625</v>
      </c>
      <c r="G128" s="205">
        <f>IFERROR(VLOOKUP($A128,'Budget &amp; Revenue'!$A:$AA,13,FALSE)," ")</f>
        <v>1</v>
      </c>
      <c r="H128" s="205">
        <f>IFERROR(VLOOKUP($A128,'Budget &amp; Revenue'!$A:$AA,15,FALSE)," ")</f>
        <v>1</v>
      </c>
      <c r="I128" s="205">
        <f>IFERROR(VLOOKUP($A128,'Budget &amp; Revenue'!$A:$AA,17,FALSE)," ")</f>
        <v>1</v>
      </c>
      <c r="J128" s="205">
        <f>IFERROR(VLOOKUP($A128,'Budget &amp; Revenue'!$A:$AA,19,FALSE)," ")</f>
        <v>1</v>
      </c>
      <c r="K128" s="205">
        <f>IFERROR(VLOOKUP($A128,'Budget &amp; Revenue'!$A:$AA,21,FALSE)," ")</f>
        <v>1</v>
      </c>
      <c r="L128" s="205">
        <f>IFERROR(VLOOKUP($A128,'Budget &amp; Revenue'!$A:$AA,23,FALSE)," ")</f>
        <v>1</v>
      </c>
      <c r="M128" s="205">
        <f>IFERROR(VLOOKUP($A128,'Budget &amp; Revenue'!$A:$AA,25,FALSE)," ")</f>
        <v>1</v>
      </c>
      <c r="N128" s="205">
        <f>IFERROR(VLOOKUP($A128,'Budget &amp; Revenue'!$A:$AA,27,FALSE)," ")</f>
        <v>1</v>
      </c>
    </row>
    <row r="129" spans="1:14" x14ac:dyDescent="0.65">
      <c r="A129" s="283">
        <v>128</v>
      </c>
      <c r="B129" s="284" t="str">
        <f>VLOOKUP(A129,Estimate!A:C,3,FALSE)</f>
        <v>Placement of Topsoil</v>
      </c>
      <c r="C129" s="284">
        <f>IFERROR(VLOOKUP(A129,Estimate!A:L,12,FALSE),0)</f>
        <v>1</v>
      </c>
      <c r="D129" s="285">
        <v>141</v>
      </c>
      <c r="E129" s="285">
        <v>129</v>
      </c>
      <c r="F129" s="279">
        <f>IFERROR(VLOOKUP(A129,Estimate!A:Q,17,FALSE),0)</f>
        <v>398.72</v>
      </c>
      <c r="G129" s="205">
        <f>IFERROR(VLOOKUP($A129,'Budget &amp; Revenue'!$A:$AA,13,FALSE)," ")</f>
        <v>0</v>
      </c>
      <c r="H129" s="205">
        <f>IFERROR(VLOOKUP($A129,'Budget &amp; Revenue'!$A:$AA,15,FALSE)," ")</f>
        <v>0</v>
      </c>
      <c r="I129" s="205">
        <f>IFERROR(VLOOKUP($A129,'Budget &amp; Revenue'!$A:$AA,17,FALSE)," ")</f>
        <v>0</v>
      </c>
      <c r="J129" s="205">
        <f>IFERROR(VLOOKUP($A129,'Budget &amp; Revenue'!$A:$AA,19,FALSE)," ")</f>
        <v>0</v>
      </c>
      <c r="K129" s="205">
        <f>IFERROR(VLOOKUP($A129,'Budget &amp; Revenue'!$A:$AA,21,FALSE)," ")</f>
        <v>1</v>
      </c>
      <c r="L129" s="205">
        <f>IFERROR(VLOOKUP($A129,'Budget &amp; Revenue'!$A:$AA,23,FALSE)," ")</f>
        <v>1</v>
      </c>
      <c r="M129" s="205">
        <f>IFERROR(VLOOKUP($A129,'Budget &amp; Revenue'!$A:$AA,25,FALSE)," ")</f>
        <v>1</v>
      </c>
      <c r="N129" s="205">
        <f>IFERROR(VLOOKUP($A129,'Budget &amp; Revenue'!$A:$AA,27,FALSE)," ")</f>
        <v>1</v>
      </c>
    </row>
    <row r="130" spans="1:14" x14ac:dyDescent="0.65">
      <c r="A130" s="283">
        <v>129</v>
      </c>
      <c r="B130" s="284" t="str">
        <f>VLOOKUP(A130,Estimate!A:C,3,FALSE)</f>
        <v>Disposal of excess topsoil as directed</v>
      </c>
      <c r="C130" s="284">
        <f>IFERROR(VLOOKUP(A130,Estimate!A:L,12,FALSE),0)</f>
        <v>1</v>
      </c>
      <c r="D130" s="285">
        <v>128</v>
      </c>
      <c r="E130" s="285">
        <v>36</v>
      </c>
      <c r="F130" s="279">
        <f>IFERROR(VLOOKUP(A130,Estimate!A:Q,17,FALSE),0)</f>
        <v>353.02499999999998</v>
      </c>
      <c r="G130" s="205">
        <f>IFERROR(VLOOKUP($A130,'Budget &amp; Revenue'!$A:$AA,13,FALSE)," ")</f>
        <v>1</v>
      </c>
      <c r="H130" s="205">
        <f>IFERROR(VLOOKUP($A130,'Budget &amp; Revenue'!$A:$AA,15,FALSE)," ")</f>
        <v>1</v>
      </c>
      <c r="I130" s="205">
        <f>IFERROR(VLOOKUP($A130,'Budget &amp; Revenue'!$A:$AA,17,FALSE)," ")</f>
        <v>1</v>
      </c>
      <c r="J130" s="205">
        <f>IFERROR(VLOOKUP($A130,'Budget &amp; Revenue'!$A:$AA,19,FALSE)," ")</f>
        <v>1</v>
      </c>
      <c r="K130" s="205">
        <f>IFERROR(VLOOKUP($A130,'Budget &amp; Revenue'!$A:$AA,21,FALSE)," ")</f>
        <v>1</v>
      </c>
      <c r="L130" s="205">
        <f>IFERROR(VLOOKUP($A130,'Budget &amp; Revenue'!$A:$AA,23,FALSE)," ")</f>
        <v>1</v>
      </c>
      <c r="M130" s="205">
        <f>IFERROR(VLOOKUP($A130,'Budget &amp; Revenue'!$A:$AA,25,FALSE)," ")</f>
        <v>1</v>
      </c>
      <c r="N130" s="205">
        <f>IFERROR(VLOOKUP($A130,'Budget &amp; Revenue'!$A:$AA,27,FALSE)," ")</f>
        <v>1</v>
      </c>
    </row>
    <row r="131" spans="1:14" ht="42.75" x14ac:dyDescent="0.65">
      <c r="A131" s="283">
        <v>130</v>
      </c>
      <c r="B131" s="284" t="str">
        <f>VLOOKUP(A131,Estimate!A:C,3,FALSE)</f>
        <v>Gravel access and hardstand from airport pit min CBR10 300 thick(Provisional)</v>
      </c>
      <c r="C131" s="284">
        <f>IFERROR(VLOOKUP(A131,Estimate!A:L,12,FALSE),0)</f>
        <v>1</v>
      </c>
      <c r="D131" s="285">
        <v>127</v>
      </c>
      <c r="E131" s="285">
        <v>133222</v>
      </c>
      <c r="F131" s="279">
        <f>IFERROR(VLOOKUP(A131,Estimate!A:Q,17,FALSE),0)</f>
        <v>2999.3739662288854</v>
      </c>
      <c r="G131" s="205">
        <f>IFERROR(VLOOKUP($A131,'Budget &amp; Revenue'!$A:$AA,13,FALSE)," ")</f>
        <v>0.48484848484848486</v>
      </c>
      <c r="H131" s="205">
        <f>IFERROR(VLOOKUP($A131,'Budget &amp; Revenue'!$A:$AA,15,FALSE)," ")</f>
        <v>1</v>
      </c>
      <c r="I131" s="205">
        <f>IFERROR(VLOOKUP($A131,'Budget &amp; Revenue'!$A:$AA,17,FALSE)," ")</f>
        <v>1</v>
      </c>
      <c r="J131" s="205">
        <f>IFERROR(VLOOKUP($A131,'Budget &amp; Revenue'!$A:$AA,19,FALSE)," ")</f>
        <v>1</v>
      </c>
      <c r="K131" s="205">
        <f>IFERROR(VLOOKUP($A131,'Budget &amp; Revenue'!$A:$AA,21,FALSE)," ")</f>
        <v>1</v>
      </c>
      <c r="L131" s="205">
        <f>IFERROR(VLOOKUP($A131,'Budget &amp; Revenue'!$A:$AA,23,FALSE)," ")</f>
        <v>1</v>
      </c>
      <c r="M131" s="205">
        <f>IFERROR(VLOOKUP($A131,'Budget &amp; Revenue'!$A:$AA,25,FALSE)," ")</f>
        <v>1</v>
      </c>
      <c r="N131" s="205">
        <f>IFERROR(VLOOKUP($A131,'Budget &amp; Revenue'!$A:$AA,27,FALSE)," ")</f>
        <v>1</v>
      </c>
    </row>
    <row r="132" spans="1:14" x14ac:dyDescent="0.65">
      <c r="A132" s="283">
        <v>131</v>
      </c>
      <c r="B132" s="284" t="str">
        <f>VLOOKUP(A132,Estimate!A:C,3,FALSE)</f>
        <v>SEWER WORKS</v>
      </c>
      <c r="C132" s="284">
        <f>IFERROR(VLOOKUP(A132,Estimate!A:L,12,FALSE),0)</f>
        <v>0</v>
      </c>
      <c r="D132" s="285"/>
      <c r="E132" s="285"/>
      <c r="F132" s="279">
        <f>IFERROR(VLOOKUP(A132,Estimate!A:Q,17,FALSE),0)</f>
        <v>0</v>
      </c>
      <c r="G132" s="205" t="str">
        <f>IFERROR(VLOOKUP($A132,'Budget &amp; Revenue'!$A:$AA,13,FALSE)," ")</f>
        <v xml:space="preserve"> </v>
      </c>
      <c r="H132" s="205" t="str">
        <f>IFERROR(VLOOKUP($A132,'Budget &amp; Revenue'!$A:$AA,15,FALSE)," ")</f>
        <v xml:space="preserve"> </v>
      </c>
      <c r="I132" s="205" t="str">
        <f>IFERROR(VLOOKUP($A132,'Budget &amp; Revenue'!$A:$AA,17,FALSE)," ")</f>
        <v xml:space="preserve"> </v>
      </c>
      <c r="J132" s="205" t="str">
        <f>IFERROR(VLOOKUP($A132,'Budget &amp; Revenue'!$A:$AA,19,FALSE)," ")</f>
        <v xml:space="preserve"> </v>
      </c>
      <c r="K132" s="205" t="str">
        <f>IFERROR(VLOOKUP($A132,'Budget &amp; Revenue'!$A:$AA,21,FALSE)," ")</f>
        <v xml:space="preserve"> </v>
      </c>
      <c r="L132" s="205" t="str">
        <f>IFERROR(VLOOKUP($A132,'Budget &amp; Revenue'!$A:$AA,23,FALSE)," ")</f>
        <v xml:space="preserve"> </v>
      </c>
      <c r="M132" s="205" t="str">
        <f>IFERROR(VLOOKUP($A132,'Budget &amp; Revenue'!$A:$AA,25,FALSE)," ")</f>
        <v xml:space="preserve"> </v>
      </c>
      <c r="N132" s="205" t="str">
        <f>IFERROR(VLOOKUP($A132,'Budget &amp; Revenue'!$A:$AA,27,FALSE)," ")</f>
        <v xml:space="preserve"> </v>
      </c>
    </row>
    <row r="133" spans="1:14" x14ac:dyDescent="0.65">
      <c r="A133" s="283">
        <v>132</v>
      </c>
      <c r="B133" s="284" t="str">
        <f>VLOOKUP(A133,Estimate!A:C,3,FALSE)</f>
        <v>Gravity Sewer</v>
      </c>
      <c r="C133" s="284">
        <f>IFERROR(VLOOKUP(A133,Estimate!A:L,12,FALSE),0)</f>
        <v>0</v>
      </c>
      <c r="D133" s="285"/>
      <c r="E133" s="285"/>
      <c r="F133" s="279">
        <f>IFERROR(VLOOKUP(A133,Estimate!A:Q,17,FALSE),0)</f>
        <v>0</v>
      </c>
      <c r="G133" s="205" t="str">
        <f>IFERROR(VLOOKUP($A133,'Budget &amp; Revenue'!$A:$AA,13,FALSE)," ")</f>
        <v xml:space="preserve"> </v>
      </c>
      <c r="H133" s="205" t="str">
        <f>IFERROR(VLOOKUP($A133,'Budget &amp; Revenue'!$A:$AA,15,FALSE)," ")</f>
        <v xml:space="preserve"> </v>
      </c>
      <c r="I133" s="205" t="str">
        <f>IFERROR(VLOOKUP($A133,'Budget &amp; Revenue'!$A:$AA,17,FALSE)," ")</f>
        <v xml:space="preserve"> </v>
      </c>
      <c r="J133" s="205" t="str">
        <f>IFERROR(VLOOKUP($A133,'Budget &amp; Revenue'!$A:$AA,19,FALSE)," ")</f>
        <v xml:space="preserve"> </v>
      </c>
      <c r="K133" s="205" t="str">
        <f>IFERROR(VLOOKUP($A133,'Budget &amp; Revenue'!$A:$AA,21,FALSE)," ")</f>
        <v xml:space="preserve"> </v>
      </c>
      <c r="L133" s="205" t="str">
        <f>IFERROR(VLOOKUP($A133,'Budget &amp; Revenue'!$A:$AA,23,FALSE)," ")</f>
        <v xml:space="preserve"> </v>
      </c>
      <c r="M133" s="205" t="str">
        <f>IFERROR(VLOOKUP($A133,'Budget &amp; Revenue'!$A:$AA,25,FALSE)," ")</f>
        <v xml:space="preserve"> </v>
      </c>
      <c r="N133" s="205" t="str">
        <f>IFERROR(VLOOKUP($A133,'Budget &amp; Revenue'!$A:$AA,27,FALSE)," ")</f>
        <v xml:space="preserve"> </v>
      </c>
    </row>
    <row r="134" spans="1:14" ht="28.5" x14ac:dyDescent="0.65">
      <c r="A134" s="283">
        <v>133</v>
      </c>
      <c r="B134" s="284" t="str">
        <f>VLOOKUP(A134,Estimate!A:C,3,FALSE)</f>
        <v>Connection of existing DN100 AC gravity sewers to new ssanitary drain</v>
      </c>
      <c r="C134" s="284">
        <f>IFERROR(VLOOKUP(A134,Estimate!A:L,12,FALSE),0)</f>
        <v>2</v>
      </c>
      <c r="D134" s="285">
        <v>130141144222</v>
      </c>
      <c r="E134" s="285">
        <v>134</v>
      </c>
      <c r="F134" s="279">
        <f>IFERROR(VLOOKUP(A134,Estimate!A:Q,17,FALSE),0)</f>
        <v>4800</v>
      </c>
      <c r="G134" s="205">
        <f>IFERROR(VLOOKUP($A134,'Budget &amp; Revenue'!$A:$AA,13,FALSE)," ")</f>
        <v>0</v>
      </c>
      <c r="H134" s="205">
        <f>IFERROR(VLOOKUP($A134,'Budget &amp; Revenue'!$A:$AA,15,FALSE)," ")</f>
        <v>1</v>
      </c>
      <c r="I134" s="205">
        <f>IFERROR(VLOOKUP($A134,'Budget &amp; Revenue'!$A:$AA,17,FALSE)," ")</f>
        <v>1</v>
      </c>
      <c r="J134" s="205">
        <f>IFERROR(VLOOKUP($A134,'Budget &amp; Revenue'!$A:$AA,19,FALSE)," ")</f>
        <v>1</v>
      </c>
      <c r="K134" s="205">
        <f>IFERROR(VLOOKUP($A134,'Budget &amp; Revenue'!$A:$AA,21,FALSE)," ")</f>
        <v>1</v>
      </c>
      <c r="L134" s="205">
        <f>IFERROR(VLOOKUP($A134,'Budget &amp; Revenue'!$A:$AA,23,FALSE)," ")</f>
        <v>1</v>
      </c>
      <c r="M134" s="205">
        <f>IFERROR(VLOOKUP($A134,'Budget &amp; Revenue'!$A:$AA,25,FALSE)," ")</f>
        <v>1</v>
      </c>
      <c r="N134" s="205">
        <f>IFERROR(VLOOKUP($A134,'Budget &amp; Revenue'!$A:$AA,27,FALSE)," ")</f>
        <v>1</v>
      </c>
    </row>
    <row r="135" spans="1:14" ht="42.75" x14ac:dyDescent="0.65">
      <c r="A135" s="283">
        <v>134</v>
      </c>
      <c r="B135" s="284" t="str">
        <f>VLOOKUP(A135,Estimate!A:C,3,FALSE)</f>
        <v>Decommision existing Septic Tanks and associated pipework (excluding demolition of tanks - refer schedule A)</v>
      </c>
      <c r="C135" s="284">
        <f>IFERROR(VLOOKUP(A135,Estimate!A:L,12,FALSE),0)</f>
        <v>2</v>
      </c>
      <c r="D135" s="285">
        <v>133</v>
      </c>
      <c r="E135" s="285">
        <v>36</v>
      </c>
      <c r="F135" s="279">
        <f>IFERROR(VLOOKUP(A135,Estimate!A:Q,17,FALSE),0)</f>
        <v>4000</v>
      </c>
      <c r="G135" s="205">
        <f>IFERROR(VLOOKUP($A135,'Budget &amp; Revenue'!$A:$AA,13,FALSE)," ")</f>
        <v>0</v>
      </c>
      <c r="H135" s="205">
        <f>IFERROR(VLOOKUP($A135,'Budget &amp; Revenue'!$A:$AA,15,FALSE)," ")</f>
        <v>0</v>
      </c>
      <c r="I135" s="205">
        <f>IFERROR(VLOOKUP($A135,'Budget &amp; Revenue'!$A:$AA,17,FALSE)," ")</f>
        <v>1</v>
      </c>
      <c r="J135" s="205">
        <f>IFERROR(VLOOKUP($A135,'Budget &amp; Revenue'!$A:$AA,19,FALSE)," ")</f>
        <v>1</v>
      </c>
      <c r="K135" s="205">
        <f>IFERROR(VLOOKUP($A135,'Budget &amp; Revenue'!$A:$AA,21,FALSE)," ")</f>
        <v>1</v>
      </c>
      <c r="L135" s="205">
        <f>IFERROR(VLOOKUP($A135,'Budget &amp; Revenue'!$A:$AA,23,FALSE)," ")</f>
        <v>1</v>
      </c>
      <c r="M135" s="205">
        <f>IFERROR(VLOOKUP($A135,'Budget &amp; Revenue'!$A:$AA,25,FALSE)," ")</f>
        <v>1</v>
      </c>
      <c r="N135" s="205">
        <f>IFERROR(VLOOKUP($A135,'Budget &amp; Revenue'!$A:$AA,27,FALSE)," ")</f>
        <v>1</v>
      </c>
    </row>
    <row r="136" spans="1:14" x14ac:dyDescent="0.65">
      <c r="A136" s="283">
        <v>135</v>
      </c>
      <c r="B136" s="284" t="str">
        <f>VLOOKUP(A136,Estimate!A:C,3,FALSE)</f>
        <v>Sewerage Pump Station</v>
      </c>
      <c r="C136" s="284">
        <f>IFERROR(VLOOKUP(A136,Estimate!A:L,12,FALSE),0)</f>
        <v>0</v>
      </c>
      <c r="D136" s="285"/>
      <c r="E136" s="285"/>
      <c r="F136" s="279">
        <f>IFERROR(VLOOKUP(A136,Estimate!A:Q,17,FALSE),0)</f>
        <v>0</v>
      </c>
      <c r="G136" s="205" t="str">
        <f>IFERROR(VLOOKUP($A136,'Budget &amp; Revenue'!$A:$AA,13,FALSE)," ")</f>
        <v xml:space="preserve"> </v>
      </c>
      <c r="H136" s="205" t="str">
        <f>IFERROR(VLOOKUP($A136,'Budget &amp; Revenue'!$A:$AA,15,FALSE)," ")</f>
        <v xml:space="preserve"> </v>
      </c>
      <c r="I136" s="205" t="str">
        <f>IFERROR(VLOOKUP($A136,'Budget &amp; Revenue'!$A:$AA,17,FALSE)," ")</f>
        <v xml:space="preserve"> </v>
      </c>
      <c r="J136" s="205" t="str">
        <f>IFERROR(VLOOKUP($A136,'Budget &amp; Revenue'!$A:$AA,19,FALSE)," ")</f>
        <v xml:space="preserve"> </v>
      </c>
      <c r="K136" s="205" t="str">
        <f>IFERROR(VLOOKUP($A136,'Budget &amp; Revenue'!$A:$AA,21,FALSE)," ")</f>
        <v xml:space="preserve"> </v>
      </c>
      <c r="L136" s="205" t="str">
        <f>IFERROR(VLOOKUP($A136,'Budget &amp; Revenue'!$A:$AA,23,FALSE)," ")</f>
        <v xml:space="preserve"> </v>
      </c>
      <c r="M136" s="205" t="str">
        <f>IFERROR(VLOOKUP($A136,'Budget &amp; Revenue'!$A:$AA,25,FALSE)," ")</f>
        <v xml:space="preserve"> </v>
      </c>
      <c r="N136" s="205" t="str">
        <f>IFERROR(VLOOKUP($A136,'Budget &amp; Revenue'!$A:$AA,27,FALSE)," ")</f>
        <v xml:space="preserve"> </v>
      </c>
    </row>
    <row r="137" spans="1:14" ht="42.75" x14ac:dyDescent="0.65">
      <c r="A137" s="283">
        <v>136</v>
      </c>
      <c r="B137" s="284" t="str">
        <f>VLOOKUP(A137,Estimate!A:C,3,FALSE)</f>
        <v>Supply &amp; delivery of Proprietry PE Pump Station (incl pumps, pipework, electrical controls etc)</v>
      </c>
      <c r="C137" s="284">
        <f>IFERROR(VLOOKUP(A137,Estimate!A:L,12,FALSE),0)</f>
        <v>15</v>
      </c>
      <c r="D137" s="285" t="s">
        <v>1013</v>
      </c>
      <c r="E137" s="285">
        <v>137</v>
      </c>
      <c r="F137" s="279">
        <f>IFERROR(VLOOKUP(A137,Estimate!A:Q,17,FALSE),0)</f>
        <v>23520</v>
      </c>
      <c r="G137" s="205">
        <f>IFERROR(VLOOKUP($A137,'Budget &amp; Revenue'!$A:$AA,13,FALSE)," ")</f>
        <v>0</v>
      </c>
      <c r="H137" s="205">
        <f>IFERROR(VLOOKUP($A137,'Budget &amp; Revenue'!$A:$AA,15,FALSE)," ")</f>
        <v>1</v>
      </c>
      <c r="I137" s="205">
        <f>IFERROR(VLOOKUP($A137,'Budget &amp; Revenue'!$A:$AA,17,FALSE)," ")</f>
        <v>1</v>
      </c>
      <c r="J137" s="205">
        <f>IFERROR(VLOOKUP($A137,'Budget &amp; Revenue'!$A:$AA,19,FALSE)," ")</f>
        <v>1</v>
      </c>
      <c r="K137" s="205">
        <f>IFERROR(VLOOKUP($A137,'Budget &amp; Revenue'!$A:$AA,21,FALSE)," ")</f>
        <v>1</v>
      </c>
      <c r="L137" s="205">
        <f>IFERROR(VLOOKUP($A137,'Budget &amp; Revenue'!$A:$AA,23,FALSE)," ")</f>
        <v>1</v>
      </c>
      <c r="M137" s="205">
        <f>IFERROR(VLOOKUP($A137,'Budget &amp; Revenue'!$A:$AA,25,FALSE)," ")</f>
        <v>1</v>
      </c>
      <c r="N137" s="205">
        <f>IFERROR(VLOOKUP($A137,'Budget &amp; Revenue'!$A:$AA,27,FALSE)," ")</f>
        <v>1</v>
      </c>
    </row>
    <row r="138" spans="1:14" ht="28.5" x14ac:dyDescent="0.65">
      <c r="A138" s="283">
        <v>137</v>
      </c>
      <c r="B138" s="284" t="str">
        <f>VLOOKUP(A138,Estimate!A:C,3,FALSE)</f>
        <v>Installation of Sewerage Pump Station (including concrete ballast)</v>
      </c>
      <c r="C138" s="284">
        <f>IFERROR(VLOOKUP(A138,Estimate!A:L,12,FALSE),0)</f>
        <v>2</v>
      </c>
      <c r="D138" s="285">
        <v>136</v>
      </c>
      <c r="E138" s="285">
        <v>138</v>
      </c>
      <c r="F138" s="279">
        <f>IFERROR(VLOOKUP(A138,Estimate!A:Q,17,FALSE),0)</f>
        <v>4100</v>
      </c>
      <c r="G138" s="205">
        <f>IFERROR(VLOOKUP($A138,'Budget &amp; Revenue'!$A:$AA,13,FALSE)," ")</f>
        <v>0</v>
      </c>
      <c r="H138" s="205">
        <f>IFERROR(VLOOKUP($A138,'Budget &amp; Revenue'!$A:$AA,15,FALSE)," ")</f>
        <v>1</v>
      </c>
      <c r="I138" s="205">
        <f>IFERROR(VLOOKUP($A138,'Budget &amp; Revenue'!$A:$AA,17,FALSE)," ")</f>
        <v>1</v>
      </c>
      <c r="J138" s="205">
        <f>IFERROR(VLOOKUP($A138,'Budget &amp; Revenue'!$A:$AA,19,FALSE)," ")</f>
        <v>1</v>
      </c>
      <c r="K138" s="205">
        <f>IFERROR(VLOOKUP($A138,'Budget &amp; Revenue'!$A:$AA,21,FALSE)," ")</f>
        <v>1</v>
      </c>
      <c r="L138" s="205">
        <f>IFERROR(VLOOKUP($A138,'Budget &amp; Revenue'!$A:$AA,23,FALSE)," ")</f>
        <v>1</v>
      </c>
      <c r="M138" s="205">
        <f>IFERROR(VLOOKUP($A138,'Budget &amp; Revenue'!$A:$AA,25,FALSE)," ")</f>
        <v>1</v>
      </c>
      <c r="N138" s="205">
        <f>IFERROR(VLOOKUP($A138,'Budget &amp; Revenue'!$A:$AA,27,FALSE)," ")</f>
        <v>1</v>
      </c>
    </row>
    <row r="139" spans="1:14" x14ac:dyDescent="0.65">
      <c r="A139" s="283">
        <v>138</v>
      </c>
      <c r="B139" s="284" t="str">
        <f>VLOOKUP(A139,Estimate!A:C,3,FALSE)</f>
        <v>Connection of gravity sewer pipe</v>
      </c>
      <c r="C139" s="284">
        <f>IFERROR(VLOOKUP(A139,Estimate!A:L,12,FALSE),0)</f>
        <v>1</v>
      </c>
      <c r="D139" s="285">
        <v>137</v>
      </c>
      <c r="E139" s="285">
        <v>139</v>
      </c>
      <c r="F139" s="279">
        <f>IFERROR(VLOOKUP(A139,Estimate!A:Q,17,FALSE),0)</f>
        <v>2400</v>
      </c>
      <c r="G139" s="205">
        <f>IFERROR(VLOOKUP($A139,'Budget &amp; Revenue'!$A:$AA,13,FALSE)," ")</f>
        <v>0</v>
      </c>
      <c r="H139" s="205">
        <f>IFERROR(VLOOKUP($A139,'Budget &amp; Revenue'!$A:$AA,15,FALSE)," ")</f>
        <v>1</v>
      </c>
      <c r="I139" s="205">
        <f>IFERROR(VLOOKUP($A139,'Budget &amp; Revenue'!$A:$AA,17,FALSE)," ")</f>
        <v>1</v>
      </c>
      <c r="J139" s="205">
        <f>IFERROR(VLOOKUP($A139,'Budget &amp; Revenue'!$A:$AA,19,FALSE)," ")</f>
        <v>1</v>
      </c>
      <c r="K139" s="205">
        <f>IFERROR(VLOOKUP($A139,'Budget &amp; Revenue'!$A:$AA,21,FALSE)," ")</f>
        <v>1</v>
      </c>
      <c r="L139" s="205">
        <f>IFERROR(VLOOKUP($A139,'Budget &amp; Revenue'!$A:$AA,23,FALSE)," ")</f>
        <v>1</v>
      </c>
      <c r="M139" s="205">
        <f>IFERROR(VLOOKUP($A139,'Budget &amp; Revenue'!$A:$AA,25,FALSE)," ")</f>
        <v>1</v>
      </c>
      <c r="N139" s="205">
        <f>IFERROR(VLOOKUP($A139,'Budget &amp; Revenue'!$A:$AA,27,FALSE)," ")</f>
        <v>1</v>
      </c>
    </row>
    <row r="140" spans="1:14" x14ac:dyDescent="0.65">
      <c r="A140" s="283">
        <v>139</v>
      </c>
      <c r="B140" s="284" t="str">
        <f>VLOOKUP(A140,Estimate!A:C,3,FALSE)</f>
        <v>Supply and construction of DN50 vent</v>
      </c>
      <c r="C140" s="284">
        <f>IFERROR(VLOOKUP(A140,Estimate!A:L,12,FALSE),0)</f>
        <v>1</v>
      </c>
      <c r="D140" s="285">
        <v>138</v>
      </c>
      <c r="E140" s="285">
        <v>140</v>
      </c>
      <c r="F140" s="279">
        <f>IFERROR(VLOOKUP(A140,Estimate!A:Q,17,FALSE),0)</f>
        <v>1800</v>
      </c>
      <c r="G140" s="205">
        <f>IFERROR(VLOOKUP($A140,'Budget &amp; Revenue'!$A:$AA,13,FALSE)," ")</f>
        <v>0</v>
      </c>
      <c r="H140" s="205">
        <f>IFERROR(VLOOKUP($A140,'Budget &amp; Revenue'!$A:$AA,15,FALSE)," ")</f>
        <v>0</v>
      </c>
      <c r="I140" s="205">
        <f>IFERROR(VLOOKUP($A140,'Budget &amp; Revenue'!$A:$AA,17,FALSE)," ")</f>
        <v>0</v>
      </c>
      <c r="J140" s="205">
        <f>IFERROR(VLOOKUP($A140,'Budget &amp; Revenue'!$A:$AA,19,FALSE)," ")</f>
        <v>1</v>
      </c>
      <c r="K140" s="205">
        <f>IFERROR(VLOOKUP($A140,'Budget &amp; Revenue'!$A:$AA,21,FALSE)," ")</f>
        <v>1</v>
      </c>
      <c r="L140" s="205">
        <f>IFERROR(VLOOKUP($A140,'Budget &amp; Revenue'!$A:$AA,23,FALSE)," ")</f>
        <v>1</v>
      </c>
      <c r="M140" s="205">
        <f>IFERROR(VLOOKUP($A140,'Budget &amp; Revenue'!$A:$AA,25,FALSE)," ")</f>
        <v>1</v>
      </c>
      <c r="N140" s="205">
        <f>IFERROR(VLOOKUP($A140,'Budget &amp; Revenue'!$A:$AA,27,FALSE)," ")</f>
        <v>1</v>
      </c>
    </row>
    <row r="141" spans="1:14" ht="28.5" x14ac:dyDescent="0.65">
      <c r="A141" s="283">
        <v>140</v>
      </c>
      <c r="B141" s="284" t="str">
        <f>VLOOKUP(A141,Estimate!A:C,3,FALSE)</f>
        <v>Electrical connections from mains supply</v>
      </c>
      <c r="C141" s="284">
        <f>IFERROR(VLOOKUP(A141,Estimate!A:L,12,FALSE),0)</f>
        <v>7</v>
      </c>
      <c r="D141" s="285">
        <v>139</v>
      </c>
      <c r="E141" s="285">
        <v>141</v>
      </c>
      <c r="F141" s="279">
        <f>IFERROR(VLOOKUP(A141,Estimate!A:Q,17,FALSE),0)</f>
        <v>3600</v>
      </c>
      <c r="G141" s="205">
        <f>IFERROR(VLOOKUP($A141,'Budget &amp; Revenue'!$A:$AA,13,FALSE)," ")</f>
        <v>0</v>
      </c>
      <c r="H141" s="205">
        <f>IFERROR(VLOOKUP($A141,'Budget &amp; Revenue'!$A:$AA,15,FALSE)," ")</f>
        <v>1</v>
      </c>
      <c r="I141" s="205">
        <f>IFERROR(VLOOKUP($A141,'Budget &amp; Revenue'!$A:$AA,17,FALSE)," ")</f>
        <v>1</v>
      </c>
      <c r="J141" s="205">
        <f>IFERROR(VLOOKUP($A141,'Budget &amp; Revenue'!$A:$AA,19,FALSE)," ")</f>
        <v>1</v>
      </c>
      <c r="K141" s="205">
        <f>IFERROR(VLOOKUP($A141,'Budget &amp; Revenue'!$A:$AA,21,FALSE)," ")</f>
        <v>1</v>
      </c>
      <c r="L141" s="205">
        <f>IFERROR(VLOOKUP($A141,'Budget &amp; Revenue'!$A:$AA,23,FALSE)," ")</f>
        <v>1</v>
      </c>
      <c r="M141" s="205">
        <f>IFERROR(VLOOKUP($A141,'Budget &amp; Revenue'!$A:$AA,25,FALSE)," ")</f>
        <v>1</v>
      </c>
      <c r="N141" s="205">
        <f>IFERROR(VLOOKUP($A141,'Budget &amp; Revenue'!$A:$AA,27,FALSE)," ")</f>
        <v>1</v>
      </c>
    </row>
    <row r="142" spans="1:14" ht="28.5" x14ac:dyDescent="0.65">
      <c r="A142" s="283">
        <v>141</v>
      </c>
      <c r="B142" s="284" t="str">
        <f>VLOOKUP(A142,Estimate!A:C,3,FALSE)</f>
        <v>Commisioning Pump Station and electrical controls</v>
      </c>
      <c r="C142" s="284">
        <f>IFERROR(VLOOKUP(A142,Estimate!A:L,12,FALSE),0)</f>
        <v>1</v>
      </c>
      <c r="D142" s="285">
        <v>140</v>
      </c>
      <c r="E142" s="285">
        <v>128133151219</v>
      </c>
      <c r="F142" s="279">
        <f>IFERROR(VLOOKUP(A142,Estimate!A:Q,17,FALSE),0)</f>
        <v>2000</v>
      </c>
      <c r="G142" s="205">
        <f>IFERROR(VLOOKUP($A142,'Budget &amp; Revenue'!$A:$AA,13,FALSE)," ")</f>
        <v>0</v>
      </c>
      <c r="H142" s="205">
        <f>IFERROR(VLOOKUP($A142,'Budget &amp; Revenue'!$A:$AA,15,FALSE)," ")</f>
        <v>1</v>
      </c>
      <c r="I142" s="205">
        <f>IFERROR(VLOOKUP($A142,'Budget &amp; Revenue'!$A:$AA,17,FALSE)," ")</f>
        <v>1</v>
      </c>
      <c r="J142" s="205">
        <f>IFERROR(VLOOKUP($A142,'Budget &amp; Revenue'!$A:$AA,19,FALSE)," ")</f>
        <v>1</v>
      </c>
      <c r="K142" s="205">
        <f>IFERROR(VLOOKUP($A142,'Budget &amp; Revenue'!$A:$AA,21,FALSE)," ")</f>
        <v>1</v>
      </c>
      <c r="L142" s="205">
        <f>IFERROR(VLOOKUP($A142,'Budget &amp; Revenue'!$A:$AA,23,FALSE)," ")</f>
        <v>1</v>
      </c>
      <c r="M142" s="205">
        <f>IFERROR(VLOOKUP($A142,'Budget &amp; Revenue'!$A:$AA,25,FALSE)," ")</f>
        <v>1</v>
      </c>
      <c r="N142" s="205">
        <f>IFERROR(VLOOKUP($A142,'Budget &amp; Revenue'!$A:$AA,27,FALSE)," ")</f>
        <v>1</v>
      </c>
    </row>
    <row r="143" spans="1:14" x14ac:dyDescent="0.65">
      <c r="A143" s="283">
        <v>142</v>
      </c>
      <c r="B143" s="284" t="str">
        <f>VLOOKUP(A143,Estimate!A:C,3,FALSE)</f>
        <v>Rising Main</v>
      </c>
      <c r="C143" s="284">
        <f>IFERROR(VLOOKUP(A143,Estimate!A:L,12,FALSE),0)</f>
        <v>0</v>
      </c>
      <c r="D143" s="285"/>
      <c r="E143" s="285"/>
      <c r="F143" s="279">
        <f>IFERROR(VLOOKUP(A143,Estimate!A:Q,17,FALSE),0)</f>
        <v>0</v>
      </c>
      <c r="G143" s="205" t="str">
        <f>IFERROR(VLOOKUP($A143,'Budget &amp; Revenue'!$A:$AA,13,FALSE)," ")</f>
        <v xml:space="preserve"> </v>
      </c>
      <c r="H143" s="205" t="str">
        <f>IFERROR(VLOOKUP($A143,'Budget &amp; Revenue'!$A:$AA,15,FALSE)," ")</f>
        <v xml:space="preserve"> </v>
      </c>
      <c r="I143" s="205" t="str">
        <f>IFERROR(VLOOKUP($A143,'Budget &amp; Revenue'!$A:$AA,17,FALSE)," ")</f>
        <v xml:space="preserve"> </v>
      </c>
      <c r="J143" s="205" t="str">
        <f>IFERROR(VLOOKUP($A143,'Budget &amp; Revenue'!$A:$AA,19,FALSE)," ")</f>
        <v xml:space="preserve"> </v>
      </c>
      <c r="K143" s="205" t="str">
        <f>IFERROR(VLOOKUP($A143,'Budget &amp; Revenue'!$A:$AA,21,FALSE)," ")</f>
        <v xml:space="preserve"> </v>
      </c>
      <c r="L143" s="205" t="str">
        <f>IFERROR(VLOOKUP($A143,'Budget &amp; Revenue'!$A:$AA,23,FALSE)," ")</f>
        <v xml:space="preserve"> </v>
      </c>
      <c r="M143" s="205" t="str">
        <f>IFERROR(VLOOKUP($A143,'Budget &amp; Revenue'!$A:$AA,25,FALSE)," ")</f>
        <v xml:space="preserve"> </v>
      </c>
      <c r="N143" s="205" t="str">
        <f>IFERROR(VLOOKUP($A143,'Budget &amp; Revenue'!$A:$AA,27,FALSE)," ")</f>
        <v xml:space="preserve"> </v>
      </c>
    </row>
    <row r="144" spans="1:14" ht="57" x14ac:dyDescent="0.65">
      <c r="A144" s="283">
        <v>143</v>
      </c>
      <c r="B144" s="284" t="str">
        <f>VLOOKUP(A144,Estimate!A:C,3,FALSE)</f>
        <v>Supply and construction of DN32 PE rising main (40OD PE100 PN16) incl 3 No. tees, ball vavles, pits for future STP connection</v>
      </c>
      <c r="C144" s="284">
        <f>IFERROR(VLOOKUP(A144,Estimate!A:L,12,FALSE),0)</f>
        <v>2</v>
      </c>
      <c r="D144" s="285">
        <v>127</v>
      </c>
      <c r="E144" s="285" t="s">
        <v>1788</v>
      </c>
      <c r="F144" s="279">
        <f>IFERROR(VLOOKUP(A144,Estimate!A:Q,17,FALSE),0)</f>
        <v>14326.4</v>
      </c>
      <c r="G144" s="205">
        <f>IFERROR(VLOOKUP($A144,'Budget &amp; Revenue'!$A:$AA,13,FALSE)," ")</f>
        <v>0.44186046511627908</v>
      </c>
      <c r="H144" s="205">
        <f>IFERROR(VLOOKUP($A144,'Budget &amp; Revenue'!$A:$AA,15,FALSE)," ")</f>
        <v>1</v>
      </c>
      <c r="I144" s="205">
        <f>IFERROR(VLOOKUP($A144,'Budget &amp; Revenue'!$A:$AA,17,FALSE)," ")</f>
        <v>1</v>
      </c>
      <c r="J144" s="205">
        <f>IFERROR(VLOOKUP($A144,'Budget &amp; Revenue'!$A:$AA,19,FALSE)," ")</f>
        <v>1</v>
      </c>
      <c r="K144" s="205">
        <f>IFERROR(VLOOKUP($A144,'Budget &amp; Revenue'!$A:$AA,21,FALSE)," ")</f>
        <v>1</v>
      </c>
      <c r="L144" s="205">
        <f>IFERROR(VLOOKUP($A144,'Budget &amp; Revenue'!$A:$AA,23,FALSE)," ")</f>
        <v>1</v>
      </c>
      <c r="M144" s="205">
        <f>IFERROR(VLOOKUP($A144,'Budget &amp; Revenue'!$A:$AA,25,FALSE)," ")</f>
        <v>1</v>
      </c>
      <c r="N144" s="205">
        <f>IFERROR(VLOOKUP($A144,'Budget &amp; Revenue'!$A:$AA,27,FALSE)," ")</f>
        <v>1</v>
      </c>
    </row>
    <row r="145" spans="1:14" ht="28.5" x14ac:dyDescent="0.65">
      <c r="A145" s="283">
        <v>144</v>
      </c>
      <c r="B145" s="284" t="str">
        <f>VLOOKUP(A145,Estimate!A:C,3,FALSE)</f>
        <v>Connection to new wet weather storage tanks</v>
      </c>
      <c r="C145" s="284">
        <f>IFERROR(VLOOKUP(A145,Estimate!A:L,12,FALSE),0)</f>
        <v>1</v>
      </c>
      <c r="D145" s="285">
        <v>143</v>
      </c>
      <c r="E145" s="285">
        <v>133213</v>
      </c>
      <c r="F145" s="279">
        <f>IFERROR(VLOOKUP(A145,Estimate!A:Q,17,FALSE),0)</f>
        <v>1500</v>
      </c>
      <c r="G145" s="205">
        <f>IFERROR(VLOOKUP($A145,'Budget &amp; Revenue'!$A:$AA,13,FALSE)," ")</f>
        <v>0</v>
      </c>
      <c r="H145" s="205">
        <f>IFERROR(VLOOKUP($A145,'Budget &amp; Revenue'!$A:$AA,15,FALSE)," ")</f>
        <v>1</v>
      </c>
      <c r="I145" s="205">
        <f>IFERROR(VLOOKUP($A145,'Budget &amp; Revenue'!$A:$AA,17,FALSE)," ")</f>
        <v>1</v>
      </c>
      <c r="J145" s="205">
        <f>IFERROR(VLOOKUP($A145,'Budget &amp; Revenue'!$A:$AA,19,FALSE)," ")</f>
        <v>1</v>
      </c>
      <c r="K145" s="205">
        <f>IFERROR(VLOOKUP($A145,'Budget &amp; Revenue'!$A:$AA,21,FALSE)," ")</f>
        <v>1</v>
      </c>
      <c r="L145" s="205">
        <f>IFERROR(VLOOKUP($A145,'Budget &amp; Revenue'!$A:$AA,23,FALSE)," ")</f>
        <v>1</v>
      </c>
      <c r="M145" s="205">
        <f>IFERROR(VLOOKUP($A145,'Budget &amp; Revenue'!$A:$AA,25,FALSE)," ")</f>
        <v>1</v>
      </c>
      <c r="N145" s="205">
        <f>IFERROR(VLOOKUP($A145,'Budget &amp; Revenue'!$A:$AA,27,FALSE)," ")</f>
        <v>1</v>
      </c>
    </row>
    <row r="146" spans="1:14" x14ac:dyDescent="0.65">
      <c r="A146" s="283">
        <v>145</v>
      </c>
      <c r="B146" s="284" t="str">
        <f>VLOOKUP(A146,Estimate!A:C,3,FALSE)</f>
        <v>Water Supply</v>
      </c>
      <c r="C146" s="284">
        <f>IFERROR(VLOOKUP(A146,Estimate!A:L,12,FALSE),0)</f>
        <v>0</v>
      </c>
      <c r="D146" s="285"/>
      <c r="E146" s="285"/>
      <c r="F146" s="279">
        <f>IFERROR(VLOOKUP(A146,Estimate!A:Q,17,FALSE),0)</f>
        <v>0</v>
      </c>
      <c r="G146" s="205" t="str">
        <f>IFERROR(VLOOKUP($A146,'Budget &amp; Revenue'!$A:$AA,13,FALSE)," ")</f>
        <v xml:space="preserve"> </v>
      </c>
      <c r="H146" s="205" t="str">
        <f>IFERROR(VLOOKUP($A146,'Budget &amp; Revenue'!$A:$AA,15,FALSE)," ")</f>
        <v xml:space="preserve"> </v>
      </c>
      <c r="I146" s="205" t="str">
        <f>IFERROR(VLOOKUP($A146,'Budget &amp; Revenue'!$A:$AA,17,FALSE)," ")</f>
        <v xml:space="preserve"> </v>
      </c>
      <c r="J146" s="205" t="str">
        <f>IFERROR(VLOOKUP($A146,'Budget &amp; Revenue'!$A:$AA,19,FALSE)," ")</f>
        <v xml:space="preserve"> </v>
      </c>
      <c r="K146" s="205" t="str">
        <f>IFERROR(VLOOKUP($A146,'Budget &amp; Revenue'!$A:$AA,21,FALSE)," ")</f>
        <v xml:space="preserve"> </v>
      </c>
      <c r="L146" s="205" t="str">
        <f>IFERROR(VLOOKUP($A146,'Budget &amp; Revenue'!$A:$AA,23,FALSE)," ")</f>
        <v xml:space="preserve"> </v>
      </c>
      <c r="M146" s="205" t="str">
        <f>IFERROR(VLOOKUP($A146,'Budget &amp; Revenue'!$A:$AA,25,FALSE)," ")</f>
        <v xml:space="preserve"> </v>
      </c>
      <c r="N146" s="205" t="str">
        <f>IFERROR(VLOOKUP($A146,'Budget &amp; Revenue'!$A:$AA,27,FALSE)," ")</f>
        <v xml:space="preserve"> </v>
      </c>
    </row>
    <row r="147" spans="1:14" ht="42.75" x14ac:dyDescent="0.65">
      <c r="A147" s="283">
        <v>146</v>
      </c>
      <c r="B147" s="284" t="str">
        <f>VLOOKUP(A147,Estimate!A:C,3,FALSE)</f>
        <v>Supply and construction of DN32 PE water supply main (40OD PE100 PN16) to  carpark hosecocks.</v>
      </c>
      <c r="C147" s="284">
        <f>IFERROR(VLOOKUP(A147,Estimate!A:L,12,FALSE),0)</f>
        <v>1</v>
      </c>
      <c r="D147" s="285">
        <v>38</v>
      </c>
      <c r="E147" s="285">
        <v>149</v>
      </c>
      <c r="F147" s="279">
        <f>IFERROR(VLOOKUP(A147,Estimate!A:Q,17,FALSE),0)</f>
        <v>13992.594880000001</v>
      </c>
      <c r="G147" s="205">
        <f>IFERROR(VLOOKUP($A147,'Budget &amp; Revenue'!$A:$AA,13,FALSE)," ")</f>
        <v>0.61904761904761907</v>
      </c>
      <c r="H147" s="205">
        <f>IFERROR(VLOOKUP($A147,'Budget &amp; Revenue'!$A:$AA,15,FALSE)," ")</f>
        <v>1</v>
      </c>
      <c r="I147" s="205">
        <f>IFERROR(VLOOKUP($A147,'Budget &amp; Revenue'!$A:$AA,17,FALSE)," ")</f>
        <v>1</v>
      </c>
      <c r="J147" s="205">
        <f>IFERROR(VLOOKUP($A147,'Budget &amp; Revenue'!$A:$AA,19,FALSE)," ")</f>
        <v>1</v>
      </c>
      <c r="K147" s="205">
        <f>IFERROR(VLOOKUP($A147,'Budget &amp; Revenue'!$A:$AA,21,FALSE)," ")</f>
        <v>1</v>
      </c>
      <c r="L147" s="205">
        <f>IFERROR(VLOOKUP($A147,'Budget &amp; Revenue'!$A:$AA,23,FALSE)," ")</f>
        <v>1</v>
      </c>
      <c r="M147" s="205">
        <f>IFERROR(VLOOKUP($A147,'Budget &amp; Revenue'!$A:$AA,25,FALSE)," ")</f>
        <v>1</v>
      </c>
      <c r="N147" s="205">
        <f>IFERROR(VLOOKUP($A147,'Budget &amp; Revenue'!$A:$AA,27,FALSE)," ")</f>
        <v>1</v>
      </c>
    </row>
    <row r="148" spans="1:14" ht="28.5" x14ac:dyDescent="0.65">
      <c r="A148" s="283">
        <v>147</v>
      </c>
      <c r="B148" s="284" t="str">
        <f>VLOOKUP(A148,Estimate!A:C,3,FALSE)</f>
        <v>Supply and installation of DN32 RPZD in enclosure complete</v>
      </c>
      <c r="C148" s="284">
        <f>IFERROR(VLOOKUP(A148,Estimate!A:L,12,FALSE),0)</f>
        <v>1</v>
      </c>
      <c r="D148" s="285">
        <v>76</v>
      </c>
      <c r="E148" s="285">
        <v>148</v>
      </c>
      <c r="F148" s="279">
        <f>IFERROR(VLOOKUP(A148,Estimate!A:Q,17,FALSE),0)</f>
        <v>2074.4</v>
      </c>
      <c r="G148" s="205">
        <f>IFERROR(VLOOKUP($A148,'Budget &amp; Revenue'!$A:$AA,13,FALSE)," ")</f>
        <v>0</v>
      </c>
      <c r="H148" s="205">
        <f>IFERROR(VLOOKUP($A148,'Budget &amp; Revenue'!$A:$AA,15,FALSE)," ")</f>
        <v>0</v>
      </c>
      <c r="I148" s="205">
        <f>IFERROR(VLOOKUP($A148,'Budget &amp; Revenue'!$A:$AA,17,FALSE)," ")</f>
        <v>0</v>
      </c>
      <c r="J148" s="205">
        <f>IFERROR(VLOOKUP($A148,'Budget &amp; Revenue'!$A:$AA,19,FALSE)," ")</f>
        <v>1</v>
      </c>
      <c r="K148" s="205">
        <f>IFERROR(VLOOKUP($A148,'Budget &amp; Revenue'!$A:$AA,21,FALSE)," ")</f>
        <v>1</v>
      </c>
      <c r="L148" s="205">
        <f>IFERROR(VLOOKUP($A148,'Budget &amp; Revenue'!$A:$AA,23,FALSE)," ")</f>
        <v>1</v>
      </c>
      <c r="M148" s="205">
        <f>IFERROR(VLOOKUP($A148,'Budget &amp; Revenue'!$A:$AA,25,FALSE)," ")</f>
        <v>1</v>
      </c>
      <c r="N148" s="205">
        <f>IFERROR(VLOOKUP($A148,'Budget &amp; Revenue'!$A:$AA,27,FALSE)," ")</f>
        <v>1</v>
      </c>
    </row>
    <row r="149" spans="1:14" ht="57" x14ac:dyDescent="0.65">
      <c r="A149" s="283">
        <v>148</v>
      </c>
      <c r="B149" s="284" t="str">
        <f>VLOOKUP(A149,Estimate!A:C,3,FALSE)</f>
        <v>Supply, installation &amp; connection of hosecocks to carwash Service Pillars complete (excluding pillars, refer Schedule A, 6.11)</v>
      </c>
      <c r="C149" s="284">
        <f>IFERROR(VLOOKUP(A149,Estimate!A:L,12,FALSE),0)</f>
        <v>1</v>
      </c>
      <c r="D149" s="285">
        <v>147</v>
      </c>
      <c r="E149" s="285">
        <v>2</v>
      </c>
      <c r="F149" s="279">
        <f>IFERROR(VLOOKUP(A149,Estimate!A:Q,17,FALSE),0)</f>
        <v>735</v>
      </c>
      <c r="G149" s="205">
        <f>IFERROR(VLOOKUP($A149,'Budget &amp; Revenue'!$A:$AA,13,FALSE)," ")</f>
        <v>0</v>
      </c>
      <c r="H149" s="205">
        <f>IFERROR(VLOOKUP($A149,'Budget &amp; Revenue'!$A:$AA,15,FALSE)," ")</f>
        <v>0</v>
      </c>
      <c r="I149" s="205">
        <f>IFERROR(VLOOKUP($A149,'Budget &amp; Revenue'!$A:$AA,17,FALSE)," ")</f>
        <v>0</v>
      </c>
      <c r="J149" s="205">
        <f>IFERROR(VLOOKUP($A149,'Budget &amp; Revenue'!$A:$AA,19,FALSE)," ")</f>
        <v>1</v>
      </c>
      <c r="K149" s="205">
        <f>IFERROR(VLOOKUP($A149,'Budget &amp; Revenue'!$A:$AA,21,FALSE)," ")</f>
        <v>1</v>
      </c>
      <c r="L149" s="205">
        <f>IFERROR(VLOOKUP($A149,'Budget &amp; Revenue'!$A:$AA,23,FALSE)," ")</f>
        <v>1</v>
      </c>
      <c r="M149" s="205">
        <f>IFERROR(VLOOKUP($A149,'Budget &amp; Revenue'!$A:$AA,25,FALSE)," ")</f>
        <v>1</v>
      </c>
      <c r="N149" s="205">
        <f>IFERROR(VLOOKUP($A149,'Budget &amp; Revenue'!$A:$AA,27,FALSE)," ")</f>
        <v>1</v>
      </c>
    </row>
    <row r="150" spans="1:14" ht="28.5" x14ac:dyDescent="0.65">
      <c r="A150" s="283">
        <v>149</v>
      </c>
      <c r="B150" s="284" t="str">
        <f>VLOOKUP(A150,Estimate!A:C,3,FALSE)</f>
        <v>Supply and construct DN25 water supply main (32OD PE100 PN16) to STP</v>
      </c>
      <c r="C150" s="284">
        <f>IFERROR(VLOOKUP(A150,Estimate!A:L,12,FALSE),0)</f>
        <v>2</v>
      </c>
      <c r="D150" s="285">
        <v>146</v>
      </c>
      <c r="E150" s="285">
        <v>41</v>
      </c>
      <c r="F150" s="279">
        <f>IFERROR(VLOOKUP(A150,Estimate!A:Q,17,FALSE),0)</f>
        <v>4822.6483200000002</v>
      </c>
      <c r="G150" s="205">
        <f>IFERROR(VLOOKUP($A150,'Budget &amp; Revenue'!$A:$AA,13,FALSE)," ")</f>
        <v>0</v>
      </c>
      <c r="H150" s="205">
        <f>IFERROR(VLOOKUP($A150,'Budget &amp; Revenue'!$A:$AA,15,FALSE)," ")</f>
        <v>1</v>
      </c>
      <c r="I150" s="205">
        <f>IFERROR(VLOOKUP($A150,'Budget &amp; Revenue'!$A:$AA,17,FALSE)," ")</f>
        <v>1</v>
      </c>
      <c r="J150" s="205">
        <f>IFERROR(VLOOKUP($A150,'Budget &amp; Revenue'!$A:$AA,19,FALSE)," ")</f>
        <v>1</v>
      </c>
      <c r="K150" s="205">
        <f>IFERROR(VLOOKUP($A150,'Budget &amp; Revenue'!$A:$AA,21,FALSE)," ")</f>
        <v>1</v>
      </c>
      <c r="L150" s="205">
        <f>IFERROR(VLOOKUP($A150,'Budget &amp; Revenue'!$A:$AA,23,FALSE)," ")</f>
        <v>1</v>
      </c>
      <c r="M150" s="205">
        <f>IFERROR(VLOOKUP($A150,'Budget &amp; Revenue'!$A:$AA,25,FALSE)," ")</f>
        <v>1</v>
      </c>
      <c r="N150" s="205">
        <f>IFERROR(VLOOKUP($A150,'Budget &amp; Revenue'!$A:$AA,27,FALSE)," ")</f>
        <v>1</v>
      </c>
    </row>
    <row r="151" spans="1:14" x14ac:dyDescent="0.65">
      <c r="A151" s="283">
        <v>150</v>
      </c>
      <c r="B151" s="284" t="str">
        <f>VLOOKUP(A151,Estimate!A:C,3,FALSE)</f>
        <v>Miscellaneous</v>
      </c>
      <c r="C151" s="284">
        <f>IFERROR(VLOOKUP(A151,Estimate!A:L,12,FALSE),0)</f>
        <v>0</v>
      </c>
      <c r="D151" s="285"/>
      <c r="E151" s="285"/>
      <c r="F151" s="279">
        <f>IFERROR(VLOOKUP(A151,Estimate!A:Q,17,FALSE),0)</f>
        <v>0</v>
      </c>
      <c r="G151" s="205" t="str">
        <f>IFERROR(VLOOKUP($A151,'Budget &amp; Revenue'!$A:$AA,13,FALSE)," ")</f>
        <v xml:space="preserve"> </v>
      </c>
      <c r="H151" s="205" t="str">
        <f>IFERROR(VLOOKUP($A151,'Budget &amp; Revenue'!$A:$AA,15,FALSE)," ")</f>
        <v xml:space="preserve"> </v>
      </c>
      <c r="I151" s="205" t="str">
        <f>IFERROR(VLOOKUP($A151,'Budget &amp; Revenue'!$A:$AA,17,FALSE)," ")</f>
        <v xml:space="preserve"> </v>
      </c>
      <c r="J151" s="205" t="str">
        <f>IFERROR(VLOOKUP($A151,'Budget &amp; Revenue'!$A:$AA,19,FALSE)," ")</f>
        <v xml:space="preserve"> </v>
      </c>
      <c r="K151" s="205" t="str">
        <f>IFERROR(VLOOKUP($A151,'Budget &amp; Revenue'!$A:$AA,21,FALSE)," ")</f>
        <v xml:space="preserve"> </v>
      </c>
      <c r="L151" s="205" t="str">
        <f>IFERROR(VLOOKUP($A151,'Budget &amp; Revenue'!$A:$AA,23,FALSE)," ")</f>
        <v xml:space="preserve"> </v>
      </c>
      <c r="M151" s="205" t="str">
        <f>IFERROR(VLOOKUP($A151,'Budget &amp; Revenue'!$A:$AA,25,FALSE)," ")</f>
        <v xml:space="preserve"> </v>
      </c>
      <c r="N151" s="205" t="str">
        <f>IFERROR(VLOOKUP($A151,'Budget &amp; Revenue'!$A:$AA,27,FALSE)," ")</f>
        <v xml:space="preserve"> </v>
      </c>
    </row>
    <row r="152" spans="1:14" x14ac:dyDescent="0.65">
      <c r="A152" s="283">
        <v>151</v>
      </c>
      <c r="B152" s="284" t="str">
        <f>VLOOKUP(A152,Estimate!A:C,3,FALSE)</f>
        <v>Gate to STP Access</v>
      </c>
      <c r="C152" s="284">
        <f>IFERROR(VLOOKUP(A152,Estimate!A:L,12,FALSE),0)</f>
        <v>10.506600000000001</v>
      </c>
      <c r="D152" s="285">
        <v>141</v>
      </c>
      <c r="E152" s="285"/>
      <c r="F152" s="279">
        <f>IFERROR(VLOOKUP(A152,Estimate!A:Q,17,FALSE),0)</f>
        <v>1500.1089999999999</v>
      </c>
      <c r="G152" s="205">
        <f>IFERROR(VLOOKUP($A152,'Budget &amp; Revenue'!$A:$AA,13,FALSE)," ")</f>
        <v>0</v>
      </c>
      <c r="H152" s="205">
        <f>IFERROR(VLOOKUP($A152,'Budget &amp; Revenue'!$A:$AA,15,FALSE)," ")</f>
        <v>0</v>
      </c>
      <c r="I152" s="205">
        <f>IFERROR(VLOOKUP($A152,'Budget &amp; Revenue'!$A:$AA,17,FALSE)," ")</f>
        <v>0</v>
      </c>
      <c r="J152" s="205">
        <f>IFERROR(VLOOKUP($A152,'Budget &amp; Revenue'!$A:$AA,19,FALSE)," ")</f>
        <v>0</v>
      </c>
      <c r="K152" s="205">
        <f>IFERROR(VLOOKUP($A152,'Budget &amp; Revenue'!$A:$AA,21,FALSE)," ")</f>
        <v>0</v>
      </c>
      <c r="L152" s="205">
        <f>IFERROR(VLOOKUP($A152,'Budget &amp; Revenue'!$A:$AA,23,FALSE)," ")</f>
        <v>0</v>
      </c>
      <c r="M152" s="205">
        <f>IFERROR(VLOOKUP($A152,'Budget &amp; Revenue'!$A:$AA,25,FALSE)," ")</f>
        <v>1</v>
      </c>
      <c r="N152" s="205">
        <f>IFERROR(VLOOKUP($A152,'Budget &amp; Revenue'!$A:$AA,27,FALSE)," ")</f>
        <v>1</v>
      </c>
    </row>
    <row r="153" spans="1:14" ht="28.5" x14ac:dyDescent="0.65">
      <c r="A153" s="283">
        <v>152</v>
      </c>
      <c r="B153" s="284" t="str">
        <f>VLOOKUP(A153,Estimate!A:C,3,FALSE)</f>
        <v>PROJECT OVERHEADS (TO BE SPREAD ACROSS ABOVE ITEMS)</v>
      </c>
      <c r="C153" s="284">
        <f>IFERROR(VLOOKUP(A153,Estimate!A:L,12,FALSE),0)</f>
        <v>0</v>
      </c>
      <c r="D153" s="285"/>
      <c r="E153" s="285"/>
      <c r="F153" s="279">
        <f>IFERROR(VLOOKUP(A153,Estimate!A:Q,17,FALSE),0)</f>
        <v>0</v>
      </c>
      <c r="G153" s="205" t="str">
        <f>IFERROR(VLOOKUP($A153,'Budget &amp; Revenue'!$A:$AA,13,FALSE)," ")</f>
        <v xml:space="preserve"> </v>
      </c>
      <c r="H153" s="205" t="str">
        <f>IFERROR(VLOOKUP($A153,'Budget &amp; Revenue'!$A:$AA,15,FALSE)," ")</f>
        <v xml:space="preserve"> </v>
      </c>
      <c r="I153" s="205" t="str">
        <f>IFERROR(VLOOKUP($A153,'Budget &amp; Revenue'!$A:$AA,17,FALSE)," ")</f>
        <v xml:space="preserve"> </v>
      </c>
      <c r="J153" s="205" t="str">
        <f>IFERROR(VLOOKUP($A153,'Budget &amp; Revenue'!$A:$AA,19,FALSE)," ")</f>
        <v xml:space="preserve"> </v>
      </c>
      <c r="K153" s="205" t="str">
        <f>IFERROR(VLOOKUP($A153,'Budget &amp; Revenue'!$A:$AA,21,FALSE)," ")</f>
        <v xml:space="preserve"> </v>
      </c>
      <c r="L153" s="205" t="str">
        <f>IFERROR(VLOOKUP($A153,'Budget &amp; Revenue'!$A:$AA,23,FALSE)," ")</f>
        <v xml:space="preserve"> </v>
      </c>
      <c r="M153" s="205" t="str">
        <f>IFERROR(VLOOKUP($A153,'Budget &amp; Revenue'!$A:$AA,25,FALSE)," ")</f>
        <v xml:space="preserve"> </v>
      </c>
      <c r="N153" s="205" t="str">
        <f>IFERROR(VLOOKUP($A153,'Budget &amp; Revenue'!$A:$AA,27,FALSE)," ")</f>
        <v xml:space="preserve"> </v>
      </c>
    </row>
    <row r="154" spans="1:14" x14ac:dyDescent="0.65">
      <c r="A154" s="283">
        <v>153</v>
      </c>
      <c r="B154" s="284" t="str">
        <f>VLOOKUP(A154,Estimate!A:C,3,FALSE)</f>
        <v>Project Supervision</v>
      </c>
      <c r="C154" s="284">
        <f>IFERROR(VLOOKUP(A154,Estimate!A:L,12,FALSE),0)</f>
        <v>0</v>
      </c>
      <c r="D154" s="285"/>
      <c r="E154" s="285"/>
      <c r="F154" s="279">
        <f>IFERROR(VLOOKUP(A154,Estimate!A:Q,17,FALSE),0)</f>
        <v>33500</v>
      </c>
      <c r="G154" s="205" t="str">
        <f>IFERROR(VLOOKUP($A154,'Budget &amp; Revenue'!$A:$AA,13,FALSE)," ")</f>
        <v xml:space="preserve"> </v>
      </c>
      <c r="H154" s="205" t="str">
        <f>IFERROR(VLOOKUP($A154,'Budget &amp; Revenue'!$A:$AA,15,FALSE)," ")</f>
        <v xml:space="preserve"> </v>
      </c>
      <c r="I154" s="205" t="str">
        <f>IFERROR(VLOOKUP($A154,'Budget &amp; Revenue'!$A:$AA,17,FALSE)," ")</f>
        <v xml:space="preserve"> </v>
      </c>
      <c r="J154" s="205" t="str">
        <f>IFERROR(VLOOKUP($A154,'Budget &amp; Revenue'!$A:$AA,19,FALSE)," ")</f>
        <v xml:space="preserve"> </v>
      </c>
      <c r="K154" s="205" t="str">
        <f>IFERROR(VLOOKUP($A154,'Budget &amp; Revenue'!$A:$AA,21,FALSE)," ")</f>
        <v xml:space="preserve"> </v>
      </c>
      <c r="L154" s="205" t="str">
        <f>IFERROR(VLOOKUP($A154,'Budget &amp; Revenue'!$A:$AA,23,FALSE)," ")</f>
        <v xml:space="preserve"> </v>
      </c>
      <c r="M154" s="205" t="str">
        <f>IFERROR(VLOOKUP($A154,'Budget &amp; Revenue'!$A:$AA,25,FALSE)," ")</f>
        <v xml:space="preserve"> </v>
      </c>
      <c r="N154" s="205" t="str">
        <f>IFERROR(VLOOKUP($A154,'Budget &amp; Revenue'!$A:$AA,27,FALSE)," ")</f>
        <v xml:space="preserve"> </v>
      </c>
    </row>
    <row r="155" spans="1:14" x14ac:dyDescent="0.65">
      <c r="A155" s="283">
        <v>154</v>
      </c>
      <c r="B155" s="284" t="str">
        <f>VLOOKUP(A155,Estimate!A:C,3,FALSE)</f>
        <v>Project Engineer</v>
      </c>
      <c r="C155" s="284">
        <f>IFERROR(VLOOKUP(A155,Estimate!A:L,12,FALSE),0)</f>
        <v>0</v>
      </c>
      <c r="D155" s="285"/>
      <c r="E155" s="285"/>
      <c r="F155" s="279">
        <f>IFERROR(VLOOKUP(A155,Estimate!A:Q,17,FALSE),0)</f>
        <v>19500</v>
      </c>
      <c r="G155" s="205" t="str">
        <f>IFERROR(VLOOKUP($A155,'Budget &amp; Revenue'!$A:$AA,13,FALSE)," ")</f>
        <v xml:space="preserve"> </v>
      </c>
      <c r="H155" s="205" t="str">
        <f>IFERROR(VLOOKUP($A155,'Budget &amp; Revenue'!$A:$AA,15,FALSE)," ")</f>
        <v xml:space="preserve"> </v>
      </c>
      <c r="I155" s="205" t="str">
        <f>IFERROR(VLOOKUP($A155,'Budget &amp; Revenue'!$A:$AA,17,FALSE)," ")</f>
        <v xml:space="preserve"> </v>
      </c>
      <c r="J155" s="205" t="str">
        <f>IFERROR(VLOOKUP($A155,'Budget &amp; Revenue'!$A:$AA,19,FALSE)," ")</f>
        <v xml:space="preserve"> </v>
      </c>
      <c r="K155" s="205" t="str">
        <f>IFERROR(VLOOKUP($A155,'Budget &amp; Revenue'!$A:$AA,21,FALSE)," ")</f>
        <v xml:space="preserve"> </v>
      </c>
      <c r="L155" s="205" t="str">
        <f>IFERROR(VLOOKUP($A155,'Budget &amp; Revenue'!$A:$AA,23,FALSE)," ")</f>
        <v xml:space="preserve"> </v>
      </c>
      <c r="M155" s="205" t="str">
        <f>IFERROR(VLOOKUP($A155,'Budget &amp; Revenue'!$A:$AA,25,FALSE)," ")</f>
        <v xml:space="preserve"> </v>
      </c>
      <c r="N155" s="205" t="str">
        <f>IFERROR(VLOOKUP($A155,'Budget &amp; Revenue'!$A:$AA,27,FALSE)," ")</f>
        <v xml:space="preserve"> </v>
      </c>
    </row>
    <row r="156" spans="1:14" x14ac:dyDescent="0.65">
      <c r="A156" s="283">
        <v>155</v>
      </c>
      <c r="B156" s="284" t="str">
        <f>VLOOKUP(A156,Estimate!A:C,3,FALSE)</f>
        <v>Resource Balance</v>
      </c>
      <c r="C156" s="284">
        <f>IFERROR(VLOOKUP(A156,Estimate!A:L,12,FALSE),0)</f>
        <v>0</v>
      </c>
      <c r="D156" s="285"/>
      <c r="E156" s="285"/>
      <c r="F156" s="279">
        <f>IFERROR(VLOOKUP(A156,Estimate!A:Q,17,FALSE),0)</f>
        <v>26240</v>
      </c>
      <c r="G156" s="205" t="str">
        <f>IFERROR(VLOOKUP($A156,'Budget &amp; Revenue'!$A:$AA,13,FALSE)," ")</f>
        <v xml:space="preserve"> </v>
      </c>
      <c r="H156" s="205" t="str">
        <f>IFERROR(VLOOKUP($A156,'Budget &amp; Revenue'!$A:$AA,15,FALSE)," ")</f>
        <v xml:space="preserve"> </v>
      </c>
      <c r="I156" s="205" t="str">
        <f>IFERROR(VLOOKUP($A156,'Budget &amp; Revenue'!$A:$AA,17,FALSE)," ")</f>
        <v xml:space="preserve"> </v>
      </c>
      <c r="J156" s="205" t="str">
        <f>IFERROR(VLOOKUP($A156,'Budget &amp; Revenue'!$A:$AA,19,FALSE)," ")</f>
        <v xml:space="preserve"> </v>
      </c>
      <c r="K156" s="205" t="str">
        <f>IFERROR(VLOOKUP($A156,'Budget &amp; Revenue'!$A:$AA,21,FALSE)," ")</f>
        <v xml:space="preserve"> </v>
      </c>
      <c r="L156" s="205" t="str">
        <f>IFERROR(VLOOKUP($A156,'Budget &amp; Revenue'!$A:$AA,23,FALSE)," ")</f>
        <v xml:space="preserve"> </v>
      </c>
      <c r="M156" s="205" t="str">
        <f>IFERROR(VLOOKUP($A156,'Budget &amp; Revenue'!$A:$AA,25,FALSE)," ")</f>
        <v xml:space="preserve"> </v>
      </c>
      <c r="N156" s="205" t="str">
        <f>IFERROR(VLOOKUP($A156,'Budget &amp; Revenue'!$A:$AA,27,FALSE)," ")</f>
        <v xml:space="preserve"> </v>
      </c>
    </row>
    <row r="157" spans="1:14" x14ac:dyDescent="0.65">
      <c r="A157" s="283">
        <v>156</v>
      </c>
      <c r="B157" s="284" t="str">
        <f>VLOOKUP(A157,Estimate!A:C,3,FALSE)</f>
        <v>Dual Grade Laser</v>
      </c>
      <c r="C157" s="284">
        <f>IFERROR(VLOOKUP(A157,Estimate!A:L,12,FALSE),0)</f>
        <v>0</v>
      </c>
      <c r="D157" s="285"/>
      <c r="E157" s="285"/>
      <c r="F157" s="279">
        <f>IFERROR(VLOOKUP(A157,Estimate!A:Q,17,FALSE),0)</f>
        <v>3324</v>
      </c>
      <c r="G157" s="205" t="str">
        <f>IFERROR(VLOOKUP($A157,'Budget &amp; Revenue'!$A:$AA,13,FALSE)," ")</f>
        <v xml:space="preserve"> </v>
      </c>
      <c r="H157" s="205" t="str">
        <f>IFERROR(VLOOKUP($A157,'Budget &amp; Revenue'!$A:$AA,15,FALSE)," ")</f>
        <v xml:space="preserve"> </v>
      </c>
      <c r="I157" s="205" t="str">
        <f>IFERROR(VLOOKUP($A157,'Budget &amp; Revenue'!$A:$AA,17,FALSE)," ")</f>
        <v xml:space="preserve"> </v>
      </c>
      <c r="J157" s="205" t="str">
        <f>IFERROR(VLOOKUP($A157,'Budget &amp; Revenue'!$A:$AA,19,FALSE)," ")</f>
        <v xml:space="preserve"> </v>
      </c>
      <c r="K157" s="205" t="str">
        <f>IFERROR(VLOOKUP($A157,'Budget &amp; Revenue'!$A:$AA,21,FALSE)," ")</f>
        <v xml:space="preserve"> </v>
      </c>
      <c r="L157" s="205" t="str">
        <f>IFERROR(VLOOKUP($A157,'Budget &amp; Revenue'!$A:$AA,23,FALSE)," ")</f>
        <v xml:space="preserve"> </v>
      </c>
      <c r="M157" s="205" t="str">
        <f>IFERROR(VLOOKUP($A157,'Budget &amp; Revenue'!$A:$AA,25,FALSE)," ")</f>
        <v xml:space="preserve"> </v>
      </c>
      <c r="N157" s="205" t="str">
        <f>IFERROR(VLOOKUP($A157,'Budget &amp; Revenue'!$A:$AA,27,FALSE)," ")</f>
        <v xml:space="preserve"> </v>
      </c>
    </row>
    <row r="158" spans="1:14" x14ac:dyDescent="0.65">
      <c r="A158" s="283">
        <v>157</v>
      </c>
      <c r="B158" s="284" t="str">
        <f>VLOOKUP(A158,Estimate!A:C,3,FALSE)</f>
        <v>Site Facilities</v>
      </c>
      <c r="C158" s="284">
        <f>IFERROR(VLOOKUP(A158,Estimate!A:L,12,FALSE),0)</f>
        <v>0</v>
      </c>
      <c r="D158" s="285"/>
      <c r="E158" s="285"/>
      <c r="F158" s="279">
        <f>IFERROR(VLOOKUP(A158,Estimate!A:Q,17,FALSE),0)</f>
        <v>17936</v>
      </c>
      <c r="G158" s="205" t="str">
        <f>IFERROR(VLOOKUP($A158,'Budget &amp; Revenue'!$A:$AA,13,FALSE)," ")</f>
        <v xml:space="preserve"> </v>
      </c>
      <c r="H158" s="205" t="str">
        <f>IFERROR(VLOOKUP($A158,'Budget &amp; Revenue'!$A:$AA,15,FALSE)," ")</f>
        <v xml:space="preserve"> </v>
      </c>
      <c r="I158" s="205" t="str">
        <f>IFERROR(VLOOKUP($A158,'Budget &amp; Revenue'!$A:$AA,17,FALSE)," ")</f>
        <v xml:space="preserve"> </v>
      </c>
      <c r="J158" s="205" t="str">
        <f>IFERROR(VLOOKUP($A158,'Budget &amp; Revenue'!$A:$AA,19,FALSE)," ")</f>
        <v xml:space="preserve"> </v>
      </c>
      <c r="K158" s="205" t="str">
        <f>IFERROR(VLOOKUP($A158,'Budget &amp; Revenue'!$A:$AA,21,FALSE)," ")</f>
        <v xml:space="preserve"> </v>
      </c>
      <c r="L158" s="205" t="str">
        <f>IFERROR(VLOOKUP($A158,'Budget &amp; Revenue'!$A:$AA,23,FALSE)," ")</f>
        <v xml:space="preserve"> </v>
      </c>
      <c r="M158" s="205" t="str">
        <f>IFERROR(VLOOKUP($A158,'Budget &amp; Revenue'!$A:$AA,25,FALSE)," ")</f>
        <v xml:space="preserve"> </v>
      </c>
      <c r="N158" s="205" t="str">
        <f>IFERROR(VLOOKUP($A158,'Budget &amp; Revenue'!$A:$AA,27,FALSE)," ")</f>
        <v xml:space="preserve"> </v>
      </c>
    </row>
    <row r="159" spans="1:14" x14ac:dyDescent="0.65">
      <c r="A159" s="283">
        <v>158</v>
      </c>
      <c r="B159" s="284" t="str">
        <f>VLOOKUP(A159,Estimate!A:C,3,FALSE)</f>
        <v>Wet Weather</v>
      </c>
      <c r="C159" s="284">
        <f>IFERROR(VLOOKUP(A159,Estimate!A:L,12,FALSE),0)</f>
        <v>0</v>
      </c>
      <c r="D159" s="285"/>
      <c r="E159" s="285"/>
      <c r="F159" s="279">
        <f>IFERROR(VLOOKUP(A159,Estimate!A:Q,17,FALSE),0)</f>
        <v>380</v>
      </c>
      <c r="G159" s="205" t="str">
        <f>IFERROR(VLOOKUP($A159,'Budget &amp; Revenue'!$A:$AA,13,FALSE)," ")</f>
        <v xml:space="preserve"> </v>
      </c>
      <c r="H159" s="205" t="str">
        <f>IFERROR(VLOOKUP($A159,'Budget &amp; Revenue'!$A:$AA,15,FALSE)," ")</f>
        <v xml:space="preserve"> </v>
      </c>
      <c r="I159" s="205" t="str">
        <f>IFERROR(VLOOKUP($A159,'Budget &amp; Revenue'!$A:$AA,17,FALSE)," ")</f>
        <v xml:space="preserve"> </v>
      </c>
      <c r="J159" s="205" t="str">
        <f>IFERROR(VLOOKUP($A159,'Budget &amp; Revenue'!$A:$AA,19,FALSE)," ")</f>
        <v xml:space="preserve"> </v>
      </c>
      <c r="K159" s="205" t="str">
        <f>IFERROR(VLOOKUP($A159,'Budget &amp; Revenue'!$A:$AA,21,FALSE)," ")</f>
        <v xml:space="preserve"> </v>
      </c>
      <c r="L159" s="205" t="str">
        <f>IFERROR(VLOOKUP($A159,'Budget &amp; Revenue'!$A:$AA,23,FALSE)," ")</f>
        <v xml:space="preserve"> </v>
      </c>
      <c r="M159" s="205" t="str">
        <f>IFERROR(VLOOKUP($A159,'Budget &amp; Revenue'!$A:$AA,25,FALSE)," ")</f>
        <v xml:space="preserve"> </v>
      </c>
      <c r="N159" s="205" t="str">
        <f>IFERROR(VLOOKUP($A159,'Budget &amp; Revenue'!$A:$AA,27,FALSE)," ")</f>
        <v xml:space="preserve"> </v>
      </c>
    </row>
    <row r="160" spans="1:14" ht="42.75" x14ac:dyDescent="0.65">
      <c r="A160" s="283">
        <v>159</v>
      </c>
      <c r="B160" s="284" t="str">
        <f>VLOOKUP(A160,Estimate!A:C,3,FALSE)</f>
        <v>Additional Clearing &amp; Grubbing - Moving rental car park 10m to the north to avoid fibre optic cable.</v>
      </c>
      <c r="C160" s="284">
        <f>IFERROR(VLOOKUP(A160,Estimate!A:L,12,FALSE),0)</f>
        <v>1</v>
      </c>
      <c r="D160" s="285">
        <v>19</v>
      </c>
      <c r="E160" s="285">
        <v>20</v>
      </c>
      <c r="F160" s="279">
        <f>IFERROR(VLOOKUP(A160,Estimate!A:Q,17,FALSE),0)</f>
        <v>2728</v>
      </c>
      <c r="G160" s="205">
        <f>IFERROR(VLOOKUP($A160,'Budget &amp; Revenue'!$A:$AA,13,FALSE)," ")</f>
        <v>1</v>
      </c>
      <c r="H160" s="205">
        <f>IFERROR(VLOOKUP($A160,'Budget &amp; Revenue'!$A:$AA,15,FALSE)," ")</f>
        <v>1</v>
      </c>
      <c r="I160" s="205">
        <f>IFERROR(VLOOKUP($A160,'Budget &amp; Revenue'!$A:$AA,17,FALSE)," ")</f>
        <v>1</v>
      </c>
      <c r="J160" s="205">
        <f>IFERROR(VLOOKUP($A160,'Budget &amp; Revenue'!$A:$AA,19,FALSE)," ")</f>
        <v>1</v>
      </c>
      <c r="K160" s="205">
        <f>IFERROR(VLOOKUP($A160,'Budget &amp; Revenue'!$A:$AA,21,FALSE)," ")</f>
        <v>1</v>
      </c>
      <c r="L160" s="205">
        <f>IFERROR(VLOOKUP($A160,'Budget &amp; Revenue'!$A:$AA,23,FALSE)," ")</f>
        <v>1</v>
      </c>
      <c r="M160" s="205">
        <f>IFERROR(VLOOKUP($A160,'Budget &amp; Revenue'!$A:$AA,25,FALSE)," ")</f>
        <v>1</v>
      </c>
      <c r="N160" s="205">
        <f>IFERROR(VLOOKUP($A160,'Budget &amp; Revenue'!$A:$AA,27,FALSE)," ")</f>
        <v>1</v>
      </c>
    </row>
    <row r="161" spans="1:14" ht="28.5" x14ac:dyDescent="0.65">
      <c r="A161" s="283">
        <v>160</v>
      </c>
      <c r="B161" s="284" t="str">
        <f>VLOOKUP(A161,Estimate!A:C,3,FALSE)</f>
        <v>Additional Material for Revised Levels (Main Pad)</v>
      </c>
      <c r="C161" s="284">
        <f>IFERROR(VLOOKUP(A161,Estimate!A:L,12,FALSE),0)</f>
        <v>0</v>
      </c>
      <c r="D161" s="285"/>
      <c r="E161" s="285"/>
      <c r="F161" s="279">
        <f>IFERROR(VLOOKUP(A161,Estimate!A:Q,17,FALSE),0)</f>
        <v>0</v>
      </c>
      <c r="G161" s="205">
        <f>IFERROR(VLOOKUP($A161,'Budget &amp; Revenue'!$A:$AA,13,FALSE)," ")</f>
        <v>0</v>
      </c>
      <c r="H161" s="205">
        <f>IFERROR(VLOOKUP($A161,'Budget &amp; Revenue'!$A:$AA,15,FALSE)," ")</f>
        <v>0</v>
      </c>
      <c r="I161" s="205">
        <f>IFERROR(VLOOKUP($A161,'Budget &amp; Revenue'!$A:$AA,17,FALSE)," ")</f>
        <v>0</v>
      </c>
      <c r="J161" s="205">
        <f>IFERROR(VLOOKUP($A161,'Budget &amp; Revenue'!$A:$AA,19,FALSE)," ")</f>
        <v>0</v>
      </c>
      <c r="K161" s="205">
        <f>IFERROR(VLOOKUP($A161,'Budget &amp; Revenue'!$A:$AA,21,FALSE)," ")</f>
        <v>0</v>
      </c>
      <c r="L161" s="205">
        <f>IFERROR(VLOOKUP($A161,'Budget &amp; Revenue'!$A:$AA,23,FALSE)," ")</f>
        <v>0</v>
      </c>
      <c r="M161" s="205">
        <f>IFERROR(VLOOKUP($A161,'Budget &amp; Revenue'!$A:$AA,25,FALSE)," ")</f>
        <v>0</v>
      </c>
      <c r="N161" s="205">
        <f>IFERROR(VLOOKUP($A161,'Budget &amp; Revenue'!$A:$AA,27,FALSE)," ")</f>
        <v>0</v>
      </c>
    </row>
    <row r="162" spans="1:14" ht="28.5" x14ac:dyDescent="0.65">
      <c r="A162" s="283">
        <v>161</v>
      </c>
      <c r="B162" s="284" t="str">
        <f>VLOOKUP(A162,Estimate!A:C,3,FALSE)</f>
        <v>Additional Imported General Fill (BOQ Item 3.3.5)</v>
      </c>
      <c r="C162" s="284">
        <f>IFERROR(VLOOKUP(A162,Estimate!A:L,12,FALSE),0)</f>
        <v>0</v>
      </c>
      <c r="D162" s="285">
        <v>33</v>
      </c>
      <c r="E162" s="285">
        <v>38</v>
      </c>
      <c r="F162" s="279">
        <f>IFERROR(VLOOKUP(A162,Estimate!A:Q,17,FALSE),0)</f>
        <v>0</v>
      </c>
      <c r="G162" s="205">
        <f>IFERROR(VLOOKUP($A162,'Budget &amp; Revenue'!$A:$AA,13,FALSE)," ")</f>
        <v>0</v>
      </c>
      <c r="H162" s="205">
        <f>IFERROR(VLOOKUP($A162,'Budget &amp; Revenue'!$A:$AA,15,FALSE)," ")</f>
        <v>1</v>
      </c>
      <c r="I162" s="205">
        <f>IFERROR(VLOOKUP($A162,'Budget &amp; Revenue'!$A:$AA,17,FALSE)," ")</f>
        <v>1</v>
      </c>
      <c r="J162" s="205">
        <f>IFERROR(VLOOKUP($A162,'Budget &amp; Revenue'!$A:$AA,19,FALSE)," ")</f>
        <v>1</v>
      </c>
      <c r="K162" s="205">
        <f>IFERROR(VLOOKUP($A162,'Budget &amp; Revenue'!$A:$AA,21,FALSE)," ")</f>
        <v>1</v>
      </c>
      <c r="L162" s="205">
        <f>IFERROR(VLOOKUP($A162,'Budget &amp; Revenue'!$A:$AA,23,FALSE)," ")</f>
        <v>1</v>
      </c>
      <c r="M162" s="205">
        <f>IFERROR(VLOOKUP($A162,'Budget &amp; Revenue'!$A:$AA,25,FALSE)," ")</f>
        <v>1</v>
      </c>
      <c r="N162" s="205">
        <f>IFERROR(VLOOKUP($A162,'Budget &amp; Revenue'!$A:$AA,27,FALSE)," ")</f>
        <v>1</v>
      </c>
    </row>
    <row r="163" spans="1:14" ht="28.5" x14ac:dyDescent="0.65">
      <c r="A163" s="283">
        <v>162</v>
      </c>
      <c r="B163" s="284" t="str">
        <f>VLOOKUP(A163,Estimate!A:C,3,FALSE)</f>
        <v>Additional Fill, road base gravel, spray seal &amp; AC to elongated access ramp</v>
      </c>
      <c r="C163" s="284">
        <f>IFERROR(VLOOKUP(A163,Estimate!A:L,12,FALSE),0)</f>
        <v>0.23637738796496033</v>
      </c>
      <c r="D163" s="285"/>
      <c r="E163" s="285"/>
      <c r="F163" s="279">
        <f>IFERROR(VLOOKUP(A163,Estimate!A:Q,17,FALSE),0)</f>
        <v>4551.3451757793064</v>
      </c>
      <c r="G163" s="205">
        <f>IFERROR(VLOOKUP($A163,'Budget &amp; Revenue'!$A:$AA,13,FALSE)," ")</f>
        <v>0</v>
      </c>
      <c r="H163" s="205">
        <f>IFERROR(VLOOKUP($A163,'Budget &amp; Revenue'!$A:$AA,15,FALSE)," ")</f>
        <v>0</v>
      </c>
      <c r="I163" s="205">
        <f>IFERROR(VLOOKUP($A163,'Budget &amp; Revenue'!$A:$AA,17,FALSE)," ")</f>
        <v>0</v>
      </c>
      <c r="J163" s="205">
        <f>IFERROR(VLOOKUP($A163,'Budget &amp; Revenue'!$A:$AA,19,FALSE)," ")</f>
        <v>0</v>
      </c>
      <c r="K163" s="205">
        <f>IFERROR(VLOOKUP($A163,'Budget &amp; Revenue'!$A:$AA,21,FALSE)," ")</f>
        <v>0</v>
      </c>
      <c r="L163" s="205">
        <f>IFERROR(VLOOKUP($A163,'Budget &amp; Revenue'!$A:$AA,23,FALSE)," ")</f>
        <v>0</v>
      </c>
      <c r="M163" s="205">
        <f>IFERROR(VLOOKUP($A163,'Budget &amp; Revenue'!$A:$AA,25,FALSE)," ")</f>
        <v>0</v>
      </c>
      <c r="N163" s="205">
        <f>IFERROR(VLOOKUP($A163,'Budget &amp; Revenue'!$A:$AA,27,FALSE)," ")</f>
        <v>0</v>
      </c>
    </row>
    <row r="164" spans="1:14" x14ac:dyDescent="0.65">
      <c r="A164" s="283">
        <v>163</v>
      </c>
      <c r="B164" s="284" t="str">
        <f>VLOOKUP(A164,Estimate!A:C,3,FALSE)</f>
        <v>Imported General Fill (BOQ Item 3.3.5)</v>
      </c>
      <c r="C164" s="284">
        <f>IFERROR(VLOOKUP(A164,Estimate!A:L,12,FALSE),0)</f>
        <v>7.7499903125121089E-2</v>
      </c>
      <c r="D164" s="285" t="s">
        <v>1014</v>
      </c>
      <c r="E164" s="285">
        <v>164177</v>
      </c>
      <c r="F164" s="279">
        <f>IFERROR(VLOOKUP(A164,Estimate!A:Q,17,FALSE),0)</f>
        <v>837.23177605483636</v>
      </c>
      <c r="G164" s="205">
        <f>IFERROR(VLOOKUP($A164,'Budget &amp; Revenue'!$A:$AA,13,FALSE)," ")</f>
        <v>0</v>
      </c>
      <c r="H164" s="205">
        <f>IFERROR(VLOOKUP($A164,'Budget &amp; Revenue'!$A:$AA,15,FALSE)," ")</f>
        <v>0</v>
      </c>
      <c r="I164" s="205">
        <f>IFERROR(VLOOKUP($A164,'Budget &amp; Revenue'!$A:$AA,17,FALSE)," ")</f>
        <v>1</v>
      </c>
      <c r="J164" s="205">
        <f>IFERROR(VLOOKUP($A164,'Budget &amp; Revenue'!$A:$AA,19,FALSE)," ")</f>
        <v>1</v>
      </c>
      <c r="K164" s="205">
        <f>IFERROR(VLOOKUP($A164,'Budget &amp; Revenue'!$A:$AA,21,FALSE)," ")</f>
        <v>1</v>
      </c>
      <c r="L164" s="205">
        <f>IFERROR(VLOOKUP($A164,'Budget &amp; Revenue'!$A:$AA,23,FALSE)," ")</f>
        <v>1</v>
      </c>
      <c r="M164" s="205">
        <f>IFERROR(VLOOKUP($A164,'Budget &amp; Revenue'!$A:$AA,25,FALSE)," ")</f>
        <v>1</v>
      </c>
      <c r="N164" s="205">
        <f>IFERROR(VLOOKUP($A164,'Budget &amp; Revenue'!$A:$AA,27,FALSE)," ")</f>
        <v>1</v>
      </c>
    </row>
    <row r="165" spans="1:14" ht="28.5" x14ac:dyDescent="0.65">
      <c r="A165" s="283">
        <v>164</v>
      </c>
      <c r="B165" s="284" t="str">
        <f>VLOOKUP(A165,Estimate!A:C,3,FALSE)</f>
        <v>Additional sub-grade preparation (BOQ item 4.1)</v>
      </c>
      <c r="C165" s="284">
        <f>IFERROR(VLOOKUP(A165,Estimate!A:L,12,FALSE),0)</f>
        <v>5.0793650793650794E-2</v>
      </c>
      <c r="D165" s="285" t="s">
        <v>1015</v>
      </c>
      <c r="E165" s="285">
        <v>165175</v>
      </c>
      <c r="F165" s="279">
        <f>IFERROR(VLOOKUP(A165,Estimate!A:Q,17,FALSE),0)</f>
        <v>162.99682539682539</v>
      </c>
      <c r="G165" s="205">
        <f>IFERROR(VLOOKUP($A165,'Budget &amp; Revenue'!$A:$AA,13,FALSE)," ")</f>
        <v>0</v>
      </c>
      <c r="H165" s="205">
        <f>IFERROR(VLOOKUP($A165,'Budget &amp; Revenue'!$A:$AA,15,FALSE)," ")</f>
        <v>0</v>
      </c>
      <c r="I165" s="205">
        <f>IFERROR(VLOOKUP($A165,'Budget &amp; Revenue'!$A:$AA,17,FALSE)," ")</f>
        <v>1</v>
      </c>
      <c r="J165" s="205">
        <f>IFERROR(VLOOKUP($A165,'Budget &amp; Revenue'!$A:$AA,19,FALSE)," ")</f>
        <v>1</v>
      </c>
      <c r="K165" s="205">
        <f>IFERROR(VLOOKUP($A165,'Budget &amp; Revenue'!$A:$AA,21,FALSE)," ")</f>
        <v>1</v>
      </c>
      <c r="L165" s="205">
        <f>IFERROR(VLOOKUP($A165,'Budget &amp; Revenue'!$A:$AA,23,FALSE)," ")</f>
        <v>1</v>
      </c>
      <c r="M165" s="205">
        <f>IFERROR(VLOOKUP($A165,'Budget &amp; Revenue'!$A:$AA,25,FALSE)," ")</f>
        <v>1</v>
      </c>
      <c r="N165" s="205">
        <f>IFERROR(VLOOKUP($A165,'Budget &amp; Revenue'!$A:$AA,27,FALSE)," ")</f>
        <v>1</v>
      </c>
    </row>
    <row r="166" spans="1:14" ht="28.5" x14ac:dyDescent="0.65">
      <c r="A166" s="283">
        <v>165</v>
      </c>
      <c r="B166" s="284" t="str">
        <f>VLOOKUP(A166,Estimate!A:C,3,FALSE)</f>
        <v>Additional 2.3 Material (BOQ Item 4.2.3.2)</v>
      </c>
      <c r="C166" s="284">
        <f>IFERROR(VLOOKUP(A166,Estimate!A:L,12,FALSE),0)</f>
        <v>2.6857066122668218E-2</v>
      </c>
      <c r="D166" s="285" t="s">
        <v>1016</v>
      </c>
      <c r="E166" s="285">
        <v>166171</v>
      </c>
      <c r="F166" s="279">
        <f>IFERROR(VLOOKUP(A166,Estimate!A:Q,17,FALSE),0)</f>
        <v>489.22944180159487</v>
      </c>
      <c r="G166" s="205">
        <f>IFERROR(VLOOKUP($A166,'Budget &amp; Revenue'!$A:$AA,13,FALSE)," ")</f>
        <v>0</v>
      </c>
      <c r="H166" s="205">
        <f>IFERROR(VLOOKUP($A166,'Budget &amp; Revenue'!$A:$AA,15,FALSE)," ")</f>
        <v>0</v>
      </c>
      <c r="I166" s="205">
        <f>IFERROR(VLOOKUP($A166,'Budget &amp; Revenue'!$A:$AA,17,FALSE)," ")</f>
        <v>0</v>
      </c>
      <c r="J166" s="205">
        <f>IFERROR(VLOOKUP($A166,'Budget &amp; Revenue'!$A:$AA,19,FALSE)," ")</f>
        <v>0</v>
      </c>
      <c r="K166" s="205">
        <f>IFERROR(VLOOKUP($A166,'Budget &amp; Revenue'!$A:$AA,21,FALSE)," ")</f>
        <v>1</v>
      </c>
      <c r="L166" s="205">
        <f>IFERROR(VLOOKUP($A166,'Budget &amp; Revenue'!$A:$AA,23,FALSE)," ")</f>
        <v>1</v>
      </c>
      <c r="M166" s="205">
        <f>IFERROR(VLOOKUP($A166,'Budget &amp; Revenue'!$A:$AA,25,FALSE)," ")</f>
        <v>1</v>
      </c>
      <c r="N166" s="205">
        <f>IFERROR(VLOOKUP($A166,'Budget &amp; Revenue'!$A:$AA,27,FALSE)," ")</f>
        <v>1</v>
      </c>
    </row>
    <row r="167" spans="1:14" ht="28.5" x14ac:dyDescent="0.65">
      <c r="A167" s="283">
        <v>166</v>
      </c>
      <c r="B167" s="284" t="str">
        <f>VLOOKUP(A167,Estimate!A:C,3,FALSE)</f>
        <v>Additional 2.1 Material (BOQ Item 4.2.3.1)</v>
      </c>
      <c r="C167" s="284">
        <f>IFERROR(VLOOKUP(A167,Estimate!A:L,12,FALSE),0)</f>
        <v>2.9374916071668367E-2</v>
      </c>
      <c r="D167" s="285" t="s">
        <v>1017</v>
      </c>
      <c r="E167" s="285">
        <v>167</v>
      </c>
      <c r="F167" s="279">
        <f>IFERROR(VLOOKUP(A167,Estimate!A:Q,17,FALSE),0)</f>
        <v>550.51657697049438</v>
      </c>
      <c r="G167" s="205">
        <f>IFERROR(VLOOKUP($A167,'Budget &amp; Revenue'!$A:$AA,13,FALSE)," ")</f>
        <v>0</v>
      </c>
      <c r="H167" s="205">
        <f>IFERROR(VLOOKUP($A167,'Budget &amp; Revenue'!$A:$AA,15,FALSE)," ")</f>
        <v>0</v>
      </c>
      <c r="I167" s="205">
        <f>IFERROR(VLOOKUP($A167,'Budget &amp; Revenue'!$A:$AA,17,FALSE)," ")</f>
        <v>0</v>
      </c>
      <c r="J167" s="205">
        <f>IFERROR(VLOOKUP($A167,'Budget &amp; Revenue'!$A:$AA,19,FALSE)," ")</f>
        <v>0</v>
      </c>
      <c r="K167" s="205">
        <f>IFERROR(VLOOKUP($A167,'Budget &amp; Revenue'!$A:$AA,21,FALSE)," ")</f>
        <v>1</v>
      </c>
      <c r="L167" s="205">
        <f>IFERROR(VLOOKUP($A167,'Budget &amp; Revenue'!$A:$AA,23,FALSE)," ")</f>
        <v>1</v>
      </c>
      <c r="M167" s="205">
        <f>IFERROR(VLOOKUP($A167,'Budget &amp; Revenue'!$A:$AA,25,FALSE)," ")</f>
        <v>1</v>
      </c>
      <c r="N167" s="205">
        <f>IFERROR(VLOOKUP($A167,'Budget &amp; Revenue'!$A:$AA,27,FALSE)," ")</f>
        <v>1</v>
      </c>
    </row>
    <row r="168" spans="1:14" x14ac:dyDescent="0.65">
      <c r="A168" s="283">
        <v>167</v>
      </c>
      <c r="B168" s="284" t="str">
        <f>VLOOKUP(A168,Estimate!A:C,3,FALSE)</f>
        <v>Additional final trim (BOQ Item 4.3)</v>
      </c>
      <c r="C168" s="284">
        <f>IFERROR(VLOOKUP(A168,Estimate!A:L,12,FALSE),0)</f>
        <v>5.185185185185185E-2</v>
      </c>
      <c r="D168" s="285" t="s">
        <v>1018</v>
      </c>
      <c r="E168" s="285">
        <v>168</v>
      </c>
      <c r="F168" s="279">
        <f>IFERROR(VLOOKUP(A168,Estimate!A:Q,17,FALSE),0)</f>
        <v>172.35555555555555</v>
      </c>
      <c r="G168" s="205">
        <f>IFERROR(VLOOKUP($A168,'Budget &amp; Revenue'!$A:$AA,13,FALSE)," ")</f>
        <v>0</v>
      </c>
      <c r="H168" s="205">
        <f>IFERROR(VLOOKUP($A168,'Budget &amp; Revenue'!$A:$AA,15,FALSE)," ")</f>
        <v>0</v>
      </c>
      <c r="I168" s="205">
        <f>IFERROR(VLOOKUP($A168,'Budget &amp; Revenue'!$A:$AA,17,FALSE)," ")</f>
        <v>0</v>
      </c>
      <c r="J168" s="205">
        <f>IFERROR(VLOOKUP($A168,'Budget &amp; Revenue'!$A:$AA,19,FALSE)," ")</f>
        <v>0</v>
      </c>
      <c r="K168" s="205">
        <f>IFERROR(VLOOKUP($A168,'Budget &amp; Revenue'!$A:$AA,21,FALSE)," ")</f>
        <v>1</v>
      </c>
      <c r="L168" s="205">
        <f>IFERROR(VLOOKUP($A168,'Budget &amp; Revenue'!$A:$AA,23,FALSE)," ")</f>
        <v>1</v>
      </c>
      <c r="M168" s="205">
        <f>IFERROR(VLOOKUP($A168,'Budget &amp; Revenue'!$A:$AA,25,FALSE)," ")</f>
        <v>1</v>
      </c>
      <c r="N168" s="205">
        <f>IFERROR(VLOOKUP($A168,'Budget &amp; Revenue'!$A:$AA,27,FALSE)," ")</f>
        <v>1</v>
      </c>
    </row>
    <row r="169" spans="1:14" x14ac:dyDescent="0.65">
      <c r="A169" s="283">
        <v>168</v>
      </c>
      <c r="B169" s="284" t="str">
        <f>VLOOKUP(A169,Estimate!A:C,3,FALSE)</f>
        <v>Additional Spray Seal (BOQ Item 4.5.1.1)</v>
      </c>
      <c r="C169" s="284">
        <f>IFERROR(VLOOKUP(A169,Estimate!A:L,12,FALSE),0)</f>
        <v>1</v>
      </c>
      <c r="D169" s="285" t="s">
        <v>1019</v>
      </c>
      <c r="E169" s="285">
        <v>169</v>
      </c>
      <c r="F169" s="279">
        <f>IFERROR(VLOOKUP(A169,Estimate!A:Q,17,FALSE),0)</f>
        <v>330.01500000000004</v>
      </c>
      <c r="G169" s="205">
        <f>IFERROR(VLOOKUP($A169,'Budget &amp; Revenue'!$A:$AA,13,FALSE)," ")</f>
        <v>0</v>
      </c>
      <c r="H169" s="205">
        <f>IFERROR(VLOOKUP($A169,'Budget &amp; Revenue'!$A:$AA,15,FALSE)," ")</f>
        <v>0</v>
      </c>
      <c r="I169" s="205">
        <f>IFERROR(VLOOKUP($A169,'Budget &amp; Revenue'!$A:$AA,17,FALSE)," ")</f>
        <v>0</v>
      </c>
      <c r="J169" s="205">
        <f>IFERROR(VLOOKUP($A169,'Budget &amp; Revenue'!$A:$AA,19,FALSE)," ")</f>
        <v>0</v>
      </c>
      <c r="K169" s="205">
        <f>IFERROR(VLOOKUP($A169,'Budget &amp; Revenue'!$A:$AA,21,FALSE)," ")</f>
        <v>1</v>
      </c>
      <c r="L169" s="205">
        <f>IFERROR(VLOOKUP($A169,'Budget &amp; Revenue'!$A:$AA,23,FALSE)," ")</f>
        <v>1</v>
      </c>
      <c r="M169" s="205">
        <f>IFERROR(VLOOKUP($A169,'Budget &amp; Revenue'!$A:$AA,25,FALSE)," ")</f>
        <v>1</v>
      </c>
      <c r="N169" s="205">
        <f>IFERROR(VLOOKUP($A169,'Budget &amp; Revenue'!$A:$AA,27,FALSE)," ")</f>
        <v>1</v>
      </c>
    </row>
    <row r="170" spans="1:14" x14ac:dyDescent="0.65">
      <c r="A170" s="283">
        <v>169</v>
      </c>
      <c r="B170" s="284" t="str">
        <f>VLOOKUP(A170,Estimate!A:C,3,FALSE)</f>
        <v>Additional AC (BOQ Item 4.5.1.2)</v>
      </c>
      <c r="C170" s="284">
        <f>IFERROR(VLOOKUP(A170,Estimate!A:L,12,FALSE),0)</f>
        <v>1</v>
      </c>
      <c r="D170" s="285" t="s">
        <v>1020</v>
      </c>
      <c r="E170" s="285">
        <v>173</v>
      </c>
      <c r="F170" s="279">
        <f>IFERROR(VLOOKUP(A170,Estimate!A:Q,17,FALSE),0)</f>
        <v>2009</v>
      </c>
      <c r="G170" s="205">
        <f>IFERROR(VLOOKUP($A170,'Budget &amp; Revenue'!$A:$AA,13,FALSE)," ")</f>
        <v>0</v>
      </c>
      <c r="H170" s="205">
        <f>IFERROR(VLOOKUP($A170,'Budget &amp; Revenue'!$A:$AA,15,FALSE)," ")</f>
        <v>0</v>
      </c>
      <c r="I170" s="205">
        <f>IFERROR(VLOOKUP($A170,'Budget &amp; Revenue'!$A:$AA,17,FALSE)," ")</f>
        <v>0</v>
      </c>
      <c r="J170" s="205">
        <f>IFERROR(VLOOKUP($A170,'Budget &amp; Revenue'!$A:$AA,19,FALSE)," ")</f>
        <v>0</v>
      </c>
      <c r="K170" s="205">
        <f>IFERROR(VLOOKUP($A170,'Budget &amp; Revenue'!$A:$AA,21,FALSE)," ")</f>
        <v>0</v>
      </c>
      <c r="L170" s="205">
        <f>IFERROR(VLOOKUP($A170,'Budget &amp; Revenue'!$A:$AA,23,FALSE)," ")</f>
        <v>1</v>
      </c>
      <c r="M170" s="205">
        <f>IFERROR(VLOOKUP($A170,'Budget &amp; Revenue'!$A:$AA,25,FALSE)," ")</f>
        <v>1</v>
      </c>
      <c r="N170" s="205">
        <f>IFERROR(VLOOKUP($A170,'Budget &amp; Revenue'!$A:$AA,27,FALSE)," ")</f>
        <v>1</v>
      </c>
    </row>
    <row r="171" spans="1:14" x14ac:dyDescent="0.65">
      <c r="A171" s="283">
        <v>170</v>
      </c>
      <c r="B171" s="284" t="str">
        <f>VLOOKUP(A171,Estimate!A:C,3,FALSE)</f>
        <v>Additional Kerb &amp; Channel (Type B1)</v>
      </c>
      <c r="C171" s="284">
        <f>IFERROR(VLOOKUP(A171,Estimate!A:L,12,FALSE),0)</f>
        <v>0</v>
      </c>
      <c r="D171" s="285"/>
      <c r="E171" s="285"/>
      <c r="F171" s="279">
        <f>IFERROR(VLOOKUP(A171,Estimate!A:Q,17,FALSE),0)</f>
        <v>0</v>
      </c>
      <c r="G171" s="205">
        <f>IFERROR(VLOOKUP($A171,'Budget &amp; Revenue'!$A:$AA,13,FALSE)," ")</f>
        <v>0</v>
      </c>
      <c r="H171" s="205">
        <f>IFERROR(VLOOKUP($A171,'Budget &amp; Revenue'!$A:$AA,15,FALSE)," ")</f>
        <v>0</v>
      </c>
      <c r="I171" s="205">
        <f>IFERROR(VLOOKUP($A171,'Budget &amp; Revenue'!$A:$AA,17,FALSE)," ")</f>
        <v>0</v>
      </c>
      <c r="J171" s="205">
        <f>IFERROR(VLOOKUP($A171,'Budget &amp; Revenue'!$A:$AA,19,FALSE)," ")</f>
        <v>0</v>
      </c>
      <c r="K171" s="205">
        <f>IFERROR(VLOOKUP($A171,'Budget &amp; Revenue'!$A:$AA,21,FALSE)," ")</f>
        <v>0</v>
      </c>
      <c r="L171" s="205">
        <f>IFERROR(VLOOKUP($A171,'Budget &amp; Revenue'!$A:$AA,23,FALSE)," ")</f>
        <v>0</v>
      </c>
      <c r="M171" s="205">
        <f>IFERROR(VLOOKUP($A171,'Budget &amp; Revenue'!$A:$AA,25,FALSE)," ")</f>
        <v>0</v>
      </c>
      <c r="N171" s="205">
        <f>IFERROR(VLOOKUP($A171,'Budget &amp; Revenue'!$A:$AA,27,FALSE)," ")</f>
        <v>0</v>
      </c>
    </row>
    <row r="172" spans="1:14" ht="28.5" x14ac:dyDescent="0.65">
      <c r="A172" s="283">
        <v>171</v>
      </c>
      <c r="B172" s="284" t="str">
        <f>VLOOKUP(A172,Estimate!A:C,3,FALSE)</f>
        <v>B1 Barrier Kerb &amp; Channel (BOQ Item 4.4.1.1)</v>
      </c>
      <c r="C172" s="284">
        <f>IFERROR(VLOOKUP(A172,Estimate!A:L,12,FALSE),0)</f>
        <v>0.4</v>
      </c>
      <c r="D172" s="285" t="s">
        <v>1789</v>
      </c>
      <c r="E172" s="285">
        <v>166</v>
      </c>
      <c r="F172" s="279">
        <f>IFERROR(VLOOKUP(A172,Estimate!A:Q,17,FALSE),0)</f>
        <v>820.16455401790904</v>
      </c>
      <c r="G172" s="205">
        <f>IFERROR(VLOOKUP($A172,'Budget &amp; Revenue'!$A:$AA,13,FALSE)," ")</f>
        <v>0</v>
      </c>
      <c r="H172" s="205">
        <f>IFERROR(VLOOKUP($A172,'Budget &amp; Revenue'!$A:$AA,15,FALSE)," ")</f>
        <v>0</v>
      </c>
      <c r="I172" s="205">
        <f>IFERROR(VLOOKUP($A172,'Budget &amp; Revenue'!$A:$AA,17,FALSE)," ")</f>
        <v>0</v>
      </c>
      <c r="J172" s="205">
        <f>IFERROR(VLOOKUP($A172,'Budget &amp; Revenue'!$A:$AA,19,FALSE)," ")</f>
        <v>0</v>
      </c>
      <c r="K172" s="205">
        <f>IFERROR(VLOOKUP($A172,'Budget &amp; Revenue'!$A:$AA,21,FALSE)," ")</f>
        <v>1</v>
      </c>
      <c r="L172" s="205">
        <f>IFERROR(VLOOKUP($A172,'Budget &amp; Revenue'!$A:$AA,23,FALSE)," ")</f>
        <v>1</v>
      </c>
      <c r="M172" s="205">
        <f>IFERROR(VLOOKUP($A172,'Budget &amp; Revenue'!$A:$AA,25,FALSE)," ")</f>
        <v>1</v>
      </c>
      <c r="N172" s="205">
        <f>IFERROR(VLOOKUP($A172,'Budget &amp; Revenue'!$A:$AA,27,FALSE)," ")</f>
        <v>1</v>
      </c>
    </row>
    <row r="173" spans="1:14" x14ac:dyDescent="0.65">
      <c r="A173" s="283">
        <v>172</v>
      </c>
      <c r="B173" s="284" t="str">
        <f>VLOOKUP(A173,Estimate!A:C,3,FALSE)</f>
        <v>Additional Footpath</v>
      </c>
      <c r="C173" s="284">
        <f>IFERROR(VLOOKUP(A173,Estimate!A:L,12,FALSE),0)</f>
        <v>0</v>
      </c>
      <c r="D173" s="285"/>
      <c r="E173" s="285"/>
      <c r="F173" s="279">
        <f>IFERROR(VLOOKUP(A173,Estimate!A:Q,17,FALSE),0)</f>
        <v>0</v>
      </c>
      <c r="G173" s="205">
        <f>IFERROR(VLOOKUP($A173,'Budget &amp; Revenue'!$A:$AA,13,FALSE)," ")</f>
        <v>0</v>
      </c>
      <c r="H173" s="205">
        <f>IFERROR(VLOOKUP($A173,'Budget &amp; Revenue'!$A:$AA,15,FALSE)," ")</f>
        <v>0</v>
      </c>
      <c r="I173" s="205">
        <f>IFERROR(VLOOKUP($A173,'Budget &amp; Revenue'!$A:$AA,17,FALSE)," ")</f>
        <v>0</v>
      </c>
      <c r="J173" s="205">
        <f>IFERROR(VLOOKUP($A173,'Budget &amp; Revenue'!$A:$AA,19,FALSE)," ")</f>
        <v>0</v>
      </c>
      <c r="K173" s="205">
        <f>IFERROR(VLOOKUP($A173,'Budget &amp; Revenue'!$A:$AA,21,FALSE)," ")</f>
        <v>0</v>
      </c>
      <c r="L173" s="205">
        <f>IFERROR(VLOOKUP($A173,'Budget &amp; Revenue'!$A:$AA,23,FALSE)," ")</f>
        <v>0</v>
      </c>
      <c r="M173" s="205">
        <f>IFERROR(VLOOKUP($A173,'Budget &amp; Revenue'!$A:$AA,25,FALSE)," ")</f>
        <v>0</v>
      </c>
      <c r="N173" s="205">
        <f>IFERROR(VLOOKUP($A173,'Budget &amp; Revenue'!$A:$AA,27,FALSE)," ")</f>
        <v>0</v>
      </c>
    </row>
    <row r="174" spans="1:14" ht="28.5" x14ac:dyDescent="0.65">
      <c r="A174" s="283">
        <v>173</v>
      </c>
      <c r="B174" s="284" t="str">
        <f>VLOOKUP(A174,Estimate!A:C,3,FALSE)</f>
        <v>Additional Concrete Footpath 2.45m Wide (BOQ Item 4.4.4.1)</v>
      </c>
      <c r="C174" s="284">
        <f>IFERROR(VLOOKUP(A174,Estimate!A:L,12,FALSE),0)</f>
        <v>0.49</v>
      </c>
      <c r="D174" s="285" t="s">
        <v>1021</v>
      </c>
      <c r="E174" s="285">
        <v>30</v>
      </c>
      <c r="F174" s="279">
        <f>IFERROR(VLOOKUP(A174,Estimate!A:Q,17,FALSE),0)</f>
        <v>1353.7869014043195</v>
      </c>
      <c r="G174" s="205">
        <f>IFERROR(VLOOKUP($A174,'Budget &amp; Revenue'!$A:$AA,13,FALSE)," ")</f>
        <v>0</v>
      </c>
      <c r="H174" s="205">
        <f>IFERROR(VLOOKUP($A174,'Budget &amp; Revenue'!$A:$AA,15,FALSE)," ")</f>
        <v>0</v>
      </c>
      <c r="I174" s="205">
        <f>IFERROR(VLOOKUP($A174,'Budget &amp; Revenue'!$A:$AA,17,FALSE)," ")</f>
        <v>0</v>
      </c>
      <c r="J174" s="205">
        <f>IFERROR(VLOOKUP($A174,'Budget &amp; Revenue'!$A:$AA,19,FALSE)," ")</f>
        <v>0</v>
      </c>
      <c r="K174" s="205">
        <f>IFERROR(VLOOKUP($A174,'Budget &amp; Revenue'!$A:$AA,21,FALSE)," ")</f>
        <v>1</v>
      </c>
      <c r="L174" s="205">
        <f>IFERROR(VLOOKUP($A174,'Budget &amp; Revenue'!$A:$AA,23,FALSE)," ")</f>
        <v>1</v>
      </c>
      <c r="M174" s="205">
        <f>IFERROR(VLOOKUP($A174,'Budget &amp; Revenue'!$A:$AA,25,FALSE)," ")</f>
        <v>1</v>
      </c>
      <c r="N174" s="205">
        <f>IFERROR(VLOOKUP($A174,'Budget &amp; Revenue'!$A:$AA,27,FALSE)," ")</f>
        <v>1</v>
      </c>
    </row>
    <row r="175" spans="1:14" x14ac:dyDescent="0.65">
      <c r="A175" s="283">
        <v>174</v>
      </c>
      <c r="B175" s="284" t="str">
        <f>VLOOKUP(A175,Estimate!A:C,3,FALSE)</f>
        <v>Additional Storm Water</v>
      </c>
      <c r="C175" s="284">
        <f>IFERROR(VLOOKUP(A175,Estimate!A:L,12,FALSE),0)</f>
        <v>0</v>
      </c>
      <c r="D175" s="285"/>
      <c r="E175" s="285"/>
      <c r="F175" s="279">
        <f>IFERROR(VLOOKUP(A175,Estimate!A:Q,17,FALSE),0)</f>
        <v>0</v>
      </c>
      <c r="G175" s="205">
        <f>IFERROR(VLOOKUP($A175,'Budget &amp; Revenue'!$A:$AA,13,FALSE)," ")</f>
        <v>0</v>
      </c>
      <c r="H175" s="205">
        <f>IFERROR(VLOOKUP($A175,'Budget &amp; Revenue'!$A:$AA,15,FALSE)," ")</f>
        <v>0</v>
      </c>
      <c r="I175" s="205">
        <f>IFERROR(VLOOKUP($A175,'Budget &amp; Revenue'!$A:$AA,17,FALSE)," ")</f>
        <v>0</v>
      </c>
      <c r="J175" s="205">
        <f>IFERROR(VLOOKUP($A175,'Budget &amp; Revenue'!$A:$AA,19,FALSE)," ")</f>
        <v>0</v>
      </c>
      <c r="K175" s="205">
        <f>IFERROR(VLOOKUP($A175,'Budget &amp; Revenue'!$A:$AA,21,FALSE)," ")</f>
        <v>0</v>
      </c>
      <c r="L175" s="205">
        <f>IFERROR(VLOOKUP($A175,'Budget &amp; Revenue'!$A:$AA,23,FALSE)," ")</f>
        <v>0</v>
      </c>
      <c r="M175" s="205">
        <f>IFERROR(VLOOKUP($A175,'Budget &amp; Revenue'!$A:$AA,25,FALSE)," ")</f>
        <v>0</v>
      </c>
      <c r="N175" s="205">
        <f>IFERROR(VLOOKUP($A175,'Budget &amp; Revenue'!$A:$AA,27,FALSE)," ")</f>
        <v>0</v>
      </c>
    </row>
    <row r="176" spans="1:14" ht="28.5" x14ac:dyDescent="0.65">
      <c r="A176" s="283">
        <v>175</v>
      </c>
      <c r="B176" s="284" t="str">
        <f>VLOOKUP(A176,Estimate!A:C,3,FALSE)</f>
        <v>Additional 450 mm Diameter Class 2 RRJ (BOQ Item 5.1.3)</v>
      </c>
      <c r="C176" s="284">
        <f>IFERROR(VLOOKUP(A176,Estimate!A:L,12,FALSE),0)</f>
        <v>8.1329266869989827E-2</v>
      </c>
      <c r="D176" s="285" t="s">
        <v>1022</v>
      </c>
      <c r="E176" s="285">
        <v>165</v>
      </c>
      <c r="F176" s="279">
        <f>IFERROR(VLOOKUP(A176,Estimate!A:Q,17,FALSE),0)</f>
        <v>691.29113808309592</v>
      </c>
      <c r="G176" s="205">
        <f>IFERROR(VLOOKUP($A176,'Budget &amp; Revenue'!$A:$AA,13,FALSE)," ")</f>
        <v>0</v>
      </c>
      <c r="H176" s="205">
        <f>IFERROR(VLOOKUP($A176,'Budget &amp; Revenue'!$A:$AA,15,FALSE)," ")</f>
        <v>0</v>
      </c>
      <c r="I176" s="205">
        <f>IFERROR(VLOOKUP($A176,'Budget &amp; Revenue'!$A:$AA,17,FALSE)," ")</f>
        <v>1</v>
      </c>
      <c r="J176" s="205">
        <f>IFERROR(VLOOKUP($A176,'Budget &amp; Revenue'!$A:$AA,19,FALSE)," ")</f>
        <v>1</v>
      </c>
      <c r="K176" s="205">
        <f>IFERROR(VLOOKUP($A176,'Budget &amp; Revenue'!$A:$AA,21,FALSE)," ")</f>
        <v>1</v>
      </c>
      <c r="L176" s="205">
        <f>IFERROR(VLOOKUP($A176,'Budget &amp; Revenue'!$A:$AA,23,FALSE)," ")</f>
        <v>1</v>
      </c>
      <c r="M176" s="205">
        <f>IFERROR(VLOOKUP($A176,'Budget &amp; Revenue'!$A:$AA,25,FALSE)," ")</f>
        <v>1</v>
      </c>
      <c r="N176" s="205">
        <f>IFERROR(VLOOKUP($A176,'Budget &amp; Revenue'!$A:$AA,27,FALSE)," ")</f>
        <v>1</v>
      </c>
    </row>
    <row r="177" spans="1:14" ht="28.5" x14ac:dyDescent="0.65">
      <c r="A177" s="283">
        <v>176</v>
      </c>
      <c r="B177" s="284" t="str">
        <f>VLOOKUP(A177,Estimate!A:C,3,FALSE)</f>
        <v>Additional General Fill between rental car aprk and batter of new road one</v>
      </c>
      <c r="C177" s="284">
        <f>IFERROR(VLOOKUP(A177,Estimate!A:L,12,FALSE),0)</f>
        <v>0</v>
      </c>
      <c r="D177" s="285"/>
      <c r="E177" s="285"/>
      <c r="F177" s="279">
        <f>IFERROR(VLOOKUP(A177,Estimate!A:Q,17,FALSE),0)</f>
        <v>0</v>
      </c>
      <c r="G177" s="205">
        <f>IFERROR(VLOOKUP($A177,'Budget &amp; Revenue'!$A:$AA,13,FALSE)," ")</f>
        <v>0</v>
      </c>
      <c r="H177" s="205">
        <f>IFERROR(VLOOKUP($A177,'Budget &amp; Revenue'!$A:$AA,15,FALSE)," ")</f>
        <v>0</v>
      </c>
      <c r="I177" s="205">
        <f>IFERROR(VLOOKUP($A177,'Budget &amp; Revenue'!$A:$AA,17,FALSE)," ")</f>
        <v>0</v>
      </c>
      <c r="J177" s="205">
        <f>IFERROR(VLOOKUP($A177,'Budget &amp; Revenue'!$A:$AA,19,FALSE)," ")</f>
        <v>0</v>
      </c>
      <c r="K177" s="205">
        <f>IFERROR(VLOOKUP($A177,'Budget &amp; Revenue'!$A:$AA,21,FALSE)," ")</f>
        <v>0</v>
      </c>
      <c r="L177" s="205">
        <f>IFERROR(VLOOKUP($A177,'Budget &amp; Revenue'!$A:$AA,23,FALSE)," ")</f>
        <v>0</v>
      </c>
      <c r="M177" s="205">
        <f>IFERROR(VLOOKUP($A177,'Budget &amp; Revenue'!$A:$AA,25,FALSE)," ")</f>
        <v>0</v>
      </c>
      <c r="N177" s="205">
        <f>IFERROR(VLOOKUP($A177,'Budget &amp; Revenue'!$A:$AA,27,FALSE)," ")</f>
        <v>0</v>
      </c>
    </row>
    <row r="178" spans="1:14" x14ac:dyDescent="0.65">
      <c r="A178" s="283">
        <v>177</v>
      </c>
      <c r="B178" s="284" t="str">
        <f>VLOOKUP(A178,Estimate!A:C,3,FALSE)</f>
        <v>Cut to Fill (BOQ Item 3.3.4)</v>
      </c>
      <c r="C178" s="284">
        <f>IFERROR(VLOOKUP(A178,Estimate!A:L,12,FALSE),0)</f>
        <v>0.46000046000046002</v>
      </c>
      <c r="D178" s="285" t="s">
        <v>1023</v>
      </c>
      <c r="E178" s="285">
        <v>175</v>
      </c>
      <c r="F178" s="279">
        <f>IFERROR(VLOOKUP(A178,Estimate!A:Q,17,FALSE),0)</f>
        <v>3090.7430907430912</v>
      </c>
      <c r="G178" s="205">
        <f>IFERROR(VLOOKUP($A178,'Budget &amp; Revenue'!$A:$AA,13,FALSE)," ")</f>
        <v>0</v>
      </c>
      <c r="H178" s="205">
        <f>IFERROR(VLOOKUP($A178,'Budget &amp; Revenue'!$A:$AA,15,FALSE)," ")</f>
        <v>1</v>
      </c>
      <c r="I178" s="205">
        <f>IFERROR(VLOOKUP($A178,'Budget &amp; Revenue'!$A:$AA,17,FALSE)," ")</f>
        <v>1</v>
      </c>
      <c r="J178" s="205">
        <f>IFERROR(VLOOKUP($A178,'Budget &amp; Revenue'!$A:$AA,19,FALSE)," ")</f>
        <v>1</v>
      </c>
      <c r="K178" s="205">
        <f>IFERROR(VLOOKUP($A178,'Budget &amp; Revenue'!$A:$AA,21,FALSE)," ")</f>
        <v>1</v>
      </c>
      <c r="L178" s="205">
        <f>IFERROR(VLOOKUP($A178,'Budget &amp; Revenue'!$A:$AA,23,FALSE)," ")</f>
        <v>1</v>
      </c>
      <c r="M178" s="205">
        <f>IFERROR(VLOOKUP($A178,'Budget &amp; Revenue'!$A:$AA,25,FALSE)," ")</f>
        <v>1</v>
      </c>
      <c r="N178" s="205">
        <f>IFERROR(VLOOKUP($A178,'Budget &amp; Revenue'!$A:$AA,27,FALSE)," ")</f>
        <v>1</v>
      </c>
    </row>
    <row r="179" spans="1:14" x14ac:dyDescent="0.65">
      <c r="A179" s="283">
        <v>178</v>
      </c>
      <c r="B179" s="284" t="str">
        <f>VLOOKUP(A179,Estimate!A:C,3,FALSE)</f>
        <v>Additional Conduit &amp; Trenching</v>
      </c>
      <c r="C179" s="284">
        <f>IFERROR(VLOOKUP(A179,Estimate!A:L,12,FALSE),0)</f>
        <v>0</v>
      </c>
      <c r="D179" s="285"/>
      <c r="E179" s="285"/>
      <c r="F179" s="279">
        <f>IFERROR(VLOOKUP(A179,Estimate!A:Q,17,FALSE),0)</f>
        <v>502.50864012719745</v>
      </c>
      <c r="G179" s="205">
        <f>IFERROR(VLOOKUP($A179,'Budget &amp; Revenue'!$A:$AA,13,FALSE)," ")</f>
        <v>0</v>
      </c>
      <c r="H179" s="205">
        <f>IFERROR(VLOOKUP($A179,'Budget &amp; Revenue'!$A:$AA,15,FALSE)," ")</f>
        <v>0</v>
      </c>
      <c r="I179" s="205">
        <f>IFERROR(VLOOKUP($A179,'Budget &amp; Revenue'!$A:$AA,17,FALSE)," ")</f>
        <v>0</v>
      </c>
      <c r="J179" s="205">
        <f>IFERROR(VLOOKUP($A179,'Budget &amp; Revenue'!$A:$AA,19,FALSE)," ")</f>
        <v>0</v>
      </c>
      <c r="K179" s="205">
        <f>IFERROR(VLOOKUP($A179,'Budget &amp; Revenue'!$A:$AA,21,FALSE)," ")</f>
        <v>0</v>
      </c>
      <c r="L179" s="205">
        <f>IFERROR(VLOOKUP($A179,'Budget &amp; Revenue'!$A:$AA,23,FALSE)," ")</f>
        <v>0</v>
      </c>
      <c r="M179" s="205">
        <f>IFERROR(VLOOKUP($A179,'Budget &amp; Revenue'!$A:$AA,25,FALSE)," ")</f>
        <v>0</v>
      </c>
      <c r="N179" s="205">
        <f>IFERROR(VLOOKUP($A179,'Budget &amp; Revenue'!$A:$AA,27,FALSE)," ")</f>
        <v>0</v>
      </c>
    </row>
    <row r="180" spans="1:14" x14ac:dyDescent="0.65">
      <c r="A180" s="283">
        <v>179</v>
      </c>
      <c r="B180" s="284" t="str">
        <f>VLOOKUP(A180,Estimate!A:C,3,FALSE)</f>
        <v>Additional Trenching (BOQ Item 6.1)</v>
      </c>
      <c r="C180" s="284">
        <f>IFERROR(VLOOKUP(A180,Estimate!A:L,12,FALSE),0)</f>
        <v>0.22222222222222221</v>
      </c>
      <c r="D180" s="285" t="s">
        <v>1024</v>
      </c>
      <c r="E180" s="285">
        <v>164180</v>
      </c>
      <c r="F180" s="279">
        <f>IFERROR(VLOOKUP(A180,Estimate!A:Q,17,FALSE),0)</f>
        <v>346.71364012719744</v>
      </c>
      <c r="G180" s="205">
        <f>IFERROR(VLOOKUP($A180,'Budget &amp; Revenue'!$A:$AA,13,FALSE)," ")</f>
        <v>0</v>
      </c>
      <c r="H180" s="205">
        <f>IFERROR(VLOOKUP($A180,'Budget &amp; Revenue'!$A:$AA,15,FALSE)," ")</f>
        <v>1</v>
      </c>
      <c r="I180" s="205">
        <f>IFERROR(VLOOKUP($A180,'Budget &amp; Revenue'!$A:$AA,17,FALSE)," ")</f>
        <v>1</v>
      </c>
      <c r="J180" s="205">
        <f>IFERROR(VLOOKUP($A180,'Budget &amp; Revenue'!$A:$AA,19,FALSE)," ")</f>
        <v>1</v>
      </c>
      <c r="K180" s="205">
        <f>IFERROR(VLOOKUP($A180,'Budget &amp; Revenue'!$A:$AA,21,FALSE)," ")</f>
        <v>1</v>
      </c>
      <c r="L180" s="205">
        <f>IFERROR(VLOOKUP($A180,'Budget &amp; Revenue'!$A:$AA,23,FALSE)," ")</f>
        <v>1</v>
      </c>
      <c r="M180" s="205">
        <f>IFERROR(VLOOKUP($A180,'Budget &amp; Revenue'!$A:$AA,25,FALSE)," ")</f>
        <v>1</v>
      </c>
      <c r="N180" s="205">
        <f>IFERROR(VLOOKUP($A180,'Budget &amp; Revenue'!$A:$AA,27,FALSE)," ")</f>
        <v>1</v>
      </c>
    </row>
    <row r="181" spans="1:14" ht="28.5" x14ac:dyDescent="0.65">
      <c r="A181" s="283">
        <v>180</v>
      </c>
      <c r="B181" s="284" t="str">
        <f>VLOOKUP(A181,Estimate!A:C,3,FALSE)</f>
        <v>Additional 100 diameter communications conduit</v>
      </c>
      <c r="C181" s="284">
        <f>IFERROR(VLOOKUP(A181,Estimate!A:L,12,FALSE),0)</f>
        <v>0.22222222222222221</v>
      </c>
      <c r="D181" s="285">
        <v>179</v>
      </c>
      <c r="E181" s="285"/>
      <c r="F181" s="279">
        <f>IFERROR(VLOOKUP(A181,Estimate!A:Q,17,FALSE),0)</f>
        <v>46.725000000000001</v>
      </c>
      <c r="G181" s="205">
        <f>IFERROR(VLOOKUP($A181,'Budget &amp; Revenue'!$A:$AA,13,FALSE)," ")</f>
        <v>0</v>
      </c>
      <c r="H181" s="205">
        <f>IFERROR(VLOOKUP($A181,'Budget &amp; Revenue'!$A:$AA,15,FALSE)," ")</f>
        <v>1</v>
      </c>
      <c r="I181" s="205">
        <f>IFERROR(VLOOKUP($A181,'Budget &amp; Revenue'!$A:$AA,17,FALSE)," ")</f>
        <v>1</v>
      </c>
      <c r="J181" s="205">
        <f>IFERROR(VLOOKUP($A181,'Budget &amp; Revenue'!$A:$AA,19,FALSE)," ")</f>
        <v>1</v>
      </c>
      <c r="K181" s="205">
        <f>IFERROR(VLOOKUP($A181,'Budget &amp; Revenue'!$A:$AA,21,FALSE)," ")</f>
        <v>1</v>
      </c>
      <c r="L181" s="205">
        <f>IFERROR(VLOOKUP($A181,'Budget &amp; Revenue'!$A:$AA,23,FALSE)," ")</f>
        <v>1</v>
      </c>
      <c r="M181" s="205">
        <f>IFERROR(VLOOKUP($A181,'Budget &amp; Revenue'!$A:$AA,25,FALSE)," ")</f>
        <v>1</v>
      </c>
      <c r="N181" s="205">
        <f>IFERROR(VLOOKUP($A181,'Budget &amp; Revenue'!$A:$AA,27,FALSE)," ")</f>
        <v>1</v>
      </c>
    </row>
    <row r="182" spans="1:14" ht="28.5" x14ac:dyDescent="0.65">
      <c r="A182" s="283">
        <v>181</v>
      </c>
      <c r="B182" s="284" t="str">
        <f>VLOOKUP(A182,Estimate!A:C,3,FALSE)</f>
        <v>Additional 100 diameter electrical conduit (BOQ Item 6.2)</v>
      </c>
      <c r="C182" s="284">
        <f>IFERROR(VLOOKUP(A182,Estimate!A:L,12,FALSE),0)</f>
        <v>0.22222222222222221</v>
      </c>
      <c r="D182" s="285" t="s">
        <v>1025</v>
      </c>
      <c r="E182" s="285">
        <v>165</v>
      </c>
      <c r="F182" s="279">
        <f>IFERROR(VLOOKUP(A182,Estimate!A:Q,17,FALSE),0)</f>
        <v>109.07000000000001</v>
      </c>
      <c r="G182" s="205">
        <f>IFERROR(VLOOKUP($A182,'Budget &amp; Revenue'!$A:$AA,13,FALSE)," ")</f>
        <v>0</v>
      </c>
      <c r="H182" s="205">
        <f>IFERROR(VLOOKUP($A182,'Budget &amp; Revenue'!$A:$AA,15,FALSE)," ")</f>
        <v>1</v>
      </c>
      <c r="I182" s="205">
        <f>IFERROR(VLOOKUP($A182,'Budget &amp; Revenue'!$A:$AA,17,FALSE)," ")</f>
        <v>1</v>
      </c>
      <c r="J182" s="205">
        <f>IFERROR(VLOOKUP($A182,'Budget &amp; Revenue'!$A:$AA,19,FALSE)," ")</f>
        <v>1</v>
      </c>
      <c r="K182" s="205">
        <f>IFERROR(VLOOKUP($A182,'Budget &amp; Revenue'!$A:$AA,21,FALSE)," ")</f>
        <v>1</v>
      </c>
      <c r="L182" s="205">
        <f>IFERROR(VLOOKUP($A182,'Budget &amp; Revenue'!$A:$AA,23,FALSE)," ")</f>
        <v>1</v>
      </c>
      <c r="M182" s="205">
        <f>IFERROR(VLOOKUP($A182,'Budget &amp; Revenue'!$A:$AA,25,FALSE)," ")</f>
        <v>1</v>
      </c>
      <c r="N182" s="205">
        <f>IFERROR(VLOOKUP($A182,'Budget &amp; Revenue'!$A:$AA,27,FALSE)," ")</f>
        <v>1</v>
      </c>
    </row>
    <row r="183" spans="1:14" ht="28.5" x14ac:dyDescent="0.65">
      <c r="A183" s="283">
        <v>182</v>
      </c>
      <c r="B183" s="284" t="str">
        <f>VLOOKUP(A183,Estimate!A:C,3,FALSE)</f>
        <v>Remove &amp; Replace Unsuitable (Extra Over BOQ Item 3.3.7)</v>
      </c>
      <c r="C183" s="284">
        <f>IFERROR(VLOOKUP(A183,Estimate!A:L,12,FALSE),0)</f>
        <v>3.6666700000333341</v>
      </c>
      <c r="D183" s="285">
        <v>187</v>
      </c>
      <c r="E183" s="285">
        <v>183</v>
      </c>
      <c r="F183" s="279">
        <f>IFERROR(VLOOKUP(A183,Estimate!A:Q,17,FALSE),0)</f>
        <v>5113.1159905323047</v>
      </c>
      <c r="G183" s="205">
        <f>IFERROR(VLOOKUP($A183,'Budget &amp; Revenue'!$A:$AA,13,FALSE)," ")</f>
        <v>0</v>
      </c>
      <c r="H183" s="205">
        <f>IFERROR(VLOOKUP($A183,'Budget &amp; Revenue'!$A:$AA,15,FALSE)," ")</f>
        <v>1</v>
      </c>
      <c r="I183" s="205">
        <f>IFERROR(VLOOKUP($A183,'Budget &amp; Revenue'!$A:$AA,17,FALSE)," ")</f>
        <v>1</v>
      </c>
      <c r="J183" s="205">
        <f>IFERROR(VLOOKUP($A183,'Budget &amp; Revenue'!$A:$AA,19,FALSE)," ")</f>
        <v>1</v>
      </c>
      <c r="K183" s="205">
        <f>IFERROR(VLOOKUP($A183,'Budget &amp; Revenue'!$A:$AA,21,FALSE)," ")</f>
        <v>1</v>
      </c>
      <c r="L183" s="205">
        <f>IFERROR(VLOOKUP($A183,'Budget &amp; Revenue'!$A:$AA,23,FALSE)," ")</f>
        <v>1</v>
      </c>
      <c r="M183" s="205">
        <f>IFERROR(VLOOKUP($A183,'Budget &amp; Revenue'!$A:$AA,25,FALSE)," ")</f>
        <v>1</v>
      </c>
      <c r="N183" s="205">
        <f>IFERROR(VLOOKUP($A183,'Budget &amp; Revenue'!$A:$AA,27,FALSE)," ")</f>
        <v>1</v>
      </c>
    </row>
    <row r="184" spans="1:14" ht="28.5" x14ac:dyDescent="0.65">
      <c r="A184" s="283">
        <v>183</v>
      </c>
      <c r="B184" s="284" t="str">
        <f>VLOOKUP(A184,Estimate!A:C,3,FALSE)</f>
        <v>Remove &amp; Replace Soft Spots - Rental Car Park</v>
      </c>
      <c r="C184" s="284">
        <f>IFERROR(VLOOKUP(A184,Estimate!A:L,12,FALSE),0)</f>
        <v>2.7500025000250004</v>
      </c>
      <c r="D184" s="285" t="s">
        <v>1790</v>
      </c>
      <c r="E184" s="285">
        <v>41</v>
      </c>
      <c r="F184" s="279">
        <f>IFERROR(VLOOKUP(A184,Estimate!A:Q,17,FALSE),0)</f>
        <v>3834.8369928992274</v>
      </c>
      <c r="G184" s="205">
        <f>IFERROR(VLOOKUP($A184,'Budget &amp; Revenue'!$A:$AA,13,FALSE)," ")</f>
        <v>0</v>
      </c>
      <c r="H184" s="205">
        <f>IFERROR(VLOOKUP($A184,'Budget &amp; Revenue'!$A:$AA,15,FALSE)," ")</f>
        <v>1</v>
      </c>
      <c r="I184" s="205">
        <f>IFERROR(VLOOKUP($A184,'Budget &amp; Revenue'!$A:$AA,17,FALSE)," ")</f>
        <v>1</v>
      </c>
      <c r="J184" s="205">
        <f>IFERROR(VLOOKUP($A184,'Budget &amp; Revenue'!$A:$AA,19,FALSE)," ")</f>
        <v>1</v>
      </c>
      <c r="K184" s="205">
        <f>IFERROR(VLOOKUP($A184,'Budget &amp; Revenue'!$A:$AA,21,FALSE)," ")</f>
        <v>1</v>
      </c>
      <c r="L184" s="205">
        <f>IFERROR(VLOOKUP($A184,'Budget &amp; Revenue'!$A:$AA,23,FALSE)," ")</f>
        <v>1</v>
      </c>
      <c r="M184" s="205">
        <f>IFERROR(VLOOKUP($A184,'Budget &amp; Revenue'!$A:$AA,25,FALSE)," ")</f>
        <v>1</v>
      </c>
      <c r="N184" s="205">
        <f>IFERROR(VLOOKUP($A184,'Budget &amp; Revenue'!$A:$AA,27,FALSE)," ")</f>
        <v>1</v>
      </c>
    </row>
    <row r="185" spans="1:14" x14ac:dyDescent="0.65">
      <c r="A185" s="283">
        <v>184</v>
      </c>
      <c r="B185" s="284" t="str">
        <f>VLOOKUP(A185,Estimate!A:C,3,FALSE)</f>
        <v>Extension To Commercial Car Park</v>
      </c>
      <c r="C185" s="284">
        <f>IFERROR(VLOOKUP(A185,Estimate!A:L,12,FALSE),0)</f>
        <v>0</v>
      </c>
      <c r="D185" s="285"/>
      <c r="E185" s="285"/>
      <c r="F185" s="279">
        <f>IFERROR(VLOOKUP(A185,Estimate!A:Q,17,FALSE),0)</f>
        <v>75658.325289996894</v>
      </c>
      <c r="G185" s="205">
        <f>IFERROR(VLOOKUP($A185,'Budget &amp; Revenue'!$A:$AA,13,FALSE)," ")</f>
        <v>0</v>
      </c>
      <c r="H185" s="205">
        <f>IFERROR(VLOOKUP($A185,'Budget &amp; Revenue'!$A:$AA,15,FALSE)," ")</f>
        <v>0</v>
      </c>
      <c r="I185" s="205">
        <f>IFERROR(VLOOKUP($A185,'Budget &amp; Revenue'!$A:$AA,17,FALSE)," ")</f>
        <v>0</v>
      </c>
      <c r="J185" s="205">
        <f>IFERROR(VLOOKUP($A185,'Budget &amp; Revenue'!$A:$AA,19,FALSE)," ")</f>
        <v>0</v>
      </c>
      <c r="K185" s="205">
        <f>IFERROR(VLOOKUP($A185,'Budget &amp; Revenue'!$A:$AA,21,FALSE)," ")</f>
        <v>0</v>
      </c>
      <c r="L185" s="205">
        <f>IFERROR(VLOOKUP($A185,'Budget &amp; Revenue'!$A:$AA,23,FALSE)," ")</f>
        <v>0</v>
      </c>
      <c r="M185" s="205">
        <f>IFERROR(VLOOKUP($A185,'Budget &amp; Revenue'!$A:$AA,25,FALSE)," ")</f>
        <v>0</v>
      </c>
      <c r="N185" s="205">
        <f>IFERROR(VLOOKUP($A185,'Budget &amp; Revenue'!$A:$AA,27,FALSE)," ")</f>
        <v>0</v>
      </c>
    </row>
    <row r="186" spans="1:14" x14ac:dyDescent="0.65">
      <c r="A186" s="283">
        <v>185</v>
      </c>
      <c r="B186" s="284" t="str">
        <f>VLOOKUP(A186,Estimate!A:C,3,FALSE)</f>
        <v>Clear &amp; Grubbing (BOQ Item 3.2.1)</v>
      </c>
      <c r="C186" s="284">
        <f>IFERROR(VLOOKUP(A186,Estimate!A:L,12,FALSE),0)</f>
        <v>0.1111111111111111</v>
      </c>
      <c r="D186" s="285">
        <v>19</v>
      </c>
      <c r="E186" s="285">
        <v>186</v>
      </c>
      <c r="F186" s="279">
        <f>IFERROR(VLOOKUP(A186,Estimate!A:Q,17,FALSE),0)</f>
        <v>192</v>
      </c>
      <c r="G186" s="205">
        <f>IFERROR(VLOOKUP($A186,'Budget &amp; Revenue'!$A:$AA,13,FALSE)," ")</f>
        <v>0</v>
      </c>
      <c r="H186" s="205">
        <f>IFERROR(VLOOKUP($A186,'Budget &amp; Revenue'!$A:$AA,15,FALSE)," ")</f>
        <v>0</v>
      </c>
      <c r="I186" s="205">
        <f>IFERROR(VLOOKUP($A186,'Budget &amp; Revenue'!$A:$AA,17,FALSE)," ")</f>
        <v>1</v>
      </c>
      <c r="J186" s="205">
        <f>IFERROR(VLOOKUP($A186,'Budget &amp; Revenue'!$A:$AA,19,FALSE)," ")</f>
        <v>1</v>
      </c>
      <c r="K186" s="205">
        <f>IFERROR(VLOOKUP($A186,'Budget &amp; Revenue'!$A:$AA,21,FALSE)," ")</f>
        <v>1</v>
      </c>
      <c r="L186" s="205">
        <f>IFERROR(VLOOKUP($A186,'Budget &amp; Revenue'!$A:$AA,23,FALSE)," ")</f>
        <v>1</v>
      </c>
      <c r="M186" s="205">
        <f>IFERROR(VLOOKUP($A186,'Budget &amp; Revenue'!$A:$AA,25,FALSE)," ")</f>
        <v>1</v>
      </c>
      <c r="N186" s="205">
        <f>IFERROR(VLOOKUP($A186,'Budget &amp; Revenue'!$A:$AA,27,FALSE)," ")</f>
        <v>1</v>
      </c>
    </row>
    <row r="187" spans="1:14" x14ac:dyDescent="0.65">
      <c r="A187" s="283">
        <v>186</v>
      </c>
      <c r="B187" s="284" t="str">
        <f>VLOOKUP(A187,Estimate!A:C,3,FALSE)</f>
        <v>Stripping Topsoil (BOQ item 3.3.1)</v>
      </c>
      <c r="C187" s="284">
        <f>IFERROR(VLOOKUP(A187,Estimate!A:L,12,FALSE),0)</f>
        <v>0.5</v>
      </c>
      <c r="D187" s="285">
        <v>29185</v>
      </c>
      <c r="E187" s="285">
        <v>187</v>
      </c>
      <c r="F187" s="279">
        <f>IFERROR(VLOOKUP(A187,Estimate!A:Q,17,FALSE),0)</f>
        <v>1543.5</v>
      </c>
      <c r="G187" s="205">
        <f>IFERROR(VLOOKUP($A187,'Budget &amp; Revenue'!$A:$AA,13,FALSE)," ")</f>
        <v>0</v>
      </c>
      <c r="H187" s="205">
        <f>IFERROR(VLOOKUP($A187,'Budget &amp; Revenue'!$A:$AA,15,FALSE)," ")</f>
        <v>0</v>
      </c>
      <c r="I187" s="205">
        <f>IFERROR(VLOOKUP($A187,'Budget &amp; Revenue'!$A:$AA,17,FALSE)," ")</f>
        <v>1</v>
      </c>
      <c r="J187" s="205">
        <f>IFERROR(VLOOKUP($A187,'Budget &amp; Revenue'!$A:$AA,19,FALSE)," ")</f>
        <v>1</v>
      </c>
      <c r="K187" s="205">
        <f>IFERROR(VLOOKUP($A187,'Budget &amp; Revenue'!$A:$AA,21,FALSE)," ")</f>
        <v>1</v>
      </c>
      <c r="L187" s="205">
        <f>IFERROR(VLOOKUP($A187,'Budget &amp; Revenue'!$A:$AA,23,FALSE)," ")</f>
        <v>1</v>
      </c>
      <c r="M187" s="205">
        <f>IFERROR(VLOOKUP($A187,'Budget &amp; Revenue'!$A:$AA,25,FALSE)," ")</f>
        <v>1</v>
      </c>
      <c r="N187" s="205">
        <f>IFERROR(VLOOKUP($A187,'Budget &amp; Revenue'!$A:$AA,27,FALSE)," ")</f>
        <v>1</v>
      </c>
    </row>
    <row r="188" spans="1:14" x14ac:dyDescent="0.65">
      <c r="A188" s="283">
        <v>187</v>
      </c>
      <c r="B188" s="284" t="str">
        <f>VLOOKUP(A188,Estimate!A:C,3,FALSE)</f>
        <v>Import General Fill (BOQ Item 3.3.5)</v>
      </c>
      <c r="C188" s="284">
        <f>IFERROR(VLOOKUP(A188,Estimate!A:L,12,FALSE),0)</f>
        <v>1.3499983125021096</v>
      </c>
      <c r="D188" s="285" t="s">
        <v>1026</v>
      </c>
      <c r="E188" s="285">
        <v>188182</v>
      </c>
      <c r="F188" s="279">
        <f>IFERROR(VLOOKUP(A188,Estimate!A:Q,17,FALSE),0)</f>
        <v>14584.037389342309</v>
      </c>
      <c r="G188" s="205">
        <f>IFERROR(VLOOKUP($A188,'Budget &amp; Revenue'!$A:$AA,13,FALSE)," ")</f>
        <v>0</v>
      </c>
      <c r="H188" s="205">
        <f>IFERROR(VLOOKUP($A188,'Budget &amp; Revenue'!$A:$AA,15,FALSE)," ")</f>
        <v>0</v>
      </c>
      <c r="I188" s="205">
        <f>IFERROR(VLOOKUP($A188,'Budget &amp; Revenue'!$A:$AA,17,FALSE)," ")</f>
        <v>0</v>
      </c>
      <c r="J188" s="205">
        <f>IFERROR(VLOOKUP($A188,'Budget &amp; Revenue'!$A:$AA,19,FALSE)," ")</f>
        <v>1</v>
      </c>
      <c r="K188" s="205">
        <f>IFERROR(VLOOKUP($A188,'Budget &amp; Revenue'!$A:$AA,21,FALSE)," ")</f>
        <v>1</v>
      </c>
      <c r="L188" s="205">
        <f>IFERROR(VLOOKUP($A188,'Budget &amp; Revenue'!$A:$AA,23,FALSE)," ")</f>
        <v>1</v>
      </c>
      <c r="M188" s="205">
        <f>IFERROR(VLOOKUP($A188,'Budget &amp; Revenue'!$A:$AA,25,FALSE)," ")</f>
        <v>1</v>
      </c>
      <c r="N188" s="205">
        <f>IFERROR(VLOOKUP($A188,'Budget &amp; Revenue'!$A:$AA,27,FALSE)," ")</f>
        <v>1</v>
      </c>
    </row>
    <row r="189" spans="1:14" x14ac:dyDescent="0.65">
      <c r="A189" s="283">
        <v>188</v>
      </c>
      <c r="B189" s="284" t="str">
        <f>VLOOKUP(A189,Estimate!A:C,3,FALSE)</f>
        <v>Prepare Sub-grade (BOQ Item 4.1)</v>
      </c>
      <c r="C189" s="284">
        <f>IFERROR(VLOOKUP(A189,Estimate!A:L,12,FALSE),0)</f>
        <v>1.142857142857143</v>
      </c>
      <c r="D189" s="285">
        <v>187</v>
      </c>
      <c r="E189" s="285">
        <v>189</v>
      </c>
      <c r="F189" s="279">
        <f>IFERROR(VLOOKUP(A189,Estimate!A:Q,17,FALSE),0)</f>
        <v>3667.4285714285716</v>
      </c>
      <c r="G189" s="205">
        <f>IFERROR(VLOOKUP($A189,'Budget &amp; Revenue'!$A:$AA,13,FALSE)," ")</f>
        <v>0</v>
      </c>
      <c r="H189" s="205">
        <f>IFERROR(VLOOKUP($A189,'Budget &amp; Revenue'!$A:$AA,15,FALSE)," ")</f>
        <v>0</v>
      </c>
      <c r="I189" s="205">
        <f>IFERROR(VLOOKUP($A189,'Budget &amp; Revenue'!$A:$AA,17,FALSE)," ")</f>
        <v>0</v>
      </c>
      <c r="J189" s="205">
        <f>IFERROR(VLOOKUP($A189,'Budget &amp; Revenue'!$A:$AA,19,FALSE)," ")</f>
        <v>1</v>
      </c>
      <c r="K189" s="205">
        <f>IFERROR(VLOOKUP($A189,'Budget &amp; Revenue'!$A:$AA,21,FALSE)," ")</f>
        <v>1</v>
      </c>
      <c r="L189" s="205">
        <f>IFERROR(VLOOKUP($A189,'Budget &amp; Revenue'!$A:$AA,23,FALSE)," ")</f>
        <v>1</v>
      </c>
      <c r="M189" s="205">
        <f>IFERROR(VLOOKUP($A189,'Budget &amp; Revenue'!$A:$AA,25,FALSE)," ")</f>
        <v>1</v>
      </c>
      <c r="N189" s="205">
        <f>IFERROR(VLOOKUP($A189,'Budget &amp; Revenue'!$A:$AA,27,FALSE)," ")</f>
        <v>1</v>
      </c>
    </row>
    <row r="190" spans="1:14" x14ac:dyDescent="0.65">
      <c r="A190" s="283">
        <v>189</v>
      </c>
      <c r="B190" s="284" t="str">
        <f>VLOOKUP(A190,Estimate!A:C,3,FALSE)</f>
        <v>Import 2.1 (BOQ Item 4.2.3.1)</v>
      </c>
      <c r="C190" s="284">
        <f>IFERROR(VLOOKUP(A190,Estimate!A:L,12,FALSE),0)</f>
        <v>0.75535498470004359</v>
      </c>
      <c r="D190" s="285">
        <v>53188</v>
      </c>
      <c r="E190" s="285">
        <v>190</v>
      </c>
      <c r="F190" s="279">
        <f>IFERROR(VLOOKUP(A190,Estimate!A:Q,17,FALSE),0)</f>
        <v>14156.140550669856</v>
      </c>
      <c r="G190" s="205">
        <f>IFERROR(VLOOKUP($A190,'Budget &amp; Revenue'!$A:$AA,13,FALSE)," ")</f>
        <v>0</v>
      </c>
      <c r="H190" s="205">
        <f>IFERROR(VLOOKUP($A190,'Budget &amp; Revenue'!$A:$AA,15,FALSE)," ")</f>
        <v>0</v>
      </c>
      <c r="I190" s="205">
        <f>IFERROR(VLOOKUP($A190,'Budget &amp; Revenue'!$A:$AA,17,FALSE)," ")</f>
        <v>0</v>
      </c>
      <c r="J190" s="205">
        <f>IFERROR(VLOOKUP($A190,'Budget &amp; Revenue'!$A:$AA,19,FALSE)," ")</f>
        <v>1</v>
      </c>
      <c r="K190" s="205">
        <f>IFERROR(VLOOKUP($A190,'Budget &amp; Revenue'!$A:$AA,21,FALSE)," ")</f>
        <v>1</v>
      </c>
      <c r="L190" s="205">
        <f>IFERROR(VLOOKUP($A190,'Budget &amp; Revenue'!$A:$AA,23,FALSE)," ")</f>
        <v>1</v>
      </c>
      <c r="M190" s="205">
        <f>IFERROR(VLOOKUP($A190,'Budget &amp; Revenue'!$A:$AA,25,FALSE)," ")</f>
        <v>1</v>
      </c>
      <c r="N190" s="205">
        <f>IFERROR(VLOOKUP($A190,'Budget &amp; Revenue'!$A:$AA,27,FALSE)," ")</f>
        <v>1</v>
      </c>
    </row>
    <row r="191" spans="1:14" x14ac:dyDescent="0.65">
      <c r="A191" s="283">
        <v>190</v>
      </c>
      <c r="B191" s="284" t="str">
        <f>VLOOKUP(A191,Estimate!A:C,3,FALSE)</f>
        <v>Import 2.3 (BOQ Item 4.2.3.2)</v>
      </c>
      <c r="C191" s="284">
        <f>IFERROR(VLOOKUP(A191,Estimate!A:L,12,FALSE),0)</f>
        <v>0.60428398776003489</v>
      </c>
      <c r="D191" s="285">
        <v>54189</v>
      </c>
      <c r="E191" s="285">
        <v>191</v>
      </c>
      <c r="F191" s="279">
        <f>IFERROR(VLOOKUP(A191,Estimate!A:Q,17,FALSE),0)</f>
        <v>11007.662440535883</v>
      </c>
      <c r="G191" s="205">
        <f>IFERROR(VLOOKUP($A191,'Budget &amp; Revenue'!$A:$AA,13,FALSE)," ")</f>
        <v>0</v>
      </c>
      <c r="H191" s="205">
        <f>IFERROR(VLOOKUP($A191,'Budget &amp; Revenue'!$A:$AA,15,FALSE)," ")</f>
        <v>0</v>
      </c>
      <c r="I191" s="205">
        <f>IFERROR(VLOOKUP($A191,'Budget &amp; Revenue'!$A:$AA,17,FALSE)," ")</f>
        <v>0</v>
      </c>
      <c r="J191" s="205">
        <f>IFERROR(VLOOKUP($A191,'Budget &amp; Revenue'!$A:$AA,19,FALSE)," ")</f>
        <v>1</v>
      </c>
      <c r="K191" s="205">
        <f>IFERROR(VLOOKUP($A191,'Budget &amp; Revenue'!$A:$AA,21,FALSE)," ")</f>
        <v>1</v>
      </c>
      <c r="L191" s="205">
        <f>IFERROR(VLOOKUP($A191,'Budget &amp; Revenue'!$A:$AA,23,FALSE)," ")</f>
        <v>1</v>
      </c>
      <c r="M191" s="205">
        <f>IFERROR(VLOOKUP($A191,'Budget &amp; Revenue'!$A:$AA,25,FALSE)," ")</f>
        <v>1</v>
      </c>
      <c r="N191" s="205">
        <f>IFERROR(VLOOKUP($A191,'Budget &amp; Revenue'!$A:$AA,27,FALSE)," ")</f>
        <v>1</v>
      </c>
    </row>
    <row r="192" spans="1:14" x14ac:dyDescent="0.65">
      <c r="A192" s="283">
        <v>191</v>
      </c>
      <c r="B192" s="284" t="str">
        <f>VLOOKUP(A192,Estimate!A:C,3,FALSE)</f>
        <v>Primer Seal (7mm) (BOQ Item 4.5.1.1)</v>
      </c>
      <c r="C192" s="284">
        <f>IFERROR(VLOOKUP(A192,Estimate!A:L,12,FALSE),0)</f>
        <v>1</v>
      </c>
      <c r="D192" s="285" t="s">
        <v>1027</v>
      </c>
      <c r="E192" s="285">
        <v>192</v>
      </c>
      <c r="F192" s="279">
        <f>IFERROR(VLOOKUP(A192,Estimate!A:Q,17,FALSE),0)</f>
        <v>8486.1</v>
      </c>
      <c r="G192" s="205">
        <f>IFERROR(VLOOKUP($A192,'Budget &amp; Revenue'!$A:$AA,13,FALSE)," ")</f>
        <v>0</v>
      </c>
      <c r="H192" s="205">
        <f>IFERROR(VLOOKUP($A192,'Budget &amp; Revenue'!$A:$AA,15,FALSE)," ")</f>
        <v>0</v>
      </c>
      <c r="I192" s="205">
        <f>IFERROR(VLOOKUP($A192,'Budget &amp; Revenue'!$A:$AA,17,FALSE)," ")</f>
        <v>0</v>
      </c>
      <c r="J192" s="205">
        <f>IFERROR(VLOOKUP($A192,'Budget &amp; Revenue'!$A:$AA,19,FALSE)," ")</f>
        <v>0</v>
      </c>
      <c r="K192" s="205">
        <f>IFERROR(VLOOKUP($A192,'Budget &amp; Revenue'!$A:$AA,21,FALSE)," ")</f>
        <v>1</v>
      </c>
      <c r="L192" s="205">
        <f>IFERROR(VLOOKUP($A192,'Budget &amp; Revenue'!$A:$AA,23,FALSE)," ")</f>
        <v>1</v>
      </c>
      <c r="M192" s="205">
        <f>IFERROR(VLOOKUP($A192,'Budget &amp; Revenue'!$A:$AA,25,FALSE)," ")</f>
        <v>1</v>
      </c>
      <c r="N192" s="205">
        <f>IFERROR(VLOOKUP($A192,'Budget &amp; Revenue'!$A:$AA,27,FALSE)," ")</f>
        <v>1</v>
      </c>
    </row>
    <row r="193" spans="1:14" x14ac:dyDescent="0.65">
      <c r="A193" s="283">
        <v>192</v>
      </c>
      <c r="B193" s="284" t="str">
        <f>VLOOKUP(A193,Estimate!A:C,3,FALSE)</f>
        <v>SM4 Kerb (BOQ Item 4.4.1.3)</v>
      </c>
      <c r="C193" s="284">
        <f>IFERROR(VLOOKUP(A193,Estimate!A:L,12,FALSE),0)</f>
        <v>1</v>
      </c>
      <c r="D193" s="285" t="s">
        <v>1028</v>
      </c>
      <c r="E193" s="285">
        <v>193</v>
      </c>
      <c r="F193" s="279">
        <f>IFERROR(VLOOKUP(A193,Estimate!A:Q,17,FALSE),0)</f>
        <v>1071.6804849432929</v>
      </c>
      <c r="G193" s="205">
        <f>IFERROR(VLOOKUP($A193,'Budget &amp; Revenue'!$A:$AA,13,FALSE)," ")</f>
        <v>0</v>
      </c>
      <c r="H193" s="205">
        <f>IFERROR(VLOOKUP($A193,'Budget &amp; Revenue'!$A:$AA,15,FALSE)," ")</f>
        <v>0</v>
      </c>
      <c r="I193" s="205">
        <f>IFERROR(VLOOKUP($A193,'Budget &amp; Revenue'!$A:$AA,17,FALSE)," ")</f>
        <v>0</v>
      </c>
      <c r="J193" s="205">
        <f>IFERROR(VLOOKUP($A193,'Budget &amp; Revenue'!$A:$AA,19,FALSE)," ")</f>
        <v>0</v>
      </c>
      <c r="K193" s="205">
        <f>IFERROR(VLOOKUP($A193,'Budget &amp; Revenue'!$A:$AA,21,FALSE)," ")</f>
        <v>0</v>
      </c>
      <c r="L193" s="205">
        <f>IFERROR(VLOOKUP($A193,'Budget &amp; Revenue'!$A:$AA,23,FALSE)," ")</f>
        <v>1</v>
      </c>
      <c r="M193" s="205">
        <f>IFERROR(VLOOKUP($A193,'Budget &amp; Revenue'!$A:$AA,25,FALSE)," ")</f>
        <v>1</v>
      </c>
      <c r="N193" s="205">
        <f>IFERROR(VLOOKUP($A193,'Budget &amp; Revenue'!$A:$AA,27,FALSE)," ")</f>
        <v>1</v>
      </c>
    </row>
    <row r="194" spans="1:14" x14ac:dyDescent="0.65">
      <c r="A194" s="283">
        <v>193</v>
      </c>
      <c r="B194" s="284" t="str">
        <f>VLOOKUP(A194,Estimate!A:C,3,FALSE)</f>
        <v>B1 Kerb (BOQ Item 4.4.1.1)</v>
      </c>
      <c r="C194" s="284">
        <f>IFERROR(VLOOKUP(A194,Estimate!A:L,12,FALSE),0)</f>
        <v>1</v>
      </c>
      <c r="D194" s="285" t="s">
        <v>1029</v>
      </c>
      <c r="E194" s="285" t="s">
        <v>1791</v>
      </c>
      <c r="F194" s="279">
        <f>IFERROR(VLOOKUP(A194,Estimate!A:Q,17,FALSE),0)</f>
        <v>2431.2907617057162</v>
      </c>
      <c r="G194" s="205">
        <f>IFERROR(VLOOKUP($A194,'Budget &amp; Revenue'!$A:$AA,13,FALSE)," ")</f>
        <v>0</v>
      </c>
      <c r="H194" s="205">
        <f>IFERROR(VLOOKUP($A194,'Budget &amp; Revenue'!$A:$AA,15,FALSE)," ")</f>
        <v>0</v>
      </c>
      <c r="I194" s="205">
        <f>IFERROR(VLOOKUP($A194,'Budget &amp; Revenue'!$A:$AA,17,FALSE)," ")</f>
        <v>0</v>
      </c>
      <c r="J194" s="205">
        <f>IFERROR(VLOOKUP($A194,'Budget &amp; Revenue'!$A:$AA,19,FALSE)," ")</f>
        <v>0</v>
      </c>
      <c r="K194" s="205">
        <f>IFERROR(VLOOKUP($A194,'Budget &amp; Revenue'!$A:$AA,21,FALSE)," ")</f>
        <v>1</v>
      </c>
      <c r="L194" s="205">
        <f>IFERROR(VLOOKUP($A194,'Budget &amp; Revenue'!$A:$AA,23,FALSE)," ")</f>
        <v>1</v>
      </c>
      <c r="M194" s="205">
        <f>IFERROR(VLOOKUP($A194,'Budget &amp; Revenue'!$A:$AA,25,FALSE)," ")</f>
        <v>1</v>
      </c>
      <c r="N194" s="205">
        <f>IFERROR(VLOOKUP($A194,'Budget &amp; Revenue'!$A:$AA,27,FALSE)," ")</f>
        <v>1</v>
      </c>
    </row>
    <row r="195" spans="1:14" x14ac:dyDescent="0.65">
      <c r="A195" s="283">
        <v>194</v>
      </c>
      <c r="B195" s="284" t="str">
        <f>VLOOKUP(A195,Estimate!A:C,3,FALSE)</f>
        <v>B2 Kerb (BOQ Item 4.4.1.2)</v>
      </c>
      <c r="C195" s="284">
        <f>IFERROR(VLOOKUP(A195,Estimate!A:L,12,FALSE),0)</f>
        <v>1</v>
      </c>
      <c r="D195" s="285" t="s">
        <v>1030</v>
      </c>
      <c r="E195" s="285">
        <v>195</v>
      </c>
      <c r="F195" s="279">
        <f>IFERROR(VLOOKUP(A195,Estimate!A:Q,17,FALSE),0)</f>
        <v>1279.8311302539728</v>
      </c>
      <c r="G195" s="205">
        <f>IFERROR(VLOOKUP($A195,'Budget &amp; Revenue'!$A:$AA,13,FALSE)," ")</f>
        <v>0</v>
      </c>
      <c r="H195" s="205">
        <f>IFERROR(VLOOKUP($A195,'Budget &amp; Revenue'!$A:$AA,15,FALSE)," ")</f>
        <v>0</v>
      </c>
      <c r="I195" s="205">
        <f>IFERROR(VLOOKUP($A195,'Budget &amp; Revenue'!$A:$AA,17,FALSE)," ")</f>
        <v>0</v>
      </c>
      <c r="J195" s="205">
        <f>IFERROR(VLOOKUP($A195,'Budget &amp; Revenue'!$A:$AA,19,FALSE)," ")</f>
        <v>0</v>
      </c>
      <c r="K195" s="205">
        <f>IFERROR(VLOOKUP($A195,'Budget &amp; Revenue'!$A:$AA,21,FALSE)," ")</f>
        <v>1</v>
      </c>
      <c r="L195" s="205">
        <f>IFERROR(VLOOKUP($A195,'Budget &amp; Revenue'!$A:$AA,23,FALSE)," ")</f>
        <v>1</v>
      </c>
      <c r="M195" s="205">
        <f>IFERROR(VLOOKUP($A195,'Budget &amp; Revenue'!$A:$AA,25,FALSE)," ")</f>
        <v>1</v>
      </c>
      <c r="N195" s="205">
        <f>IFERROR(VLOOKUP($A195,'Budget &amp; Revenue'!$A:$AA,27,FALSE)," ")</f>
        <v>1</v>
      </c>
    </row>
    <row r="196" spans="1:14" x14ac:dyDescent="0.65">
      <c r="A196" s="283">
        <v>195</v>
      </c>
      <c r="B196" s="284" t="str">
        <f>VLOOKUP(A196,Estimate!A:C,3,FALSE)</f>
        <v>Topsoil to Back of Kerb (BOQ Item 3.3.2)</v>
      </c>
      <c r="C196" s="284">
        <f>IFERROR(VLOOKUP(A196,Estimate!A:L,12,FALSE),0)</f>
        <v>8.8888888888888892E-2</v>
      </c>
      <c r="D196" s="285" t="s">
        <v>1031</v>
      </c>
      <c r="E196" s="285">
        <v>196</v>
      </c>
      <c r="F196" s="279">
        <f>IFERROR(VLOOKUP(A196,Estimate!A:Q,17,FALSE),0)</f>
        <v>284.8</v>
      </c>
      <c r="G196" s="205">
        <f>IFERROR(VLOOKUP($A196,'Budget &amp; Revenue'!$A:$AA,13,FALSE)," ")</f>
        <v>0</v>
      </c>
      <c r="H196" s="205">
        <f>IFERROR(VLOOKUP($A196,'Budget &amp; Revenue'!$A:$AA,15,FALSE)," ")</f>
        <v>0</v>
      </c>
      <c r="I196" s="205">
        <f>IFERROR(VLOOKUP($A196,'Budget &amp; Revenue'!$A:$AA,17,FALSE)," ")</f>
        <v>0</v>
      </c>
      <c r="J196" s="205">
        <f>IFERROR(VLOOKUP($A196,'Budget &amp; Revenue'!$A:$AA,19,FALSE)," ")</f>
        <v>0</v>
      </c>
      <c r="K196" s="205">
        <f>IFERROR(VLOOKUP($A196,'Budget &amp; Revenue'!$A:$AA,21,FALSE)," ")</f>
        <v>1</v>
      </c>
      <c r="L196" s="205">
        <f>IFERROR(VLOOKUP($A196,'Budget &amp; Revenue'!$A:$AA,23,FALSE)," ")</f>
        <v>1</v>
      </c>
      <c r="M196" s="205">
        <f>IFERROR(VLOOKUP($A196,'Budget &amp; Revenue'!$A:$AA,25,FALSE)," ")</f>
        <v>1</v>
      </c>
      <c r="N196" s="205">
        <f>IFERROR(VLOOKUP($A196,'Budget &amp; Revenue'!$A:$AA,27,FALSE)," ")</f>
        <v>1</v>
      </c>
    </row>
    <row r="197" spans="1:14" x14ac:dyDescent="0.65">
      <c r="A197" s="283">
        <v>196</v>
      </c>
      <c r="B197" s="284" t="str">
        <f>VLOOKUP(A197,Estimate!A:C,3,FALSE)</f>
        <v>Additional 450 RCP (BOQ Item 5.1.4)</v>
      </c>
      <c r="C197" s="284">
        <f>IFERROR(VLOOKUP(A197,Estimate!A:L,12,FALSE),0)</f>
        <v>0.43331166774994584</v>
      </c>
      <c r="D197" s="285" t="s">
        <v>1032</v>
      </c>
      <c r="E197" s="285">
        <v>197</v>
      </c>
      <c r="F197" s="279">
        <f>IFERROR(VLOOKUP(A197,Estimate!A:Q,17,FALSE),0)</f>
        <v>4674.4885225738708</v>
      </c>
      <c r="G197" s="205">
        <f>IFERROR(VLOOKUP($A197,'Budget &amp; Revenue'!$A:$AA,13,FALSE)," ")</f>
        <v>0</v>
      </c>
      <c r="H197" s="205">
        <f>IFERROR(VLOOKUP($A197,'Budget &amp; Revenue'!$A:$AA,15,FALSE)," ")</f>
        <v>0</v>
      </c>
      <c r="I197" s="205">
        <f>IFERROR(VLOOKUP($A197,'Budget &amp; Revenue'!$A:$AA,17,FALSE)," ")</f>
        <v>0</v>
      </c>
      <c r="J197" s="205">
        <f>IFERROR(VLOOKUP($A197,'Budget &amp; Revenue'!$A:$AA,19,FALSE)," ")</f>
        <v>1</v>
      </c>
      <c r="K197" s="205">
        <f>IFERROR(VLOOKUP($A197,'Budget &amp; Revenue'!$A:$AA,21,FALSE)," ")</f>
        <v>1</v>
      </c>
      <c r="L197" s="205">
        <f>IFERROR(VLOOKUP($A197,'Budget &amp; Revenue'!$A:$AA,23,FALSE)," ")</f>
        <v>1</v>
      </c>
      <c r="M197" s="205">
        <f>IFERROR(VLOOKUP($A197,'Budget &amp; Revenue'!$A:$AA,25,FALSE)," ")</f>
        <v>1</v>
      </c>
      <c r="N197" s="205">
        <f>IFERROR(VLOOKUP($A197,'Budget &amp; Revenue'!$A:$AA,27,FALSE)," ")</f>
        <v>1</v>
      </c>
    </row>
    <row r="198" spans="1:14" x14ac:dyDescent="0.65">
      <c r="A198" s="283">
        <v>197</v>
      </c>
      <c r="B198" s="284" t="str">
        <f>VLOOKUP(A198,Estimate!A:C,3,FALSE)</f>
        <v>Final Trim (BOQ Item 4.3)</v>
      </c>
      <c r="C198" s="284">
        <f>IFERROR(VLOOKUP(A198,Estimate!A:L,12,FALSE),0)</f>
        <v>1.3333333333333333</v>
      </c>
      <c r="D198" s="285" t="s">
        <v>1033</v>
      </c>
      <c r="E198" s="285">
        <v>198</v>
      </c>
      <c r="F198" s="279">
        <f>IFERROR(VLOOKUP(A198,Estimate!A:Q,17,FALSE),0)</f>
        <v>4432</v>
      </c>
      <c r="G198" s="205">
        <f>IFERROR(VLOOKUP($A198,'Budget &amp; Revenue'!$A:$AA,13,FALSE)," ")</f>
        <v>0</v>
      </c>
      <c r="H198" s="205">
        <f>IFERROR(VLOOKUP($A198,'Budget &amp; Revenue'!$A:$AA,15,FALSE)," ")</f>
        <v>0</v>
      </c>
      <c r="I198" s="205">
        <f>IFERROR(VLOOKUP($A198,'Budget &amp; Revenue'!$A:$AA,17,FALSE)," ")</f>
        <v>0</v>
      </c>
      <c r="J198" s="205">
        <f>IFERROR(VLOOKUP($A198,'Budget &amp; Revenue'!$A:$AA,19,FALSE)," ")</f>
        <v>1</v>
      </c>
      <c r="K198" s="205">
        <f>IFERROR(VLOOKUP($A198,'Budget &amp; Revenue'!$A:$AA,21,FALSE)," ")</f>
        <v>1</v>
      </c>
      <c r="L198" s="205">
        <f>IFERROR(VLOOKUP($A198,'Budget &amp; Revenue'!$A:$AA,23,FALSE)," ")</f>
        <v>1</v>
      </c>
      <c r="M198" s="205">
        <f>IFERROR(VLOOKUP($A198,'Budget &amp; Revenue'!$A:$AA,25,FALSE)," ")</f>
        <v>1</v>
      </c>
      <c r="N198" s="205">
        <f>IFERROR(VLOOKUP($A198,'Budget &amp; Revenue'!$A:$AA,27,FALSE)," ")</f>
        <v>1</v>
      </c>
    </row>
    <row r="199" spans="1:14" ht="28.5" x14ac:dyDescent="0.65">
      <c r="A199" s="283">
        <v>198</v>
      </c>
      <c r="B199" s="284" t="str">
        <f>VLOOKUP(A199,Estimate!A:C,3,FALSE)</f>
        <v>Additional Conduit Trenching (BOQ Item 6.1)</v>
      </c>
      <c r="C199" s="284">
        <f>IFERROR(VLOOKUP(A199,Estimate!A:L,12,FALSE),0)</f>
        <v>0.29999400011999755</v>
      </c>
      <c r="D199" s="285" t="s">
        <v>1034</v>
      </c>
      <c r="E199" s="285" t="s">
        <v>1035</v>
      </c>
      <c r="F199" s="279">
        <f>IFERROR(VLOOKUP(A199,Estimate!A:Q,17,FALSE),0)</f>
        <v>1560.2113805723884</v>
      </c>
      <c r="G199" s="205">
        <f>IFERROR(VLOOKUP($A199,'Budget &amp; Revenue'!$A:$AA,13,FALSE)," ")</f>
        <v>0</v>
      </c>
      <c r="H199" s="205">
        <f>IFERROR(VLOOKUP($A199,'Budget &amp; Revenue'!$A:$AA,15,FALSE)," ")</f>
        <v>0</v>
      </c>
      <c r="I199" s="205">
        <f>IFERROR(VLOOKUP($A199,'Budget &amp; Revenue'!$A:$AA,17,FALSE)," ")</f>
        <v>0</v>
      </c>
      <c r="J199" s="205">
        <f>IFERROR(VLOOKUP($A199,'Budget &amp; Revenue'!$A:$AA,19,FALSE)," ")</f>
        <v>1</v>
      </c>
      <c r="K199" s="205">
        <f>IFERROR(VLOOKUP($A199,'Budget &amp; Revenue'!$A:$AA,21,FALSE)," ")</f>
        <v>1</v>
      </c>
      <c r="L199" s="205">
        <f>IFERROR(VLOOKUP($A199,'Budget &amp; Revenue'!$A:$AA,23,FALSE)," ")</f>
        <v>1</v>
      </c>
      <c r="M199" s="205">
        <f>IFERROR(VLOOKUP($A199,'Budget &amp; Revenue'!$A:$AA,25,FALSE)," ")</f>
        <v>1</v>
      </c>
      <c r="N199" s="205">
        <f>IFERROR(VLOOKUP($A199,'Budget &amp; Revenue'!$A:$AA,27,FALSE)," ")</f>
        <v>1</v>
      </c>
    </row>
    <row r="200" spans="1:14" x14ac:dyDescent="0.65">
      <c r="A200" s="283">
        <v>199</v>
      </c>
      <c r="B200" s="284" t="str">
        <f>VLOOKUP(A200,Estimate!A:C,3,FALSE)</f>
        <v>Additional Conduit (BOQ Item 6.3)</v>
      </c>
      <c r="C200" s="284">
        <f>IFERROR(VLOOKUP(A200,Estimate!A:L,12,FALSE),0)</f>
        <v>1</v>
      </c>
      <c r="D200" s="285" t="s">
        <v>1036</v>
      </c>
      <c r="E200" s="285">
        <v>200</v>
      </c>
      <c r="F200" s="279">
        <f>IFERROR(VLOOKUP(A200,Estimate!A:Q,17,FALSE),0)</f>
        <v>131.53500000000003</v>
      </c>
      <c r="G200" s="205">
        <f>IFERROR(VLOOKUP($A200,'Budget &amp; Revenue'!$A:$AA,13,FALSE)," ")</f>
        <v>0</v>
      </c>
      <c r="H200" s="205">
        <f>IFERROR(VLOOKUP($A200,'Budget &amp; Revenue'!$A:$AA,15,FALSE)," ")</f>
        <v>0</v>
      </c>
      <c r="I200" s="205">
        <f>IFERROR(VLOOKUP($A200,'Budget &amp; Revenue'!$A:$AA,17,FALSE)," ")</f>
        <v>0</v>
      </c>
      <c r="J200" s="205">
        <f>IFERROR(VLOOKUP($A200,'Budget &amp; Revenue'!$A:$AA,19,FALSE)," ")</f>
        <v>1</v>
      </c>
      <c r="K200" s="205">
        <f>IFERROR(VLOOKUP($A200,'Budget &amp; Revenue'!$A:$AA,21,FALSE)," ")</f>
        <v>1</v>
      </c>
      <c r="L200" s="205">
        <f>IFERROR(VLOOKUP($A200,'Budget &amp; Revenue'!$A:$AA,23,FALSE)," ")</f>
        <v>1</v>
      </c>
      <c r="M200" s="205">
        <f>IFERROR(VLOOKUP($A200,'Budget &amp; Revenue'!$A:$AA,25,FALSE)," ")</f>
        <v>1</v>
      </c>
      <c r="N200" s="205">
        <f>IFERROR(VLOOKUP($A200,'Budget &amp; Revenue'!$A:$AA,27,FALSE)," ")</f>
        <v>1</v>
      </c>
    </row>
    <row r="201" spans="1:14" ht="28.5" x14ac:dyDescent="0.65">
      <c r="A201" s="283">
        <v>200</v>
      </c>
      <c r="B201" s="284" t="str">
        <f>VLOOKUP(A201,Estimate!A:C,3,FALSE)</f>
        <v>Additional Wheel Stops (BOQ Item 4.4.4.5)</v>
      </c>
      <c r="C201" s="284">
        <f>IFERROR(VLOOKUP(A201,Estimate!A:L,12,FALSE),0)</f>
        <v>0.1111111111111111</v>
      </c>
      <c r="D201" s="285" t="s">
        <v>1037</v>
      </c>
      <c r="E201" s="285">
        <v>201</v>
      </c>
      <c r="F201" s="279">
        <f>IFERROR(VLOOKUP(A201,Estimate!A:Q,17,FALSE),0)</f>
        <v>1546.6666666666667</v>
      </c>
      <c r="G201" s="205">
        <f>IFERROR(VLOOKUP($A201,'Budget &amp; Revenue'!$A:$AA,13,FALSE)," ")</f>
        <v>0</v>
      </c>
      <c r="H201" s="205">
        <f>IFERROR(VLOOKUP($A201,'Budget &amp; Revenue'!$A:$AA,15,FALSE)," ")</f>
        <v>0</v>
      </c>
      <c r="I201" s="205">
        <f>IFERROR(VLOOKUP($A201,'Budget &amp; Revenue'!$A:$AA,17,FALSE)," ")</f>
        <v>0</v>
      </c>
      <c r="J201" s="205">
        <f>IFERROR(VLOOKUP($A201,'Budget &amp; Revenue'!$A:$AA,19,FALSE)," ")</f>
        <v>0</v>
      </c>
      <c r="K201" s="205">
        <f>IFERROR(VLOOKUP($A201,'Budget &amp; Revenue'!$A:$AA,21,FALSE)," ")</f>
        <v>0</v>
      </c>
      <c r="L201" s="205">
        <f>IFERROR(VLOOKUP($A201,'Budget &amp; Revenue'!$A:$AA,23,FALSE)," ")</f>
        <v>0</v>
      </c>
      <c r="M201" s="205">
        <f>IFERROR(VLOOKUP($A201,'Budget &amp; Revenue'!$A:$AA,25,FALSE)," ")</f>
        <v>1</v>
      </c>
      <c r="N201" s="205">
        <f>IFERROR(VLOOKUP($A201,'Budget &amp; Revenue'!$A:$AA,27,FALSE)," ")</f>
        <v>1</v>
      </c>
    </row>
    <row r="202" spans="1:14" ht="28.5" x14ac:dyDescent="0.65">
      <c r="A202" s="283">
        <v>201</v>
      </c>
      <c r="B202" s="284" t="str">
        <f>VLOOKUP(A202,Estimate!A:C,3,FALSE)</f>
        <v>Additional Log Barrier Fence (BOQ Item 7.2.1.1)</v>
      </c>
      <c r="C202" s="284">
        <f>IFERROR(VLOOKUP(A202,Estimate!A:L,12,FALSE),0)</f>
        <v>2</v>
      </c>
      <c r="D202" s="285">
        <v>118200</v>
      </c>
      <c r="E202" s="285">
        <v>119</v>
      </c>
      <c r="F202" s="279">
        <f>IFERROR(VLOOKUP(A202,Estimate!A:Q,17,FALSE),0)</f>
        <v>836.53500000000008</v>
      </c>
      <c r="G202" s="205">
        <f>IFERROR(VLOOKUP($A202,'Budget &amp; Revenue'!$A:$AA,13,FALSE)," ")</f>
        <v>0</v>
      </c>
      <c r="H202" s="205">
        <f>IFERROR(VLOOKUP($A202,'Budget &amp; Revenue'!$A:$AA,15,FALSE)," ")</f>
        <v>0</v>
      </c>
      <c r="I202" s="205">
        <f>IFERROR(VLOOKUP($A202,'Budget &amp; Revenue'!$A:$AA,17,FALSE)," ")</f>
        <v>0</v>
      </c>
      <c r="J202" s="205">
        <f>IFERROR(VLOOKUP($A202,'Budget &amp; Revenue'!$A:$AA,19,FALSE)," ")</f>
        <v>0</v>
      </c>
      <c r="K202" s="205">
        <f>IFERROR(VLOOKUP($A202,'Budget &amp; Revenue'!$A:$AA,21,FALSE)," ")</f>
        <v>0</v>
      </c>
      <c r="L202" s="205">
        <f>IFERROR(VLOOKUP($A202,'Budget &amp; Revenue'!$A:$AA,23,FALSE)," ")</f>
        <v>1</v>
      </c>
      <c r="M202" s="205">
        <f>IFERROR(VLOOKUP($A202,'Budget &amp; Revenue'!$A:$AA,25,FALSE)," ")</f>
        <v>1</v>
      </c>
      <c r="N202" s="205">
        <f>IFERROR(VLOOKUP($A202,'Budget &amp; Revenue'!$A:$AA,27,FALSE)," ")</f>
        <v>1</v>
      </c>
    </row>
    <row r="203" spans="1:14" x14ac:dyDescent="0.65">
      <c r="A203" s="283">
        <v>202</v>
      </c>
      <c r="B203" s="284" t="str">
        <f>VLOOKUP(A203,Estimate!A:C,3,FALSE)</f>
        <v>New 2.4m Kerb Lintel</v>
      </c>
      <c r="C203" s="284">
        <f>IFERROR(VLOOKUP(A203,Estimate!A:L,12,FALSE),0)</f>
        <v>1.3333333333333333</v>
      </c>
      <c r="D203" s="285">
        <v>93</v>
      </c>
      <c r="E203" s="285">
        <v>95203</v>
      </c>
      <c r="F203" s="279">
        <f>IFERROR(VLOOKUP(A203,Estimate!A:Q,17,FALSE),0)</f>
        <v>2107.1999999999998</v>
      </c>
      <c r="G203" s="205">
        <f>IFERROR(VLOOKUP($A203,'Budget &amp; Revenue'!$A:$AA,13,FALSE)," ")</f>
        <v>0</v>
      </c>
      <c r="H203" s="205">
        <f>IFERROR(VLOOKUP($A203,'Budget &amp; Revenue'!$A:$AA,15,FALSE)," ")</f>
        <v>0</v>
      </c>
      <c r="I203" s="205">
        <f>IFERROR(VLOOKUP($A203,'Budget &amp; Revenue'!$A:$AA,17,FALSE)," ")</f>
        <v>0</v>
      </c>
      <c r="J203" s="205">
        <f>IFERROR(VLOOKUP($A203,'Budget &amp; Revenue'!$A:$AA,19,FALSE)," ")</f>
        <v>1</v>
      </c>
      <c r="K203" s="205">
        <f>IFERROR(VLOOKUP($A203,'Budget &amp; Revenue'!$A:$AA,21,FALSE)," ")</f>
        <v>1</v>
      </c>
      <c r="L203" s="205">
        <f>IFERROR(VLOOKUP($A203,'Budget &amp; Revenue'!$A:$AA,23,FALSE)," ")</f>
        <v>1</v>
      </c>
      <c r="M203" s="205">
        <f>IFERROR(VLOOKUP($A203,'Budget &amp; Revenue'!$A:$AA,25,FALSE)," ")</f>
        <v>1</v>
      </c>
      <c r="N203" s="205">
        <f>IFERROR(VLOOKUP($A203,'Budget &amp; Revenue'!$A:$AA,27,FALSE)," ")</f>
        <v>1</v>
      </c>
    </row>
    <row r="204" spans="1:14" ht="28.5" x14ac:dyDescent="0.65">
      <c r="A204" s="283">
        <v>203</v>
      </c>
      <c r="B204" s="284" t="str">
        <f>VLOOKUP(A204,Estimate!A:C,3,FALSE)</f>
        <v>Additional Line Marking (BOQ Item 4.7.1)</v>
      </c>
      <c r="C204" s="284">
        <f>IFERROR(VLOOKUP(A204,Estimate!A:L,12,FALSE),0)</f>
        <v>0.33333333333333331</v>
      </c>
      <c r="D204" s="285" t="s">
        <v>1038</v>
      </c>
      <c r="E204" s="285">
        <v>79</v>
      </c>
      <c r="F204" s="279">
        <f>IFERROR(VLOOKUP(A204,Estimate!A:Q,17,FALSE),0)</f>
        <v>1665.217391304348</v>
      </c>
      <c r="G204" s="205">
        <f>IFERROR(VLOOKUP($A204,'Budget &amp; Revenue'!$A:$AA,13,FALSE)," ")</f>
        <v>0</v>
      </c>
      <c r="H204" s="205">
        <f>IFERROR(VLOOKUP($A204,'Budget &amp; Revenue'!$A:$AA,15,FALSE)," ")</f>
        <v>0</v>
      </c>
      <c r="I204" s="205">
        <f>IFERROR(VLOOKUP($A204,'Budget &amp; Revenue'!$A:$AA,17,FALSE)," ")</f>
        <v>0</v>
      </c>
      <c r="J204" s="205">
        <f>IFERROR(VLOOKUP($A204,'Budget &amp; Revenue'!$A:$AA,19,FALSE)," ")</f>
        <v>0</v>
      </c>
      <c r="K204" s="205">
        <f>IFERROR(VLOOKUP($A204,'Budget &amp; Revenue'!$A:$AA,21,FALSE)," ")</f>
        <v>0</v>
      </c>
      <c r="L204" s="205">
        <f>IFERROR(VLOOKUP($A204,'Budget &amp; Revenue'!$A:$AA,23,FALSE)," ")</f>
        <v>0</v>
      </c>
      <c r="M204" s="205">
        <f>IFERROR(VLOOKUP($A204,'Budget &amp; Revenue'!$A:$AA,25,FALSE)," ")</f>
        <v>1</v>
      </c>
      <c r="N204" s="205">
        <f>IFERROR(VLOOKUP($A204,'Budget &amp; Revenue'!$A:$AA,27,FALSE)," ")</f>
        <v>1</v>
      </c>
    </row>
    <row r="205" spans="1:14" x14ac:dyDescent="0.65">
      <c r="A205" s="283">
        <v>204</v>
      </c>
      <c r="B205" s="284" t="str">
        <f>VLOOKUP(A205,Estimate!A:C,3,FALSE)</f>
        <v>Additional Box Out &amp; General Fill</v>
      </c>
      <c r="C205" s="284">
        <f>IFERROR(VLOOKUP(A205,Estimate!A:L,12,FALSE),0)</f>
        <v>4.9666666666666668</v>
      </c>
      <c r="D205" s="285"/>
      <c r="E205" s="285"/>
      <c r="F205" s="279">
        <f>IFERROR(VLOOKUP(A205,Estimate!A:Q,17,FALSE),0)</f>
        <v>41486.613091766711</v>
      </c>
      <c r="G205" s="205">
        <f>IFERROR(VLOOKUP($A205,'Budget &amp; Revenue'!$A:$AA,13,FALSE)," ")</f>
        <v>0</v>
      </c>
      <c r="H205" s="205">
        <f>IFERROR(VLOOKUP($A205,'Budget &amp; Revenue'!$A:$AA,15,FALSE)," ")</f>
        <v>0</v>
      </c>
      <c r="I205" s="205">
        <f>IFERROR(VLOOKUP($A205,'Budget &amp; Revenue'!$A:$AA,17,FALSE)," ")</f>
        <v>0</v>
      </c>
      <c r="J205" s="205">
        <f>IFERROR(VLOOKUP($A205,'Budget &amp; Revenue'!$A:$AA,19,FALSE)," ")</f>
        <v>0</v>
      </c>
      <c r="K205" s="205">
        <f>IFERROR(VLOOKUP($A205,'Budget &amp; Revenue'!$A:$AA,21,FALSE)," ")</f>
        <v>0</v>
      </c>
      <c r="L205" s="205">
        <f>IFERROR(VLOOKUP($A205,'Budget &amp; Revenue'!$A:$AA,23,FALSE)," ")</f>
        <v>0</v>
      </c>
      <c r="M205" s="205">
        <f>IFERROR(VLOOKUP($A205,'Budget &amp; Revenue'!$A:$AA,25,FALSE)," ")</f>
        <v>0</v>
      </c>
      <c r="N205" s="205">
        <f>IFERROR(VLOOKUP($A205,'Budget &amp; Revenue'!$A:$AA,27,FALSE)," ")</f>
        <v>0</v>
      </c>
    </row>
    <row r="206" spans="1:14" x14ac:dyDescent="0.65">
      <c r="A206" s="283">
        <v>205</v>
      </c>
      <c r="B206" s="284" t="str">
        <f>VLOOKUP(A206,Estimate!A:C,3,FALSE)</f>
        <v>Cut To Spoil (BOQ Item 3.3.6)</v>
      </c>
      <c r="C206" s="284">
        <f>IFERROR(VLOOKUP(A206,Estimate!A:L,12,FALSE),0)</f>
        <v>4.9666666666666668</v>
      </c>
      <c r="D206" s="285">
        <v>34</v>
      </c>
      <c r="E206" s="285">
        <v>206</v>
      </c>
      <c r="F206" s="279">
        <f>IFERROR(VLOOKUP(A206,Estimate!A:Q,17,FALSE),0)</f>
        <v>23378.1</v>
      </c>
      <c r="G206" s="205">
        <f>IFERROR(VLOOKUP($A206,'Budget &amp; Revenue'!$A:$AA,13,FALSE)," ")</f>
        <v>0</v>
      </c>
      <c r="H206" s="205">
        <f>IFERROR(VLOOKUP($A206,'Budget &amp; Revenue'!$A:$AA,15,FALSE)," ")</f>
        <v>0</v>
      </c>
      <c r="I206" s="205">
        <f>IFERROR(VLOOKUP($A206,'Budget &amp; Revenue'!$A:$AA,17,FALSE)," ")</f>
        <v>1</v>
      </c>
      <c r="J206" s="205">
        <f>IFERROR(VLOOKUP($A206,'Budget &amp; Revenue'!$A:$AA,19,FALSE)," ")</f>
        <v>1</v>
      </c>
      <c r="K206" s="205">
        <f>IFERROR(VLOOKUP($A206,'Budget &amp; Revenue'!$A:$AA,21,FALSE)," ")</f>
        <v>1</v>
      </c>
      <c r="L206" s="205">
        <f>IFERROR(VLOOKUP($A206,'Budget &amp; Revenue'!$A:$AA,23,FALSE)," ")</f>
        <v>1</v>
      </c>
      <c r="M206" s="205">
        <f>IFERROR(VLOOKUP($A206,'Budget &amp; Revenue'!$A:$AA,25,FALSE)," ")</f>
        <v>1</v>
      </c>
      <c r="N206" s="205">
        <f>IFERROR(VLOOKUP($A206,'Budget &amp; Revenue'!$A:$AA,27,FALSE)," ")</f>
        <v>1</v>
      </c>
    </row>
    <row r="207" spans="1:14" x14ac:dyDescent="0.65">
      <c r="A207" s="283">
        <v>206</v>
      </c>
      <c r="B207" s="284" t="str">
        <f>VLOOKUP(A207,Estimate!A:C,3,FALSE)</f>
        <v>Import General Fill (BOQ Item 3.3.5)</v>
      </c>
      <c r="C207" s="284">
        <f>IFERROR(VLOOKUP(A207,Estimate!A:L,12,FALSE),0)</f>
        <v>1.6762479046901193</v>
      </c>
      <c r="D207" s="285" t="s">
        <v>1792</v>
      </c>
      <c r="E207" s="285">
        <v>38</v>
      </c>
      <c r="F207" s="279">
        <f>IFERROR(VLOOKUP(A207,Estimate!A:Q,17,FALSE),0)</f>
        <v>18108.513091766705</v>
      </c>
      <c r="G207" s="205">
        <f>IFERROR(VLOOKUP($A207,'Budget &amp; Revenue'!$A:$AA,13,FALSE)," ")</f>
        <v>0</v>
      </c>
      <c r="H207" s="205">
        <f>IFERROR(VLOOKUP($A207,'Budget &amp; Revenue'!$A:$AA,15,FALSE)," ")</f>
        <v>0</v>
      </c>
      <c r="I207" s="205">
        <f>IFERROR(VLOOKUP($A207,'Budget &amp; Revenue'!$A:$AA,17,FALSE)," ")</f>
        <v>1</v>
      </c>
      <c r="J207" s="205">
        <f>IFERROR(VLOOKUP($A207,'Budget &amp; Revenue'!$A:$AA,19,FALSE)," ")</f>
        <v>1</v>
      </c>
      <c r="K207" s="205">
        <f>IFERROR(VLOOKUP($A207,'Budget &amp; Revenue'!$A:$AA,21,FALSE)," ")</f>
        <v>1</v>
      </c>
      <c r="L207" s="205">
        <f>IFERROR(VLOOKUP($A207,'Budget &amp; Revenue'!$A:$AA,23,FALSE)," ")</f>
        <v>1</v>
      </c>
      <c r="M207" s="205">
        <f>IFERROR(VLOOKUP($A207,'Budget &amp; Revenue'!$A:$AA,25,FALSE)," ")</f>
        <v>1</v>
      </c>
      <c r="N207" s="205">
        <f>IFERROR(VLOOKUP($A207,'Budget &amp; Revenue'!$A:$AA,27,FALSE)," ")</f>
        <v>1</v>
      </c>
    </row>
    <row r="208" spans="1:14" ht="28.5" x14ac:dyDescent="0.65">
      <c r="A208" s="283">
        <v>207</v>
      </c>
      <c r="B208" s="284" t="str">
        <f>VLOOKUP(A208,Estimate!A:C,3,FALSE)</f>
        <v>Remove &amp; Replace Unsuitable - Bus Bay &amp; Round-a-bout</v>
      </c>
      <c r="C208" s="284">
        <f>IFERROR(VLOOKUP(A208,Estimate!A:L,12,FALSE),0)</f>
        <v>1.1026940966323791</v>
      </c>
      <c r="D208" s="285"/>
      <c r="E208" s="285"/>
      <c r="F208" s="279">
        <f>IFERROR(VLOOKUP(A208,Estimate!A:Q,17,FALSE),0)</f>
        <v>14387.728345728239</v>
      </c>
      <c r="G208" s="205">
        <f>IFERROR(VLOOKUP($A208,'Budget &amp; Revenue'!$A:$AA,13,FALSE)," ")</f>
        <v>0</v>
      </c>
      <c r="H208" s="205">
        <f>IFERROR(VLOOKUP($A208,'Budget &amp; Revenue'!$A:$AA,15,FALSE)," ")</f>
        <v>0</v>
      </c>
      <c r="I208" s="205">
        <f>IFERROR(VLOOKUP($A208,'Budget &amp; Revenue'!$A:$AA,17,FALSE)," ")</f>
        <v>0</v>
      </c>
      <c r="J208" s="205">
        <f>IFERROR(VLOOKUP($A208,'Budget &amp; Revenue'!$A:$AA,19,FALSE)," ")</f>
        <v>0</v>
      </c>
      <c r="K208" s="205">
        <f>IFERROR(VLOOKUP($A208,'Budget &amp; Revenue'!$A:$AA,21,FALSE)," ")</f>
        <v>0</v>
      </c>
      <c r="L208" s="205">
        <f>IFERROR(VLOOKUP($A208,'Budget &amp; Revenue'!$A:$AA,23,FALSE)," ")</f>
        <v>0</v>
      </c>
      <c r="M208" s="205">
        <f>IFERROR(VLOOKUP($A208,'Budget &amp; Revenue'!$A:$AA,25,FALSE)," ")</f>
        <v>0</v>
      </c>
      <c r="N208" s="205">
        <f>IFERROR(VLOOKUP($A208,'Budget &amp; Revenue'!$A:$AA,27,FALSE)," ")</f>
        <v>0</v>
      </c>
    </row>
    <row r="209" spans="1:14" x14ac:dyDescent="0.65">
      <c r="A209" s="283">
        <v>208</v>
      </c>
      <c r="B209" s="284" t="str">
        <f>VLOOKUP(A209,Estimate!A:C,3,FALSE)</f>
        <v>Remove Soft Spots (BOQ Item 3.3.7)</v>
      </c>
      <c r="C209" s="284">
        <f>IFERROR(VLOOKUP(A209,Estimate!A:L,12,FALSE),0)</f>
        <v>0.82444444444444442</v>
      </c>
      <c r="D209" s="285">
        <v>38</v>
      </c>
      <c r="E209" s="285">
        <v>209</v>
      </c>
      <c r="F209" s="279">
        <f>IFERROR(VLOOKUP(A209,Estimate!A:Q,17,FALSE),0)</f>
        <v>11381.796194924907</v>
      </c>
      <c r="G209" s="205">
        <f>IFERROR(VLOOKUP($A209,'Budget &amp; Revenue'!$A:$AA,13,FALSE)," ")</f>
        <v>0</v>
      </c>
      <c r="H209" s="205">
        <f>IFERROR(VLOOKUP($A209,'Budget &amp; Revenue'!$A:$AA,15,FALSE)," ")</f>
        <v>0</v>
      </c>
      <c r="I209" s="205">
        <f>IFERROR(VLOOKUP($A209,'Budget &amp; Revenue'!$A:$AA,17,FALSE)," ")</f>
        <v>1</v>
      </c>
      <c r="J209" s="205">
        <f>IFERROR(VLOOKUP($A209,'Budget &amp; Revenue'!$A:$AA,19,FALSE)," ")</f>
        <v>1</v>
      </c>
      <c r="K209" s="205">
        <f>IFERROR(VLOOKUP($A209,'Budget &amp; Revenue'!$A:$AA,21,FALSE)," ")</f>
        <v>1</v>
      </c>
      <c r="L209" s="205">
        <f>IFERROR(VLOOKUP($A209,'Budget &amp; Revenue'!$A:$AA,23,FALSE)," ")</f>
        <v>1</v>
      </c>
      <c r="M209" s="205">
        <f>IFERROR(VLOOKUP($A209,'Budget &amp; Revenue'!$A:$AA,25,FALSE)," ")</f>
        <v>1</v>
      </c>
      <c r="N209" s="205">
        <f>IFERROR(VLOOKUP($A209,'Budget &amp; Revenue'!$A:$AA,27,FALSE)," ")</f>
        <v>1</v>
      </c>
    </row>
    <row r="210" spans="1:14" x14ac:dyDescent="0.65">
      <c r="A210" s="283">
        <v>209</v>
      </c>
      <c r="B210" s="284" t="str">
        <f>VLOOKUP(A210,Estimate!A:C,3,FALSE)</f>
        <v>Import General Fill (BOQ Item 3.3.5)</v>
      </c>
      <c r="C210" s="284">
        <f>IFERROR(VLOOKUP(A210,Estimate!A:L,12,FALSE),0)</f>
        <v>0.27824965218793474</v>
      </c>
      <c r="D210" s="285">
        <v>208</v>
      </c>
      <c r="E210" s="285">
        <v>212</v>
      </c>
      <c r="F210" s="279">
        <f>IFERROR(VLOOKUP(A210,Estimate!A:Q,17,FALSE),0)</f>
        <v>3005.9321508033327</v>
      </c>
      <c r="G210" s="205">
        <f>IFERROR(VLOOKUP($A210,'Budget &amp; Revenue'!$A:$AA,13,FALSE)," ")</f>
        <v>0</v>
      </c>
      <c r="H210" s="205">
        <f>IFERROR(VLOOKUP($A210,'Budget &amp; Revenue'!$A:$AA,15,FALSE)," ")</f>
        <v>0</v>
      </c>
      <c r="I210" s="205">
        <f>IFERROR(VLOOKUP($A210,'Budget &amp; Revenue'!$A:$AA,17,FALSE)," ")</f>
        <v>0</v>
      </c>
      <c r="J210" s="205">
        <f>IFERROR(VLOOKUP($A210,'Budget &amp; Revenue'!$A:$AA,19,FALSE)," ")</f>
        <v>0</v>
      </c>
      <c r="K210" s="205">
        <f>IFERROR(VLOOKUP($A210,'Budget &amp; Revenue'!$A:$AA,21,FALSE)," ")</f>
        <v>0</v>
      </c>
      <c r="L210" s="205">
        <f>IFERROR(VLOOKUP($A210,'Budget &amp; Revenue'!$A:$AA,23,FALSE)," ")</f>
        <v>0</v>
      </c>
      <c r="M210" s="205">
        <f>IFERROR(VLOOKUP($A210,'Budget &amp; Revenue'!$A:$AA,25,FALSE)," ")</f>
        <v>0</v>
      </c>
      <c r="N210" s="205">
        <f>IFERROR(VLOOKUP($A210,'Budget &amp; Revenue'!$A:$AA,27,FALSE)," ")</f>
        <v>0</v>
      </c>
    </row>
    <row r="211" spans="1:14" x14ac:dyDescent="0.65">
      <c r="A211" s="283">
        <v>210</v>
      </c>
      <c r="B211" s="284" t="str">
        <f>VLOOKUP(A211,Estimate!A:C,3,FALSE)</f>
        <v>Stabilise Sub-Grade</v>
      </c>
      <c r="C211" s="284">
        <f>IFERROR(VLOOKUP(A211,Estimate!A:L,12,FALSE),0)</f>
        <v>7.7799999999999994</v>
      </c>
      <c r="D211" s="285"/>
      <c r="E211" s="285"/>
      <c r="F211" s="279">
        <f>IFERROR(VLOOKUP(A211,Estimate!A:Q,17,FALSE),0)</f>
        <v>43119.121399999996</v>
      </c>
      <c r="G211" s="205">
        <f>IFERROR(VLOOKUP($A211,'Budget &amp; Revenue'!$A:$AA,13,FALSE)," ")</f>
        <v>0</v>
      </c>
      <c r="H211" s="205">
        <f>IFERROR(VLOOKUP($A211,'Budget &amp; Revenue'!$A:$AA,15,FALSE)," ")</f>
        <v>0</v>
      </c>
      <c r="I211" s="205">
        <f>IFERROR(VLOOKUP($A211,'Budget &amp; Revenue'!$A:$AA,17,FALSE)," ")</f>
        <v>0</v>
      </c>
      <c r="J211" s="205">
        <f>IFERROR(VLOOKUP($A211,'Budget &amp; Revenue'!$A:$AA,19,FALSE)," ")</f>
        <v>0</v>
      </c>
      <c r="K211" s="205">
        <f>IFERROR(VLOOKUP($A211,'Budget &amp; Revenue'!$A:$AA,21,FALSE)," ")</f>
        <v>0</v>
      </c>
      <c r="L211" s="205">
        <f>IFERROR(VLOOKUP($A211,'Budget &amp; Revenue'!$A:$AA,23,FALSE)," ")</f>
        <v>0</v>
      </c>
      <c r="M211" s="205">
        <f>IFERROR(VLOOKUP($A211,'Budget &amp; Revenue'!$A:$AA,25,FALSE)," ")</f>
        <v>0</v>
      </c>
      <c r="N211" s="205">
        <f>IFERROR(VLOOKUP($A211,'Budget &amp; Revenue'!$A:$AA,27,FALSE)," ")</f>
        <v>0</v>
      </c>
    </row>
    <row r="212" spans="1:14" x14ac:dyDescent="0.65">
      <c r="A212" s="283">
        <v>211</v>
      </c>
      <c r="B212" s="284" t="str">
        <f>VLOOKUP(A212,Estimate!A:C,3,FALSE)</f>
        <v>Supply GB Cement Stabilising Agent</v>
      </c>
      <c r="C212" s="284">
        <f>IFERROR(VLOOKUP(A212,Estimate!A:L,12,FALSE),0)</f>
        <v>0</v>
      </c>
      <c r="D212" s="285" t="s">
        <v>1039</v>
      </c>
      <c r="E212" s="285">
        <v>51</v>
      </c>
      <c r="F212" s="279">
        <f>IFERROR(VLOOKUP(A212,Estimate!A:Q,17,FALSE),0)</f>
        <v>332</v>
      </c>
      <c r="G212" s="205">
        <f>IFERROR(VLOOKUP($A212,'Budget &amp; Revenue'!$A:$AA,13,FALSE)," ")</f>
        <v>0</v>
      </c>
      <c r="H212" s="205">
        <f>IFERROR(VLOOKUP($A212,'Budget &amp; Revenue'!$A:$AA,15,FALSE)," ")</f>
        <v>0</v>
      </c>
      <c r="I212" s="205">
        <f>IFERROR(VLOOKUP($A212,'Budget &amp; Revenue'!$A:$AA,17,FALSE)," ")</f>
        <v>0</v>
      </c>
      <c r="J212" s="205">
        <f>IFERROR(VLOOKUP($A212,'Budget &amp; Revenue'!$A:$AA,19,FALSE)," ")</f>
        <v>1</v>
      </c>
      <c r="K212" s="205">
        <f>IFERROR(VLOOKUP($A212,'Budget &amp; Revenue'!$A:$AA,21,FALSE)," ")</f>
        <v>1</v>
      </c>
      <c r="L212" s="205">
        <f>IFERROR(VLOOKUP($A212,'Budget &amp; Revenue'!$A:$AA,23,FALSE)," ")</f>
        <v>1</v>
      </c>
      <c r="M212" s="205">
        <f>IFERROR(VLOOKUP($A212,'Budget &amp; Revenue'!$A:$AA,25,FALSE)," ")</f>
        <v>1</v>
      </c>
      <c r="N212" s="205">
        <f>IFERROR(VLOOKUP($A212,'Budget &amp; Revenue'!$A:$AA,27,FALSE)," ")</f>
        <v>1</v>
      </c>
    </row>
    <row r="213" spans="1:14" x14ac:dyDescent="0.65">
      <c r="A213" s="283">
        <v>212</v>
      </c>
      <c r="B213" s="284" t="str">
        <f>VLOOKUP(A213,Estimate!A:C,3,FALSE)</f>
        <v>In-situ Stabilising Sub-grade</v>
      </c>
      <c r="C213" s="284">
        <f>IFERROR(VLOOKUP(A213,Estimate!A:L,12,FALSE),0)</f>
        <v>7.7799999999999994</v>
      </c>
      <c r="D213" s="285">
        <v>38209</v>
      </c>
      <c r="E213" s="285" t="s">
        <v>1793</v>
      </c>
      <c r="F213" s="279">
        <f>IFERROR(VLOOKUP(A213,Estimate!A:Q,17,FALSE),0)</f>
        <v>42787.121399999996</v>
      </c>
      <c r="G213" s="205">
        <f>IFERROR(VLOOKUP($A213,'Budget &amp; Revenue'!$A:$AA,13,FALSE)," ")</f>
        <v>0</v>
      </c>
      <c r="H213" s="205">
        <f>IFERROR(VLOOKUP($A213,'Budget &amp; Revenue'!$A:$AA,15,FALSE)," ")</f>
        <v>0</v>
      </c>
      <c r="I213" s="205">
        <f>IFERROR(VLOOKUP($A213,'Budget &amp; Revenue'!$A:$AA,17,FALSE)," ")</f>
        <v>0</v>
      </c>
      <c r="J213" s="205">
        <f>IFERROR(VLOOKUP($A213,'Budget &amp; Revenue'!$A:$AA,19,FALSE)," ")</f>
        <v>1</v>
      </c>
      <c r="K213" s="205">
        <f>IFERROR(VLOOKUP($A213,'Budget &amp; Revenue'!$A:$AA,21,FALSE)," ")</f>
        <v>1</v>
      </c>
      <c r="L213" s="205">
        <f>IFERROR(VLOOKUP($A213,'Budget &amp; Revenue'!$A:$AA,23,FALSE)," ")</f>
        <v>1</v>
      </c>
      <c r="M213" s="205">
        <f>IFERROR(VLOOKUP($A213,'Budget &amp; Revenue'!$A:$AA,25,FALSE)," ")</f>
        <v>1</v>
      </c>
      <c r="N213" s="205">
        <f>IFERROR(VLOOKUP($A213,'Budget &amp; Revenue'!$A:$AA,27,FALSE)," ")</f>
        <v>1</v>
      </c>
    </row>
    <row r="214" spans="1:14" ht="28.5" x14ac:dyDescent="0.65">
      <c r="A214" s="283">
        <v>213</v>
      </c>
      <c r="B214" s="284" t="str">
        <f>VLOOKUP(A214,Estimate!A:C,3,FALSE)</f>
        <v>Supply &amp; Install Visi-ball Tank Level Indicator</v>
      </c>
      <c r="C214" s="284">
        <f>IFERROR(VLOOKUP(A214,Estimate!A:L,12,FALSE),0)</f>
        <v>1</v>
      </c>
      <c r="D214" s="285">
        <v>144</v>
      </c>
      <c r="E214" s="285">
        <v>2</v>
      </c>
      <c r="F214" s="279">
        <f>IFERROR(VLOOKUP(A214,Estimate!A:Q,17,FALSE),0)</f>
        <v>700</v>
      </c>
      <c r="G214" s="205">
        <f>IFERROR(VLOOKUP($A214,'Budget &amp; Revenue'!$A:$AA,13,FALSE)," ")</f>
        <v>0</v>
      </c>
      <c r="H214" s="205">
        <f>IFERROR(VLOOKUP($A214,'Budget &amp; Revenue'!$A:$AA,15,FALSE)," ")</f>
        <v>0</v>
      </c>
      <c r="I214" s="205">
        <f>IFERROR(VLOOKUP($A214,'Budget &amp; Revenue'!$A:$AA,17,FALSE)," ")</f>
        <v>0</v>
      </c>
      <c r="J214" s="205">
        <f>IFERROR(VLOOKUP($A214,'Budget &amp; Revenue'!$A:$AA,19,FALSE)," ")</f>
        <v>1</v>
      </c>
      <c r="K214" s="205">
        <f>IFERROR(VLOOKUP($A214,'Budget &amp; Revenue'!$A:$AA,21,FALSE)," ")</f>
        <v>1</v>
      </c>
      <c r="L214" s="205">
        <f>IFERROR(VLOOKUP($A214,'Budget &amp; Revenue'!$A:$AA,23,FALSE)," ")</f>
        <v>1</v>
      </c>
      <c r="M214" s="205">
        <f>IFERROR(VLOOKUP($A214,'Budget &amp; Revenue'!$A:$AA,25,FALSE)," ")</f>
        <v>1</v>
      </c>
      <c r="N214" s="205">
        <f>IFERROR(VLOOKUP($A214,'Budget &amp; Revenue'!$A:$AA,27,FALSE)," ")</f>
        <v>1</v>
      </c>
    </row>
    <row r="215" spans="1:14" ht="28.5" x14ac:dyDescent="0.65">
      <c r="A215" s="283">
        <v>214</v>
      </c>
      <c r="B215" s="284" t="str">
        <f>VLOOKUP(A215,Estimate!A:C,3,FALSE)</f>
        <v>Centre Median Footpath Beam Thickening</v>
      </c>
      <c r="C215" s="284">
        <f>IFERROR(VLOOKUP(A215,Estimate!A:L,12,FALSE),0)</f>
        <v>1.5466666666666669</v>
      </c>
      <c r="D215" s="285"/>
      <c r="E215" s="285"/>
      <c r="F215" s="279">
        <f>IFERROR(VLOOKUP(A215,Estimate!A:Q,17,FALSE),0)</f>
        <v>2275.2127774722253</v>
      </c>
      <c r="G215" s="205">
        <f>IFERROR(VLOOKUP($A215,'Budget &amp; Revenue'!$A:$AA,13,FALSE)," ")</f>
        <v>0</v>
      </c>
      <c r="H215" s="205">
        <f>IFERROR(VLOOKUP($A215,'Budget &amp; Revenue'!$A:$AA,15,FALSE)," ")</f>
        <v>0</v>
      </c>
      <c r="I215" s="205">
        <f>IFERROR(VLOOKUP($A215,'Budget &amp; Revenue'!$A:$AA,17,FALSE)," ")</f>
        <v>0</v>
      </c>
      <c r="J215" s="205">
        <f>IFERROR(VLOOKUP($A215,'Budget &amp; Revenue'!$A:$AA,19,FALSE)," ")</f>
        <v>0</v>
      </c>
      <c r="K215" s="205">
        <f>IFERROR(VLOOKUP($A215,'Budget &amp; Revenue'!$A:$AA,21,FALSE)," ")</f>
        <v>0</v>
      </c>
      <c r="L215" s="205">
        <f>IFERROR(VLOOKUP($A215,'Budget &amp; Revenue'!$A:$AA,23,FALSE)," ")</f>
        <v>0</v>
      </c>
      <c r="M215" s="205">
        <f>IFERROR(VLOOKUP($A215,'Budget &amp; Revenue'!$A:$AA,25,FALSE)," ")</f>
        <v>0</v>
      </c>
      <c r="N215" s="205">
        <f>IFERROR(VLOOKUP($A215,'Budget &amp; Revenue'!$A:$AA,27,FALSE)," ")</f>
        <v>0</v>
      </c>
    </row>
    <row r="216" spans="1:14" ht="28.5" x14ac:dyDescent="0.65">
      <c r="A216" s="283">
        <v>215</v>
      </c>
      <c r="B216" s="284" t="str">
        <f>VLOOKUP(A216,Estimate!A:C,3,FALSE)</f>
        <v>Excavate for, Supply, Place and Finish Additional N25 Concrete</v>
      </c>
      <c r="C216" s="284">
        <f>IFERROR(VLOOKUP(A216,Estimate!A:L,12,FALSE),0)</f>
        <v>1.0666666666666669</v>
      </c>
      <c r="D216" s="285" t="s">
        <v>1040</v>
      </c>
      <c r="E216" s="285">
        <v>30</v>
      </c>
      <c r="F216" s="279">
        <f>IFERROR(VLOOKUP(A216,Estimate!A:Q,17,FALSE),0)</f>
        <v>1497.6276903897628</v>
      </c>
      <c r="G216" s="205">
        <f>IFERROR(VLOOKUP($A216,'Budget &amp; Revenue'!$A:$AA,13,FALSE)," ")</f>
        <v>0</v>
      </c>
      <c r="H216" s="205">
        <f>IFERROR(VLOOKUP($A216,'Budget &amp; Revenue'!$A:$AA,15,FALSE)," ")</f>
        <v>0</v>
      </c>
      <c r="I216" s="205">
        <f>IFERROR(VLOOKUP($A216,'Budget &amp; Revenue'!$A:$AA,17,FALSE)," ")</f>
        <v>0</v>
      </c>
      <c r="J216" s="205">
        <f>IFERROR(VLOOKUP($A216,'Budget &amp; Revenue'!$A:$AA,19,FALSE)," ")</f>
        <v>1</v>
      </c>
      <c r="K216" s="205">
        <f>IFERROR(VLOOKUP($A216,'Budget &amp; Revenue'!$A:$AA,21,FALSE)," ")</f>
        <v>1</v>
      </c>
      <c r="L216" s="205">
        <f>IFERROR(VLOOKUP($A216,'Budget &amp; Revenue'!$A:$AA,23,FALSE)," ")</f>
        <v>1</v>
      </c>
      <c r="M216" s="205">
        <f>IFERROR(VLOOKUP($A216,'Budget &amp; Revenue'!$A:$AA,25,FALSE)," ")</f>
        <v>1</v>
      </c>
      <c r="N216" s="205">
        <f>IFERROR(VLOOKUP($A216,'Budget &amp; Revenue'!$A:$AA,27,FALSE)," ")</f>
        <v>1</v>
      </c>
    </row>
    <row r="217" spans="1:14" ht="28.5" x14ac:dyDescent="0.65">
      <c r="A217" s="283">
        <v>216</v>
      </c>
      <c r="B217" s="284" t="str">
        <f>VLOOKUP(A217,Estimate!A:C,3,FALSE)</f>
        <v>Supply, cut, tie and place SL72 Reinforcing Mesh</v>
      </c>
      <c r="C217" s="284">
        <f>IFERROR(VLOOKUP(A217,Estimate!A:L,12,FALSE),0)</f>
        <v>0.48000000000000004</v>
      </c>
      <c r="D217" s="285">
        <v>67</v>
      </c>
      <c r="E217" s="285" t="s">
        <v>1041</v>
      </c>
      <c r="F217" s="279">
        <f>IFERROR(VLOOKUP(A217,Estimate!A:Q,17,FALSE),0)</f>
        <v>777.58508708246256</v>
      </c>
      <c r="G217" s="205">
        <f>IFERROR(VLOOKUP($A217,'Budget &amp; Revenue'!$A:$AA,13,FALSE)," ")</f>
        <v>0</v>
      </c>
      <c r="H217" s="205">
        <f>IFERROR(VLOOKUP($A217,'Budget &amp; Revenue'!$A:$AA,15,FALSE)," ")</f>
        <v>0</v>
      </c>
      <c r="I217" s="205">
        <f>IFERROR(VLOOKUP($A217,'Budget &amp; Revenue'!$A:$AA,17,FALSE)," ")</f>
        <v>0</v>
      </c>
      <c r="J217" s="205">
        <f>IFERROR(VLOOKUP($A217,'Budget &amp; Revenue'!$A:$AA,19,FALSE)," ")</f>
        <v>1</v>
      </c>
      <c r="K217" s="205">
        <f>IFERROR(VLOOKUP($A217,'Budget &amp; Revenue'!$A:$AA,21,FALSE)," ")</f>
        <v>1</v>
      </c>
      <c r="L217" s="205">
        <f>IFERROR(VLOOKUP($A217,'Budget &amp; Revenue'!$A:$AA,23,FALSE)," ")</f>
        <v>1</v>
      </c>
      <c r="M217" s="205">
        <f>IFERROR(VLOOKUP($A217,'Budget &amp; Revenue'!$A:$AA,25,FALSE)," ")</f>
        <v>1</v>
      </c>
      <c r="N217" s="205">
        <f>IFERROR(VLOOKUP($A217,'Budget &amp; Revenue'!$A:$AA,27,FALSE)," ")</f>
        <v>1</v>
      </c>
    </row>
    <row r="218" spans="1:14" ht="57" x14ac:dyDescent="0.65">
      <c r="A218" s="283">
        <v>217</v>
      </c>
      <c r="B218" s="284" t="str">
        <f>VLOOKUP(A218,Estimate!A:C,3,FALSE)</f>
        <v>Install 150mm &amp; 225mm Roof water drainage lines from terminal building, including road crossings and stubs to existing stormwater pits</v>
      </c>
      <c r="C218" s="284">
        <f>IFERROR(VLOOKUP(A218,Estimate!A:L,12,FALSE),0)</f>
        <v>3</v>
      </c>
      <c r="D218" s="285">
        <v>83</v>
      </c>
      <c r="E218" s="285">
        <v>84</v>
      </c>
      <c r="F218" s="279">
        <f>IFERROR(VLOOKUP(A218,Estimate!A:Q,17,FALSE),0)</f>
        <v>6250</v>
      </c>
      <c r="G218" s="205">
        <f>IFERROR(VLOOKUP($A218,'Budget &amp; Revenue'!$A:$AA,13,FALSE)," ")</f>
        <v>0</v>
      </c>
      <c r="H218" s="205">
        <f>IFERROR(VLOOKUP($A218,'Budget &amp; Revenue'!$A:$AA,15,FALSE)," ")</f>
        <v>0</v>
      </c>
      <c r="I218" s="205">
        <f>IFERROR(VLOOKUP($A218,'Budget &amp; Revenue'!$A:$AA,17,FALSE)," ")</f>
        <v>0</v>
      </c>
      <c r="J218" s="205">
        <f>IFERROR(VLOOKUP($A218,'Budget &amp; Revenue'!$A:$AA,19,FALSE)," ")</f>
        <v>1</v>
      </c>
      <c r="K218" s="205">
        <f>IFERROR(VLOOKUP($A218,'Budget &amp; Revenue'!$A:$AA,21,FALSE)," ")</f>
        <v>1</v>
      </c>
      <c r="L218" s="205">
        <f>IFERROR(VLOOKUP($A218,'Budget &amp; Revenue'!$A:$AA,23,FALSE)," ")</f>
        <v>1</v>
      </c>
      <c r="M218" s="205">
        <f>IFERROR(VLOOKUP($A218,'Budget &amp; Revenue'!$A:$AA,25,FALSE)," ")</f>
        <v>1</v>
      </c>
      <c r="N218" s="205">
        <f>IFERROR(VLOOKUP($A218,'Budget &amp; Revenue'!$A:$AA,27,FALSE)," ")</f>
        <v>1</v>
      </c>
    </row>
    <row r="219" spans="1:14" x14ac:dyDescent="0.65">
      <c r="A219" s="283">
        <v>218</v>
      </c>
      <c r="B219" s="284" t="str">
        <f>VLOOKUP(A219,Estimate!A:C,3,FALSE)</f>
        <v>Installation of STP Irrigation System</v>
      </c>
      <c r="C219" s="284">
        <f>IFERROR(VLOOKUP(A219,Estimate!A:L,12,FALSE),0)</f>
        <v>0</v>
      </c>
      <c r="D219" s="285"/>
      <c r="E219" s="285"/>
      <c r="F219" s="279">
        <f>IFERROR(VLOOKUP(A219,Estimate!A:Q,17,FALSE),0)</f>
        <v>0</v>
      </c>
      <c r="G219" s="205">
        <f>IFERROR(VLOOKUP($A219,'Budget &amp; Revenue'!$A:$AA,13,FALSE)," ")</f>
        <v>0</v>
      </c>
      <c r="H219" s="205">
        <f>IFERROR(VLOOKUP($A219,'Budget &amp; Revenue'!$A:$AA,15,FALSE)," ")</f>
        <v>0</v>
      </c>
      <c r="I219" s="205">
        <f>IFERROR(VLOOKUP($A219,'Budget &amp; Revenue'!$A:$AA,17,FALSE)," ")</f>
        <v>0</v>
      </c>
      <c r="J219" s="205">
        <f>IFERROR(VLOOKUP($A219,'Budget &amp; Revenue'!$A:$AA,19,FALSE)," ")</f>
        <v>0</v>
      </c>
      <c r="K219" s="205">
        <f>IFERROR(VLOOKUP($A219,'Budget &amp; Revenue'!$A:$AA,21,FALSE)," ")</f>
        <v>0</v>
      </c>
      <c r="L219" s="205">
        <f>IFERROR(VLOOKUP($A219,'Budget &amp; Revenue'!$A:$AA,23,FALSE)," ")</f>
        <v>0</v>
      </c>
      <c r="M219" s="205">
        <f>IFERROR(VLOOKUP($A219,'Budget &amp; Revenue'!$A:$AA,25,FALSE)," ")</f>
        <v>0</v>
      </c>
      <c r="N219" s="205">
        <f>IFERROR(VLOOKUP($A219,'Budget &amp; Revenue'!$A:$AA,27,FALSE)," ")</f>
        <v>0</v>
      </c>
    </row>
    <row r="220" spans="1:14" ht="28.5" x14ac:dyDescent="0.65">
      <c r="A220" s="283">
        <v>219</v>
      </c>
      <c r="B220" s="284" t="str">
        <f>VLOOKUP(A220,Estimate!A:C,3,FALSE)</f>
        <v>Installation only of Pump No. 01 &amp; Pump Well</v>
      </c>
      <c r="C220" s="284">
        <f>IFERROR(VLOOKUP(A220,Estimate!A:L,12,FALSE),0)</f>
        <v>25</v>
      </c>
      <c r="D220" s="285">
        <v>141</v>
      </c>
      <c r="E220" s="285" t="s">
        <v>1042</v>
      </c>
      <c r="F220" s="279">
        <f>IFERROR(VLOOKUP(A220,Estimate!A:Q,17,FALSE),0)</f>
        <v>3850</v>
      </c>
      <c r="G220" s="205">
        <f>IFERROR(VLOOKUP($A220,'Budget &amp; Revenue'!$A:$AA,13,FALSE)," ")</f>
        <v>0</v>
      </c>
      <c r="H220" s="205">
        <f>IFERROR(VLOOKUP($A220,'Budget &amp; Revenue'!$A:$AA,15,FALSE)," ")</f>
        <v>0</v>
      </c>
      <c r="I220" s="205">
        <f>IFERROR(VLOOKUP($A220,'Budget &amp; Revenue'!$A:$AA,17,FALSE)," ")</f>
        <v>0</v>
      </c>
      <c r="J220" s="205">
        <f>IFERROR(VLOOKUP($A220,'Budget &amp; Revenue'!$A:$AA,19,FALSE)," ")</f>
        <v>0</v>
      </c>
      <c r="K220" s="205">
        <f>IFERROR(VLOOKUP($A220,'Budget &amp; Revenue'!$A:$AA,21,FALSE)," ")</f>
        <v>1</v>
      </c>
      <c r="L220" s="205">
        <f>IFERROR(VLOOKUP($A220,'Budget &amp; Revenue'!$A:$AA,23,FALSE)," ")</f>
        <v>1</v>
      </c>
      <c r="M220" s="205">
        <f>IFERROR(VLOOKUP($A220,'Budget &amp; Revenue'!$A:$AA,25,FALSE)," ")</f>
        <v>1</v>
      </c>
      <c r="N220" s="205">
        <f>IFERROR(VLOOKUP($A220,'Budget &amp; Revenue'!$A:$AA,27,FALSE)," ")</f>
        <v>1</v>
      </c>
    </row>
    <row r="221" spans="1:14" x14ac:dyDescent="0.65">
      <c r="A221" s="283">
        <v>220</v>
      </c>
      <c r="B221" s="284" t="str">
        <f>VLOOKUP(A221,Estimate!A:C,3,FALSE)</f>
        <v>Supply &amp; Install Pump &amp; Well No. 02</v>
      </c>
      <c r="C221" s="284">
        <f>IFERROR(VLOOKUP(A221,Estimate!A:L,12,FALSE),0)</f>
        <v>25</v>
      </c>
      <c r="D221" s="285" t="s">
        <v>1043</v>
      </c>
      <c r="E221" s="285" t="s">
        <v>1044</v>
      </c>
      <c r="F221" s="279">
        <f>IFERROR(VLOOKUP(A221,Estimate!A:Q,17,FALSE),0)</f>
        <v>17000</v>
      </c>
      <c r="G221" s="205">
        <f>IFERROR(VLOOKUP($A221,'Budget &amp; Revenue'!$A:$AA,13,FALSE)," ")</f>
        <v>0</v>
      </c>
      <c r="H221" s="205">
        <f>IFERROR(VLOOKUP($A221,'Budget &amp; Revenue'!$A:$AA,15,FALSE)," ")</f>
        <v>0</v>
      </c>
      <c r="I221" s="205">
        <f>IFERROR(VLOOKUP($A221,'Budget &amp; Revenue'!$A:$AA,17,FALSE)," ")</f>
        <v>0</v>
      </c>
      <c r="J221" s="205">
        <f>IFERROR(VLOOKUP($A221,'Budget &amp; Revenue'!$A:$AA,19,FALSE)," ")</f>
        <v>0</v>
      </c>
      <c r="K221" s="205">
        <f>IFERROR(VLOOKUP($A221,'Budget &amp; Revenue'!$A:$AA,21,FALSE)," ")</f>
        <v>1</v>
      </c>
      <c r="L221" s="205">
        <f>IFERROR(VLOOKUP($A221,'Budget &amp; Revenue'!$A:$AA,23,FALSE)," ")</f>
        <v>1</v>
      </c>
      <c r="M221" s="205">
        <f>IFERROR(VLOOKUP($A221,'Budget &amp; Revenue'!$A:$AA,25,FALSE)," ")</f>
        <v>1</v>
      </c>
      <c r="N221" s="205">
        <f>IFERROR(VLOOKUP($A221,'Budget &amp; Revenue'!$A:$AA,27,FALSE)," ")</f>
        <v>1</v>
      </c>
    </row>
    <row r="222" spans="1:14" ht="28.5" x14ac:dyDescent="0.65">
      <c r="A222" s="283">
        <v>221</v>
      </c>
      <c r="B222" s="284" t="str">
        <f>VLOOKUP(A222,Estimate!A:C,3,FALSE)</f>
        <v>Supply &amp; Installation of Electrical as Per E002 &amp; Clarification Letter</v>
      </c>
      <c r="C222" s="284">
        <f>IFERROR(VLOOKUP(A222,Estimate!A:L,12,FALSE),0)</f>
        <v>25</v>
      </c>
      <c r="D222" s="285" t="s">
        <v>1042</v>
      </c>
      <c r="E222" s="285">
        <v>223</v>
      </c>
      <c r="F222" s="279">
        <f>IFERROR(VLOOKUP(A222,Estimate!A:Q,17,FALSE),0)</f>
        <v>33700</v>
      </c>
      <c r="G222" s="205">
        <f>IFERROR(VLOOKUP($A222,'Budget &amp; Revenue'!$A:$AA,13,FALSE)," ")</f>
        <v>0</v>
      </c>
      <c r="H222" s="205">
        <f>IFERROR(VLOOKUP($A222,'Budget &amp; Revenue'!$A:$AA,15,FALSE)," ")</f>
        <v>0</v>
      </c>
      <c r="I222" s="205">
        <f>IFERROR(VLOOKUP($A222,'Budget &amp; Revenue'!$A:$AA,17,FALSE)," ")</f>
        <v>0</v>
      </c>
      <c r="J222" s="205">
        <f>IFERROR(VLOOKUP($A222,'Budget &amp; Revenue'!$A:$AA,19,FALSE)," ")</f>
        <v>0</v>
      </c>
      <c r="K222" s="205">
        <f>IFERROR(VLOOKUP($A222,'Budget &amp; Revenue'!$A:$AA,21,FALSE)," ")</f>
        <v>0.85</v>
      </c>
      <c r="L222" s="205">
        <f>IFERROR(VLOOKUP($A222,'Budget &amp; Revenue'!$A:$AA,23,FALSE)," ")</f>
        <v>1</v>
      </c>
      <c r="M222" s="205">
        <f>IFERROR(VLOOKUP($A222,'Budget &amp; Revenue'!$A:$AA,25,FALSE)," ")</f>
        <v>1</v>
      </c>
      <c r="N222" s="205">
        <f>IFERROR(VLOOKUP($A222,'Budget &amp; Revenue'!$A:$AA,27,FALSE)," ")</f>
        <v>1</v>
      </c>
    </row>
    <row r="223" spans="1:14" ht="28.5" x14ac:dyDescent="0.65">
      <c r="A223" s="283">
        <v>222</v>
      </c>
      <c r="B223" s="284" t="str">
        <f>VLOOKUP(A223,Estimate!A:C,3,FALSE)</f>
        <v>Raise STP pad height 500mm and provide 100mm reinforced concrete slab</v>
      </c>
      <c r="C223" s="284">
        <f>IFERROR(VLOOKUP(A223,Estimate!A:L,12,FALSE),0)</f>
        <v>1</v>
      </c>
      <c r="D223" s="285">
        <v>130</v>
      </c>
      <c r="E223" s="285">
        <v>133223</v>
      </c>
      <c r="F223" s="279">
        <f>IFERROR(VLOOKUP(A223,Estimate!A:Q,17,FALSE),0)</f>
        <v>3800</v>
      </c>
      <c r="G223" s="205">
        <f>IFERROR(VLOOKUP($A223,'Budget &amp; Revenue'!$A:$AA,13,FALSE)," ")</f>
        <v>0</v>
      </c>
      <c r="H223" s="205">
        <f>IFERROR(VLOOKUP($A223,'Budget &amp; Revenue'!$A:$AA,15,FALSE)," ")</f>
        <v>0</v>
      </c>
      <c r="I223" s="205">
        <f>IFERROR(VLOOKUP($A223,'Budget &amp; Revenue'!$A:$AA,17,FALSE)," ")</f>
        <v>0</v>
      </c>
      <c r="J223" s="205">
        <f>IFERROR(VLOOKUP($A223,'Budget &amp; Revenue'!$A:$AA,19,FALSE)," ")</f>
        <v>0</v>
      </c>
      <c r="K223" s="205">
        <f>IFERROR(VLOOKUP($A223,'Budget &amp; Revenue'!$A:$AA,21,FALSE)," ")</f>
        <v>1</v>
      </c>
      <c r="L223" s="205">
        <f>IFERROR(VLOOKUP($A223,'Budget &amp; Revenue'!$A:$AA,23,FALSE)," ")</f>
        <v>1</v>
      </c>
      <c r="M223" s="205">
        <f>IFERROR(VLOOKUP($A223,'Budget &amp; Revenue'!$A:$AA,25,FALSE)," ")</f>
        <v>1</v>
      </c>
      <c r="N223" s="205">
        <f>IFERROR(VLOOKUP($A223,'Budget &amp; Revenue'!$A:$AA,27,FALSE)," ")</f>
        <v>1</v>
      </c>
    </row>
    <row r="224" spans="1:14" x14ac:dyDescent="0.65">
      <c r="A224" s="283">
        <v>223</v>
      </c>
      <c r="B224" s="284" t="str">
        <f>VLOOKUP(A224,Estimate!A:C,3,FALSE)</f>
        <v>Supply &amp; Install light to roof of container</v>
      </c>
      <c r="C224" s="284">
        <f>IFERROR(VLOOKUP(A224,Estimate!A:L,12,FALSE),0)</f>
        <v>1</v>
      </c>
      <c r="D224" s="285">
        <v>221222</v>
      </c>
      <c r="E224" s="285">
        <v>2</v>
      </c>
      <c r="F224" s="279">
        <f>IFERROR(VLOOKUP(A224,Estimate!A:Q,17,FALSE),0)</f>
        <v>700</v>
      </c>
      <c r="G224" s="205">
        <f>IFERROR(VLOOKUP($A224,'Budget &amp; Revenue'!$A:$AA,13,FALSE)," ")</f>
        <v>0</v>
      </c>
      <c r="H224" s="205">
        <f>IFERROR(VLOOKUP($A224,'Budget &amp; Revenue'!$A:$AA,15,FALSE)," ")</f>
        <v>0</v>
      </c>
      <c r="I224" s="205">
        <f>IFERROR(VLOOKUP($A224,'Budget &amp; Revenue'!$A:$AA,17,FALSE)," ")</f>
        <v>0</v>
      </c>
      <c r="J224" s="205">
        <f>IFERROR(VLOOKUP($A224,'Budget &amp; Revenue'!$A:$AA,19,FALSE)," ")</f>
        <v>0</v>
      </c>
      <c r="K224" s="205">
        <f>IFERROR(VLOOKUP($A224,'Budget &amp; Revenue'!$A:$AA,21,FALSE)," ")</f>
        <v>0</v>
      </c>
      <c r="L224" s="205">
        <f>IFERROR(VLOOKUP($A224,'Budget &amp; Revenue'!$A:$AA,23,FALSE)," ")</f>
        <v>1</v>
      </c>
      <c r="M224" s="205">
        <f>IFERROR(VLOOKUP($A224,'Budget &amp; Revenue'!$A:$AA,25,FALSE)," ")</f>
        <v>1</v>
      </c>
      <c r="N224" s="205">
        <f>IFERROR(VLOOKUP($A224,'Budget &amp; Revenue'!$A:$AA,27,FALSE)," ")</f>
        <v>1</v>
      </c>
    </row>
    <row r="225" spans="1:14" ht="42.75" x14ac:dyDescent="0.65">
      <c r="A225" s="283">
        <v>224</v>
      </c>
      <c r="B225" s="284" t="str">
        <f>VLOOKUP(A225,Estimate!A:C,3,FALSE)</f>
        <v>Supply &amp; Installation of rising main from Pump well No. 02 to irrigation area as per H101 in existing cleared areas</v>
      </c>
      <c r="C225" s="284">
        <f>IFERROR(VLOOKUP(A225,Estimate!A:L,12,FALSE),0)</f>
        <v>5</v>
      </c>
      <c r="D225" s="285">
        <v>220</v>
      </c>
      <c r="E225" s="285">
        <v>225</v>
      </c>
      <c r="F225" s="279">
        <f>IFERROR(VLOOKUP(A225,Estimate!A:Q,17,FALSE),0)</f>
        <v>39000</v>
      </c>
      <c r="G225" s="205">
        <f>IFERROR(VLOOKUP($A225,'Budget &amp; Revenue'!$A:$AA,13,FALSE)," ")</f>
        <v>0</v>
      </c>
      <c r="H225" s="205">
        <f>IFERROR(VLOOKUP($A225,'Budget &amp; Revenue'!$A:$AA,15,FALSE)," ")</f>
        <v>0</v>
      </c>
      <c r="I225" s="205">
        <f>IFERROR(VLOOKUP($A225,'Budget &amp; Revenue'!$A:$AA,17,FALSE)," ")</f>
        <v>0</v>
      </c>
      <c r="J225" s="205">
        <f>IFERROR(VLOOKUP($A225,'Budget &amp; Revenue'!$A:$AA,19,FALSE)," ")</f>
        <v>0.44800000000000001</v>
      </c>
      <c r="K225" s="205">
        <f>IFERROR(VLOOKUP($A225,'Budget &amp; Revenue'!$A:$AA,21,FALSE)," ")</f>
        <v>1</v>
      </c>
      <c r="L225" s="205">
        <f>IFERROR(VLOOKUP($A225,'Budget &amp; Revenue'!$A:$AA,23,FALSE)," ")</f>
        <v>1</v>
      </c>
      <c r="M225" s="205">
        <f>IFERROR(VLOOKUP($A225,'Budget &amp; Revenue'!$A:$AA,25,FALSE)," ")</f>
        <v>1</v>
      </c>
      <c r="N225" s="205">
        <f>IFERROR(VLOOKUP($A225,'Budget &amp; Revenue'!$A:$AA,27,FALSE)," ")</f>
        <v>1</v>
      </c>
    </row>
    <row r="226" spans="1:14" ht="42.75" x14ac:dyDescent="0.65">
      <c r="A226" s="283">
        <v>225</v>
      </c>
      <c r="B226" s="284" t="str">
        <f>VLOOKUP(A226,Estimate!A:C,3,FALSE)</f>
        <v>Supply &amp; installation of irrigation area (3,000 sqm) as per H103 including air &amp; flush valves</v>
      </c>
      <c r="C226" s="284">
        <f>IFERROR(VLOOKUP(A226,Estimate!A:L,12,FALSE),0)</f>
        <v>5</v>
      </c>
      <c r="D226" s="285">
        <v>224</v>
      </c>
      <c r="E226" s="285">
        <v>226</v>
      </c>
      <c r="F226" s="279">
        <f>IFERROR(VLOOKUP(A226,Estimate!A:Q,17,FALSE),0)</f>
        <v>39600</v>
      </c>
      <c r="G226" s="205">
        <f>IFERROR(VLOOKUP($A226,'Budget &amp; Revenue'!$A:$AA,13,FALSE)," ")</f>
        <v>0</v>
      </c>
      <c r="H226" s="205">
        <f>IFERROR(VLOOKUP($A226,'Budget &amp; Revenue'!$A:$AA,15,FALSE)," ")</f>
        <v>0</v>
      </c>
      <c r="I226" s="205">
        <f>IFERROR(VLOOKUP($A226,'Budget &amp; Revenue'!$A:$AA,17,FALSE)," ")</f>
        <v>0</v>
      </c>
      <c r="J226" s="205">
        <f>IFERROR(VLOOKUP($A226,'Budget &amp; Revenue'!$A:$AA,19,FALSE)," ")</f>
        <v>0</v>
      </c>
      <c r="K226" s="205">
        <f>IFERROR(VLOOKUP($A226,'Budget &amp; Revenue'!$A:$AA,21,FALSE)," ")</f>
        <v>1</v>
      </c>
      <c r="L226" s="205">
        <f>IFERROR(VLOOKUP($A226,'Budget &amp; Revenue'!$A:$AA,23,FALSE)," ")</f>
        <v>1</v>
      </c>
      <c r="M226" s="205">
        <f>IFERROR(VLOOKUP($A226,'Budget &amp; Revenue'!$A:$AA,25,FALSE)," ")</f>
        <v>1</v>
      </c>
      <c r="N226" s="205">
        <f>IFERROR(VLOOKUP($A226,'Budget &amp; Revenue'!$A:$AA,27,FALSE)," ")</f>
        <v>1</v>
      </c>
    </row>
    <row r="227" spans="1:14" ht="28.5" x14ac:dyDescent="0.65">
      <c r="A227" s="283">
        <v>226</v>
      </c>
      <c r="B227" s="284" t="str">
        <f>VLOOKUP(A227,Estimate!A:C,3,FALSE)</f>
        <v>Supply &amp; installation of signal cable as per clarification email</v>
      </c>
      <c r="C227" s="284">
        <f>IFERROR(VLOOKUP(A227,Estimate!A:L,12,FALSE),0)</f>
        <v>3</v>
      </c>
      <c r="D227" s="285">
        <v>225</v>
      </c>
      <c r="E227" s="285">
        <v>2</v>
      </c>
      <c r="F227" s="279">
        <f>IFERROR(VLOOKUP(A227,Estimate!A:Q,17,FALSE),0)</f>
        <v>12600</v>
      </c>
      <c r="G227" s="205">
        <f>IFERROR(VLOOKUP($A227,'Budget &amp; Revenue'!$A:$AA,13,FALSE)," ")</f>
        <v>0</v>
      </c>
      <c r="H227" s="205">
        <f>IFERROR(VLOOKUP($A227,'Budget &amp; Revenue'!$A:$AA,15,FALSE)," ")</f>
        <v>0</v>
      </c>
      <c r="I227" s="205">
        <f>IFERROR(VLOOKUP($A227,'Budget &amp; Revenue'!$A:$AA,17,FALSE)," ")</f>
        <v>0</v>
      </c>
      <c r="J227" s="205">
        <f>IFERROR(VLOOKUP($A227,'Budget &amp; Revenue'!$A:$AA,19,FALSE)," ")</f>
        <v>0</v>
      </c>
      <c r="K227" s="205">
        <f>IFERROR(VLOOKUP($A227,'Budget &amp; Revenue'!$A:$AA,21,FALSE)," ")</f>
        <v>1</v>
      </c>
      <c r="L227" s="205">
        <f>IFERROR(VLOOKUP($A227,'Budget &amp; Revenue'!$A:$AA,23,FALSE)," ")</f>
        <v>1</v>
      </c>
      <c r="M227" s="205">
        <f>IFERROR(VLOOKUP($A227,'Budget &amp; Revenue'!$A:$AA,25,FALSE)," ")</f>
        <v>1</v>
      </c>
      <c r="N227" s="205">
        <f>IFERROR(VLOOKUP($A227,'Budget &amp; Revenue'!$A:$AA,27,FALSE)," ")</f>
        <v>1</v>
      </c>
    </row>
    <row r="228" spans="1:14" x14ac:dyDescent="0.65">
      <c r="A228" s="283">
        <v>227</v>
      </c>
      <c r="B228" s="284" t="str">
        <f>VLOOKUP(A228,Estimate!A:C,3,FALSE)</f>
        <v>Installation of Edge Restraint</v>
      </c>
      <c r="C228" s="284">
        <f>IFERROR(VLOOKUP(A228,Estimate!A:L,12,FALSE),0)</f>
        <v>1</v>
      </c>
      <c r="D228" s="285">
        <v>61</v>
      </c>
      <c r="E228" s="285">
        <v>239</v>
      </c>
      <c r="F228" s="279">
        <f>IFERROR(VLOOKUP(A228,Estimate!A:Q,17,FALSE),0)</f>
        <v>4305.8639085940231</v>
      </c>
      <c r="G228" s="205">
        <f>IFERROR(VLOOKUP($A228,'Budget &amp; Revenue'!$A:$AA,13,FALSE)," ")</f>
        <v>0</v>
      </c>
      <c r="H228" s="205">
        <f>IFERROR(VLOOKUP($A228,'Budget &amp; Revenue'!$A:$AA,15,FALSE)," ")</f>
        <v>0</v>
      </c>
      <c r="I228" s="205">
        <f>IFERROR(VLOOKUP($A228,'Budget &amp; Revenue'!$A:$AA,17,FALSE)," ")</f>
        <v>0</v>
      </c>
      <c r="J228" s="205">
        <f>IFERROR(VLOOKUP($A228,'Budget &amp; Revenue'!$A:$AA,19,FALSE)," ")</f>
        <v>1</v>
      </c>
      <c r="K228" s="205">
        <f>IFERROR(VLOOKUP($A228,'Budget &amp; Revenue'!$A:$AA,21,FALSE)," ")</f>
        <v>1</v>
      </c>
      <c r="L228" s="205">
        <f>IFERROR(VLOOKUP($A228,'Budget &amp; Revenue'!$A:$AA,23,FALSE)," ")</f>
        <v>1</v>
      </c>
      <c r="M228" s="205">
        <f>IFERROR(VLOOKUP($A228,'Budget &amp; Revenue'!$A:$AA,25,FALSE)," ")</f>
        <v>1</v>
      </c>
      <c r="N228" s="205">
        <f>IFERROR(VLOOKUP($A228,'Budget &amp; Revenue'!$A:$AA,27,FALSE)," ")</f>
        <v>1</v>
      </c>
    </row>
    <row r="229" spans="1:14" x14ac:dyDescent="0.65">
      <c r="A229" s="283">
        <v>228</v>
      </c>
      <c r="B229" s="284" t="str">
        <f>VLOOKUP(A229,Estimate!A:C,3,FALSE)</f>
        <v>Fie Lay Away</v>
      </c>
      <c r="C229" s="284">
        <f>IFERROR(VLOOKUP(A229,Estimate!A:L,12,FALSE),0)</f>
        <v>3.3727086494038589</v>
      </c>
      <c r="D229" s="285"/>
      <c r="E229" s="285"/>
      <c r="F229" s="279">
        <f>IFERROR(VLOOKUP(A229,Estimate!A:Q,17,FALSE),0)</f>
        <v>5017.9082902030277</v>
      </c>
      <c r="G229" s="205">
        <f>IFERROR(VLOOKUP($A229,'Budget &amp; Revenue'!$A:$AA,13,FALSE)," ")</f>
        <v>0</v>
      </c>
      <c r="H229" s="205">
        <f>IFERROR(VLOOKUP($A229,'Budget &amp; Revenue'!$A:$AA,15,FALSE)," ")</f>
        <v>0</v>
      </c>
      <c r="I229" s="205">
        <f>IFERROR(VLOOKUP($A229,'Budget &amp; Revenue'!$A:$AA,17,FALSE)," ")</f>
        <v>0</v>
      </c>
      <c r="J229" s="205">
        <f>IFERROR(VLOOKUP($A229,'Budget &amp; Revenue'!$A:$AA,19,FALSE)," ")</f>
        <v>0</v>
      </c>
      <c r="K229" s="205">
        <f>IFERROR(VLOOKUP($A229,'Budget &amp; Revenue'!$A:$AA,21,FALSE)," ")</f>
        <v>0</v>
      </c>
      <c r="L229" s="205">
        <f>IFERROR(VLOOKUP($A229,'Budget &amp; Revenue'!$A:$AA,23,FALSE)," ")</f>
        <v>0</v>
      </c>
      <c r="M229" s="205">
        <f>IFERROR(VLOOKUP($A229,'Budget &amp; Revenue'!$A:$AA,25,FALSE)," ")</f>
        <v>0</v>
      </c>
      <c r="N229" s="205">
        <f>IFERROR(VLOOKUP($A229,'Budget &amp; Revenue'!$A:$AA,27,FALSE)," ")</f>
        <v>0</v>
      </c>
    </row>
    <row r="230" spans="1:14" x14ac:dyDescent="0.65">
      <c r="A230" s="283">
        <v>229</v>
      </c>
      <c r="B230" s="284" t="str">
        <f>VLOOKUP(A230,Estimate!A:C,3,FALSE)</f>
        <v>Cut To Spoil</v>
      </c>
      <c r="C230" s="284">
        <f>IFERROR(VLOOKUP(A230,Estimate!A:L,12,FALSE),0)</f>
        <v>0.13333333333333333</v>
      </c>
      <c r="D230" s="285">
        <v>49</v>
      </c>
      <c r="E230" s="285" t="s">
        <v>1045</v>
      </c>
      <c r="F230" s="279">
        <f>IFERROR(VLOOKUP(A230,Estimate!A:Q,17,FALSE),0)</f>
        <v>513.6</v>
      </c>
      <c r="G230" s="205">
        <f>IFERROR(VLOOKUP($A230,'Budget &amp; Revenue'!$A:$AA,13,FALSE)," ")</f>
        <v>0</v>
      </c>
      <c r="H230" s="205">
        <f>IFERROR(VLOOKUP($A230,'Budget &amp; Revenue'!$A:$AA,15,FALSE)," ")</f>
        <v>0</v>
      </c>
      <c r="I230" s="205">
        <f>IFERROR(VLOOKUP($A230,'Budget &amp; Revenue'!$A:$AA,17,FALSE)," ")</f>
        <v>0</v>
      </c>
      <c r="J230" s="205">
        <f>IFERROR(VLOOKUP($A230,'Budget &amp; Revenue'!$A:$AA,19,FALSE)," ")</f>
        <v>0</v>
      </c>
      <c r="K230" s="205">
        <f>IFERROR(VLOOKUP($A230,'Budget &amp; Revenue'!$A:$AA,21,FALSE)," ")</f>
        <v>1</v>
      </c>
      <c r="L230" s="205">
        <f>IFERROR(VLOOKUP($A230,'Budget &amp; Revenue'!$A:$AA,23,FALSE)," ")</f>
        <v>1</v>
      </c>
      <c r="M230" s="205">
        <f>IFERROR(VLOOKUP($A230,'Budget &amp; Revenue'!$A:$AA,25,FALSE)," ")</f>
        <v>1</v>
      </c>
      <c r="N230" s="205">
        <f>IFERROR(VLOOKUP($A230,'Budget &amp; Revenue'!$A:$AA,27,FALSE)," ")</f>
        <v>1</v>
      </c>
    </row>
    <row r="231" spans="1:14" x14ac:dyDescent="0.65">
      <c r="A231" s="283">
        <v>230</v>
      </c>
      <c r="B231" s="284" t="str">
        <f>VLOOKUP(A231,Estimate!A:C,3,FALSE)</f>
        <v>Prepare &amp; Trim Sub-grade</v>
      </c>
      <c r="C231" s="284">
        <f>IFERROR(VLOOKUP(A231,Estimate!A:L,12,FALSE),0)</f>
        <v>0.11851851851851852</v>
      </c>
      <c r="D231" s="285">
        <v>229</v>
      </c>
      <c r="E231" s="285">
        <v>231</v>
      </c>
      <c r="F231" s="279">
        <f>IFERROR(VLOOKUP(A231,Estimate!A:Q,17,FALSE),0)</f>
        <v>393.95555555555552</v>
      </c>
      <c r="G231" s="205">
        <f>IFERROR(VLOOKUP($A231,'Budget &amp; Revenue'!$A:$AA,13,FALSE)," ")</f>
        <v>0</v>
      </c>
      <c r="H231" s="205">
        <f>IFERROR(VLOOKUP($A231,'Budget &amp; Revenue'!$A:$AA,15,FALSE)," ")</f>
        <v>0</v>
      </c>
      <c r="I231" s="205">
        <f>IFERROR(VLOOKUP($A231,'Budget &amp; Revenue'!$A:$AA,17,FALSE)," ")</f>
        <v>0</v>
      </c>
      <c r="J231" s="205">
        <f>IFERROR(VLOOKUP($A231,'Budget &amp; Revenue'!$A:$AA,19,FALSE)," ")</f>
        <v>0</v>
      </c>
      <c r="K231" s="205">
        <f>IFERROR(VLOOKUP($A231,'Budget &amp; Revenue'!$A:$AA,21,FALSE)," ")</f>
        <v>1</v>
      </c>
      <c r="L231" s="205">
        <f>IFERROR(VLOOKUP($A231,'Budget &amp; Revenue'!$A:$AA,23,FALSE)," ")</f>
        <v>1</v>
      </c>
      <c r="M231" s="205">
        <f>IFERROR(VLOOKUP($A231,'Budget &amp; Revenue'!$A:$AA,25,FALSE)," ")</f>
        <v>1</v>
      </c>
      <c r="N231" s="205">
        <f>IFERROR(VLOOKUP($A231,'Budget &amp; Revenue'!$A:$AA,27,FALSE)," ")</f>
        <v>1</v>
      </c>
    </row>
    <row r="232" spans="1:14" x14ac:dyDescent="0.65">
      <c r="A232" s="283">
        <v>231</v>
      </c>
      <c r="B232" s="284" t="str">
        <f>VLOOKUP(A232,Estimate!A:C,3,FALSE)</f>
        <v>Edge Restraint</v>
      </c>
      <c r="C232" s="284">
        <f>IFERROR(VLOOKUP(A232,Estimate!A:L,12,FALSE),0)</f>
        <v>1</v>
      </c>
      <c r="D232" s="285" t="s">
        <v>1794</v>
      </c>
      <c r="E232" s="285">
        <v>232</v>
      </c>
      <c r="F232" s="279">
        <f>IFERROR(VLOOKUP(A232,Estimate!A:Q,17,FALSE),0)</f>
        <v>1845.3702465402953</v>
      </c>
      <c r="G232" s="205">
        <f>IFERROR(VLOOKUP($A232,'Budget &amp; Revenue'!$A:$AA,13,FALSE)," ")</f>
        <v>0</v>
      </c>
      <c r="H232" s="205">
        <f>IFERROR(VLOOKUP($A232,'Budget &amp; Revenue'!$A:$AA,15,FALSE)," ")</f>
        <v>0</v>
      </c>
      <c r="I232" s="205">
        <f>IFERROR(VLOOKUP($A232,'Budget &amp; Revenue'!$A:$AA,17,FALSE)," ")</f>
        <v>0</v>
      </c>
      <c r="J232" s="205">
        <f>IFERROR(VLOOKUP($A232,'Budget &amp; Revenue'!$A:$AA,19,FALSE)," ")</f>
        <v>0</v>
      </c>
      <c r="K232" s="205">
        <f>IFERROR(VLOOKUP($A232,'Budget &amp; Revenue'!$A:$AA,21,FALSE)," ")</f>
        <v>1</v>
      </c>
      <c r="L232" s="205">
        <f>IFERROR(VLOOKUP($A232,'Budget &amp; Revenue'!$A:$AA,23,FALSE)," ")</f>
        <v>1</v>
      </c>
      <c r="M232" s="205">
        <f>IFERROR(VLOOKUP($A232,'Budget &amp; Revenue'!$A:$AA,25,FALSE)," ")</f>
        <v>1</v>
      </c>
      <c r="N232" s="205">
        <f>IFERROR(VLOOKUP($A232,'Budget &amp; Revenue'!$A:$AA,27,FALSE)," ")</f>
        <v>1</v>
      </c>
    </row>
    <row r="233" spans="1:14" x14ac:dyDescent="0.65">
      <c r="A233" s="283">
        <v>232</v>
      </c>
      <c r="B233" s="284" t="str">
        <f>VLOOKUP(A233,Estimate!A:C,3,FALSE)</f>
        <v>Supply &amp; Place 2.1 Gravel</v>
      </c>
      <c r="C233" s="284">
        <f>IFERROR(VLOOKUP(A233,Estimate!A:L,12,FALSE),0)</f>
        <v>0.12085679755200701</v>
      </c>
      <c r="D233" s="285">
        <v>231</v>
      </c>
      <c r="E233" s="285">
        <v>233237</v>
      </c>
      <c r="F233" s="279">
        <f>IFERROR(VLOOKUP(A233,Estimate!A:Q,17,FALSE),0)</f>
        <v>2264.9824881071768</v>
      </c>
      <c r="G233" s="205">
        <f>IFERROR(VLOOKUP($A233,'Budget &amp; Revenue'!$A:$AA,13,FALSE)," ")</f>
        <v>0</v>
      </c>
      <c r="H233" s="205">
        <f>IFERROR(VLOOKUP($A233,'Budget &amp; Revenue'!$A:$AA,15,FALSE)," ")</f>
        <v>0</v>
      </c>
      <c r="I233" s="205">
        <f>IFERROR(VLOOKUP($A233,'Budget &amp; Revenue'!$A:$AA,17,FALSE)," ")</f>
        <v>0</v>
      </c>
      <c r="J233" s="205">
        <f>IFERROR(VLOOKUP($A233,'Budget &amp; Revenue'!$A:$AA,19,FALSE)," ")</f>
        <v>0</v>
      </c>
      <c r="K233" s="205">
        <f>IFERROR(VLOOKUP($A233,'Budget &amp; Revenue'!$A:$AA,21,FALSE)," ")</f>
        <v>1</v>
      </c>
      <c r="L233" s="205">
        <f>IFERROR(VLOOKUP($A233,'Budget &amp; Revenue'!$A:$AA,23,FALSE)," ")</f>
        <v>1</v>
      </c>
      <c r="M233" s="205">
        <f>IFERROR(VLOOKUP($A233,'Budget &amp; Revenue'!$A:$AA,25,FALSE)," ")</f>
        <v>1</v>
      </c>
      <c r="N233" s="205">
        <f>IFERROR(VLOOKUP($A233,'Budget &amp; Revenue'!$A:$AA,27,FALSE)," ")</f>
        <v>1</v>
      </c>
    </row>
    <row r="234" spans="1:14" x14ac:dyDescent="0.65">
      <c r="A234" s="283">
        <v>233</v>
      </c>
      <c r="B234" s="284" t="str">
        <f>VLOOKUP(A234,Estimate!A:C,3,FALSE)</f>
        <v>Primer Seal</v>
      </c>
      <c r="C234" s="284">
        <f>IFERROR(VLOOKUP(A234,Estimate!A:L,12,FALSE),0)</f>
        <v>1</v>
      </c>
      <c r="D234" s="285" t="s">
        <v>1795</v>
      </c>
      <c r="E234" s="285">
        <v>234</v>
      </c>
      <c r="F234" s="279">
        <f>IFERROR(VLOOKUP(A234,Estimate!A:Q,17,FALSE),0)</f>
        <v>718.40000000000009</v>
      </c>
      <c r="G234" s="205">
        <f>IFERROR(VLOOKUP($A234,'Budget &amp; Revenue'!$A:$AA,13,FALSE)," ")</f>
        <v>0</v>
      </c>
      <c r="H234" s="205">
        <f>IFERROR(VLOOKUP($A234,'Budget &amp; Revenue'!$A:$AA,15,FALSE)," ")</f>
        <v>0</v>
      </c>
      <c r="I234" s="205">
        <f>IFERROR(VLOOKUP($A234,'Budget &amp; Revenue'!$A:$AA,17,FALSE)," ")</f>
        <v>0</v>
      </c>
      <c r="J234" s="205">
        <f>IFERROR(VLOOKUP($A234,'Budget &amp; Revenue'!$A:$AA,19,FALSE)," ")</f>
        <v>0</v>
      </c>
      <c r="K234" s="205">
        <f>IFERROR(VLOOKUP($A234,'Budget &amp; Revenue'!$A:$AA,21,FALSE)," ")</f>
        <v>1</v>
      </c>
      <c r="L234" s="205">
        <f>IFERROR(VLOOKUP($A234,'Budget &amp; Revenue'!$A:$AA,23,FALSE)," ")</f>
        <v>1</v>
      </c>
      <c r="M234" s="205">
        <f>IFERROR(VLOOKUP($A234,'Budget &amp; Revenue'!$A:$AA,25,FALSE)," ")</f>
        <v>1</v>
      </c>
      <c r="N234" s="205">
        <f>IFERROR(VLOOKUP($A234,'Budget &amp; Revenue'!$A:$AA,27,FALSE)," ")</f>
        <v>1</v>
      </c>
    </row>
    <row r="235" spans="1:14" x14ac:dyDescent="0.65">
      <c r="A235" s="283">
        <v>234</v>
      </c>
      <c r="B235" s="284" t="str">
        <f>VLOOKUP(A235,Estimate!A:C,3,FALSE)</f>
        <v>DG10 Asphalt (40mm)</v>
      </c>
      <c r="C235" s="284">
        <f>IFERROR(VLOOKUP(A235,Estimate!A:L,12,FALSE),0)</f>
        <v>1</v>
      </c>
      <c r="D235" s="285" t="s">
        <v>1796</v>
      </c>
      <c r="E235" s="285">
        <v>238</v>
      </c>
      <c r="F235" s="279">
        <f>IFERROR(VLOOKUP(A235,Estimate!A:Q,17,FALSE),0)</f>
        <v>4592</v>
      </c>
      <c r="G235" s="205">
        <f>IFERROR(VLOOKUP($A235,'Budget &amp; Revenue'!$A:$AA,13,FALSE)," ")</f>
        <v>0</v>
      </c>
      <c r="H235" s="205">
        <f>IFERROR(VLOOKUP($A235,'Budget &amp; Revenue'!$A:$AA,15,FALSE)," ")</f>
        <v>0</v>
      </c>
      <c r="I235" s="205">
        <f>IFERROR(VLOOKUP($A235,'Budget &amp; Revenue'!$A:$AA,17,FALSE)," ")</f>
        <v>0</v>
      </c>
      <c r="J235" s="205">
        <f>IFERROR(VLOOKUP($A235,'Budget &amp; Revenue'!$A:$AA,19,FALSE)," ")</f>
        <v>0</v>
      </c>
      <c r="K235" s="205">
        <f>IFERROR(VLOOKUP($A235,'Budget &amp; Revenue'!$A:$AA,21,FALSE)," ")</f>
        <v>0</v>
      </c>
      <c r="L235" s="205">
        <f>IFERROR(VLOOKUP($A235,'Budget &amp; Revenue'!$A:$AA,23,FALSE)," ")</f>
        <v>1</v>
      </c>
      <c r="M235" s="205">
        <f>IFERROR(VLOOKUP($A235,'Budget &amp; Revenue'!$A:$AA,25,FALSE)," ")</f>
        <v>1</v>
      </c>
      <c r="N235" s="205">
        <f>IFERROR(VLOOKUP($A235,'Budget &amp; Revenue'!$A:$AA,27,FALSE)," ")</f>
        <v>1</v>
      </c>
    </row>
    <row r="236" spans="1:14" x14ac:dyDescent="0.65">
      <c r="A236" s="283">
        <v>235</v>
      </c>
      <c r="B236" s="284" t="str">
        <f>VLOOKUP(A236,Estimate!A:C,3,FALSE)</f>
        <v>Bin Area</v>
      </c>
      <c r="C236" s="284">
        <f>IFERROR(VLOOKUP(A236,Estimate!A:L,12,FALSE),0)</f>
        <v>3.1789282128834868</v>
      </c>
      <c r="D236" s="285"/>
      <c r="E236" s="285"/>
      <c r="F236" s="279">
        <f>IFERROR(VLOOKUP(A236,Estimate!A:Q,17,FALSE),0)</f>
        <v>0</v>
      </c>
      <c r="G236" s="205">
        <f>IFERROR(VLOOKUP($A236,'Budget &amp; Revenue'!$A:$AA,13,FALSE)," ")</f>
        <v>0</v>
      </c>
      <c r="H236" s="205">
        <f>IFERROR(VLOOKUP($A236,'Budget &amp; Revenue'!$A:$AA,15,FALSE)," ")</f>
        <v>0</v>
      </c>
      <c r="I236" s="205">
        <f>IFERROR(VLOOKUP($A236,'Budget &amp; Revenue'!$A:$AA,17,FALSE)," ")</f>
        <v>0</v>
      </c>
      <c r="J236" s="205">
        <f>IFERROR(VLOOKUP($A236,'Budget &amp; Revenue'!$A:$AA,19,FALSE)," ")</f>
        <v>0</v>
      </c>
      <c r="K236" s="205">
        <f>IFERROR(VLOOKUP($A236,'Budget &amp; Revenue'!$A:$AA,21,FALSE)," ")</f>
        <v>0</v>
      </c>
      <c r="L236" s="205">
        <f>IFERROR(VLOOKUP($A236,'Budget &amp; Revenue'!$A:$AA,23,FALSE)," ")</f>
        <v>0</v>
      </c>
      <c r="M236" s="205">
        <f>IFERROR(VLOOKUP($A236,'Budget &amp; Revenue'!$A:$AA,25,FALSE)," ")</f>
        <v>0</v>
      </c>
      <c r="N236" s="205">
        <f>IFERROR(VLOOKUP($A236,'Budget &amp; Revenue'!$A:$AA,27,FALSE)," ")</f>
        <v>0</v>
      </c>
    </row>
    <row r="237" spans="1:14" x14ac:dyDescent="0.65">
      <c r="A237" s="283">
        <v>236</v>
      </c>
      <c r="B237" s="284" t="str">
        <f>VLOOKUP(A237,Estimate!A:C,3,FALSE)</f>
        <v>General Fill</v>
      </c>
      <c r="C237" s="284">
        <f>IFERROR(VLOOKUP(A237,Estimate!A:L,12,FALSE),0)</f>
        <v>9.4999881250148438E-2</v>
      </c>
      <c r="D237" s="285" t="s">
        <v>1046</v>
      </c>
      <c r="E237" s="285">
        <v>237</v>
      </c>
      <c r="F237" s="279">
        <f>IFERROR(VLOOKUP(A237,Estimate!A:Q,17,FALSE),0)</f>
        <v>1026.2841125833481</v>
      </c>
      <c r="G237" s="205">
        <f>IFERROR(VLOOKUP($A237,'Budget &amp; Revenue'!$A:$AA,13,FALSE)," ")</f>
        <v>0</v>
      </c>
      <c r="H237" s="205">
        <f>IFERROR(VLOOKUP($A237,'Budget &amp; Revenue'!$A:$AA,15,FALSE)," ")</f>
        <v>0</v>
      </c>
      <c r="I237" s="205">
        <f>IFERROR(VLOOKUP($A237,'Budget &amp; Revenue'!$A:$AA,17,FALSE)," ")</f>
        <v>0</v>
      </c>
      <c r="J237" s="205">
        <f>IFERROR(VLOOKUP($A237,'Budget &amp; Revenue'!$A:$AA,19,FALSE)," ")</f>
        <v>0</v>
      </c>
      <c r="K237" s="205">
        <f>IFERROR(VLOOKUP($A237,'Budget &amp; Revenue'!$A:$AA,21,FALSE)," ")</f>
        <v>1</v>
      </c>
      <c r="L237" s="205">
        <f>IFERROR(VLOOKUP($A237,'Budget &amp; Revenue'!$A:$AA,23,FALSE)," ")</f>
        <v>1</v>
      </c>
      <c r="M237" s="205">
        <f>IFERROR(VLOOKUP($A237,'Budget &amp; Revenue'!$A:$AA,25,FALSE)," ")</f>
        <v>1</v>
      </c>
      <c r="N237" s="205">
        <f>IFERROR(VLOOKUP($A237,'Budget &amp; Revenue'!$A:$AA,27,FALSE)," ")</f>
        <v>1</v>
      </c>
    </row>
    <row r="238" spans="1:14" x14ac:dyDescent="0.65">
      <c r="A238" s="283">
        <v>237</v>
      </c>
      <c r="B238" s="284" t="str">
        <f>VLOOKUP(A238,Estimate!A:C,3,FALSE)</f>
        <v>Supply &amp; Place Type 2.1 Gravel</v>
      </c>
      <c r="C238" s="284">
        <f>IFERROR(VLOOKUP(A238,Estimate!A:L,12,FALSE),0)</f>
        <v>8.3928331633338182E-2</v>
      </c>
      <c r="D238" s="285">
        <v>232236</v>
      </c>
      <c r="E238" s="285">
        <v>238</v>
      </c>
      <c r="F238" s="279">
        <f>IFERROR(VLOOKUP(A238,Estimate!A:Q,17,FALSE),0)</f>
        <v>1572.904505629984</v>
      </c>
      <c r="G238" s="205">
        <f>IFERROR(VLOOKUP($A238,'Budget &amp; Revenue'!$A:$AA,13,FALSE)," ")</f>
        <v>0</v>
      </c>
      <c r="H238" s="205">
        <f>IFERROR(VLOOKUP($A238,'Budget &amp; Revenue'!$A:$AA,15,FALSE)," ")</f>
        <v>0</v>
      </c>
      <c r="I238" s="205">
        <f>IFERROR(VLOOKUP($A238,'Budget &amp; Revenue'!$A:$AA,17,FALSE)," ")</f>
        <v>0</v>
      </c>
      <c r="J238" s="205">
        <f>IFERROR(VLOOKUP($A238,'Budget &amp; Revenue'!$A:$AA,19,FALSE)," ")</f>
        <v>0</v>
      </c>
      <c r="K238" s="205">
        <f>IFERROR(VLOOKUP($A238,'Budget &amp; Revenue'!$A:$AA,21,FALSE)," ")</f>
        <v>1</v>
      </c>
      <c r="L238" s="205">
        <f>IFERROR(VLOOKUP($A238,'Budget &amp; Revenue'!$A:$AA,23,FALSE)," ")</f>
        <v>1</v>
      </c>
      <c r="M238" s="205">
        <f>IFERROR(VLOOKUP($A238,'Budget &amp; Revenue'!$A:$AA,25,FALSE)," ")</f>
        <v>1</v>
      </c>
      <c r="N238" s="205">
        <f>IFERROR(VLOOKUP($A238,'Budget &amp; Revenue'!$A:$AA,27,FALSE)," ")</f>
        <v>1</v>
      </c>
    </row>
    <row r="239" spans="1:14" x14ac:dyDescent="0.65">
      <c r="A239" s="283">
        <v>238</v>
      </c>
      <c r="B239" s="284" t="str">
        <f>VLOOKUP(A239,Estimate!A:C,3,FALSE)</f>
        <v>Colourbonfd Fence (1800 High - 20m)</v>
      </c>
      <c r="C239" s="284">
        <f>IFERROR(VLOOKUP(A239,Estimate!A:L,12,FALSE),0)</f>
        <v>3</v>
      </c>
      <c r="D239" s="285">
        <v>234237</v>
      </c>
      <c r="E239" s="285">
        <v>2</v>
      </c>
      <c r="F239" s="279">
        <f>IFERROR(VLOOKUP(A239,Estimate!A:Q,17,FALSE),0)</f>
        <v>2323</v>
      </c>
      <c r="G239" s="205">
        <f>IFERROR(VLOOKUP($A239,'Budget &amp; Revenue'!$A:$AA,13,FALSE)," ")</f>
        <v>0</v>
      </c>
      <c r="H239" s="205">
        <f>IFERROR(VLOOKUP($A239,'Budget &amp; Revenue'!$A:$AA,15,FALSE)," ")</f>
        <v>0</v>
      </c>
      <c r="I239" s="205">
        <f>IFERROR(VLOOKUP($A239,'Budget &amp; Revenue'!$A:$AA,17,FALSE)," ")</f>
        <v>0</v>
      </c>
      <c r="J239" s="205">
        <f>IFERROR(VLOOKUP($A239,'Budget &amp; Revenue'!$A:$AA,19,FALSE)," ")</f>
        <v>0</v>
      </c>
      <c r="K239" s="205">
        <f>IFERROR(VLOOKUP($A239,'Budget &amp; Revenue'!$A:$AA,21,FALSE)," ")</f>
        <v>0</v>
      </c>
      <c r="L239" s="205">
        <f>IFERROR(VLOOKUP($A239,'Budget &amp; Revenue'!$A:$AA,23,FALSE)," ")</f>
        <v>0</v>
      </c>
      <c r="M239" s="205">
        <f>IFERROR(VLOOKUP($A239,'Budget &amp; Revenue'!$A:$AA,25,FALSE)," ")</f>
        <v>1</v>
      </c>
      <c r="N239" s="205">
        <f>IFERROR(VLOOKUP($A239,'Budget &amp; Revenue'!$A:$AA,27,FALSE)," ")</f>
        <v>1</v>
      </c>
    </row>
    <row r="240" spans="1:14" x14ac:dyDescent="0.65">
      <c r="A240" s="283">
        <v>239</v>
      </c>
      <c r="B240" s="284" t="str">
        <f>VLOOKUP(A240,Estimate!A:C,3,FALSE)</f>
        <v>Additional Edge Restraint</v>
      </c>
      <c r="C240" s="284">
        <f>IFERROR(VLOOKUP(A240,Estimate!A:L,12,FALSE),0)</f>
        <v>1</v>
      </c>
      <c r="D240" s="285">
        <v>227</v>
      </c>
      <c r="E240" s="285">
        <v>53</v>
      </c>
      <c r="F240" s="279">
        <f>IFERROR(VLOOKUP(A240,Estimate!A:Q,17,FALSE),0)</f>
        <v>2911.5841667635768</v>
      </c>
      <c r="G240" s="205">
        <f>IFERROR(VLOOKUP($A240,'Budget &amp; Revenue'!$A:$AA,13,FALSE)," ")</f>
        <v>0</v>
      </c>
      <c r="H240" s="205">
        <f>IFERROR(VLOOKUP($A240,'Budget &amp; Revenue'!$A:$AA,15,FALSE)," ")</f>
        <v>0</v>
      </c>
      <c r="I240" s="205">
        <f>IFERROR(VLOOKUP($A240,'Budget &amp; Revenue'!$A:$AA,17,FALSE)," ")</f>
        <v>0</v>
      </c>
      <c r="J240" s="205">
        <f>IFERROR(VLOOKUP($A240,'Budget &amp; Revenue'!$A:$AA,19,FALSE)," ")</f>
        <v>0</v>
      </c>
      <c r="K240" s="205">
        <f>IFERROR(VLOOKUP($A240,'Budget &amp; Revenue'!$A:$AA,21,FALSE)," ")</f>
        <v>1</v>
      </c>
      <c r="L240" s="205">
        <f>IFERROR(VLOOKUP($A240,'Budget &amp; Revenue'!$A:$AA,23,FALSE)," ")</f>
        <v>1</v>
      </c>
      <c r="M240" s="205">
        <f>IFERROR(VLOOKUP($A240,'Budget &amp; Revenue'!$A:$AA,25,FALSE)," ")</f>
        <v>1</v>
      </c>
      <c r="N240" s="205">
        <f>IFERROR(VLOOKUP($A240,'Budget &amp; Revenue'!$A:$AA,27,FALSE)," ")</f>
        <v>1</v>
      </c>
    </row>
    <row r="241" spans="1:14" x14ac:dyDescent="0.65">
      <c r="A241" s="283">
        <v>240</v>
      </c>
      <c r="B241" s="284" t="str">
        <f>VLOOKUP(A241,Estimate!A:C,3,FALSE)</f>
        <v>Supply &amp; Install Additional Electrical Pit</v>
      </c>
      <c r="C241" s="284">
        <f>IFERROR(VLOOKUP(A241,Estimate!A:L,12,FALSE),0)</f>
        <v>1</v>
      </c>
      <c r="D241" s="285" t="s">
        <v>1797</v>
      </c>
      <c r="E241" s="285">
        <v>2</v>
      </c>
      <c r="F241" s="279">
        <f>IFERROR(VLOOKUP(A241,Estimate!A:Q,17,FALSE),0)</f>
        <v>1210</v>
      </c>
      <c r="G241" s="205">
        <f>IFERROR(VLOOKUP($A241,'Budget &amp; Revenue'!$A:$AA,13,FALSE)," ")</f>
        <v>0</v>
      </c>
      <c r="H241" s="205">
        <f>IFERROR(VLOOKUP($A241,'Budget &amp; Revenue'!$A:$AA,15,FALSE)," ")</f>
        <v>0</v>
      </c>
      <c r="I241" s="205">
        <f>IFERROR(VLOOKUP($A241,'Budget &amp; Revenue'!$A:$AA,17,FALSE)," ")</f>
        <v>0</v>
      </c>
      <c r="J241" s="205">
        <f>IFERROR(VLOOKUP($A241,'Budget &amp; Revenue'!$A:$AA,19,FALSE)," ")</f>
        <v>0</v>
      </c>
      <c r="K241" s="205">
        <f>IFERROR(VLOOKUP($A241,'Budget &amp; Revenue'!$A:$AA,21,FALSE)," ")</f>
        <v>1</v>
      </c>
      <c r="L241" s="205">
        <f>IFERROR(VLOOKUP($A241,'Budget &amp; Revenue'!$A:$AA,23,FALSE)," ")</f>
        <v>1</v>
      </c>
      <c r="M241" s="205">
        <f>IFERROR(VLOOKUP($A241,'Budget &amp; Revenue'!$A:$AA,25,FALSE)," ")</f>
        <v>1</v>
      </c>
      <c r="N241" s="205">
        <f>IFERROR(VLOOKUP($A241,'Budget &amp; Revenue'!$A:$AA,27,FALSE)," ")</f>
        <v>1</v>
      </c>
    </row>
    <row r="242" spans="1:14" ht="28.5" x14ac:dyDescent="0.65">
      <c r="A242" s="283">
        <v>241</v>
      </c>
      <c r="B242" s="284" t="str">
        <f>VLOOKUP(A242,Estimate!A:C,3,FALSE)</f>
        <v>Extra Over Log Barrier Fenec - Monowills Pedestrian Safety Fence</v>
      </c>
      <c r="C242" s="284">
        <f>IFERROR(VLOOKUP(A242,Estimate!A:L,12,FALSE),0)</f>
        <v>0</v>
      </c>
      <c r="D242" s="285">
        <v>121</v>
      </c>
      <c r="E242" s="285">
        <v>122</v>
      </c>
      <c r="F242" s="279">
        <f>IFERROR(VLOOKUP(A242,Estimate!A:Q,17,FALSE),0)</f>
        <v>2146</v>
      </c>
      <c r="G242" s="205">
        <f>IFERROR(VLOOKUP($A242,'Budget &amp; Revenue'!$A:$AA,13,FALSE)," ")</f>
        <v>0</v>
      </c>
      <c r="H242" s="205">
        <f>IFERROR(VLOOKUP($A242,'Budget &amp; Revenue'!$A:$AA,15,FALSE)," ")</f>
        <v>0</v>
      </c>
      <c r="I242" s="205">
        <f>IFERROR(VLOOKUP($A242,'Budget &amp; Revenue'!$A:$AA,17,FALSE)," ")</f>
        <v>0</v>
      </c>
      <c r="J242" s="205">
        <f>IFERROR(VLOOKUP($A242,'Budget &amp; Revenue'!$A:$AA,19,FALSE)," ")</f>
        <v>0</v>
      </c>
      <c r="K242" s="205">
        <f>IFERROR(VLOOKUP($A242,'Budget &amp; Revenue'!$A:$AA,21,FALSE)," ")</f>
        <v>0</v>
      </c>
      <c r="L242" s="205">
        <f>IFERROR(VLOOKUP($A242,'Budget &amp; Revenue'!$A:$AA,23,FALSE)," ")</f>
        <v>0</v>
      </c>
      <c r="M242" s="205">
        <f>IFERROR(VLOOKUP($A242,'Budget &amp; Revenue'!$A:$AA,25,FALSE)," ")</f>
        <v>1</v>
      </c>
      <c r="N242" s="205">
        <f>IFERROR(VLOOKUP($A242,'Budget &amp; Revenue'!$A:$AA,27,FALSE)," ")</f>
        <v>1</v>
      </c>
    </row>
    <row r="243" spans="1:14" x14ac:dyDescent="0.65">
      <c r="A243" s="283">
        <v>242</v>
      </c>
      <c r="B243" s="284" t="str">
        <f>VLOOKUP(A243,Estimate!A:C,3,FALSE)</f>
        <v>Additional AC</v>
      </c>
      <c r="C243" s="284">
        <f>IFERROR(VLOOKUP(A243,Estimate!A:L,12,FALSE),0)</f>
        <v>1</v>
      </c>
      <c r="D243" s="285">
        <v>76</v>
      </c>
      <c r="E243" s="285">
        <v>118</v>
      </c>
      <c r="F243" s="279">
        <f>IFERROR(VLOOKUP(A243,Estimate!A:Q,17,FALSE),0)</f>
        <v>20290.900000000001</v>
      </c>
      <c r="G243" s="205">
        <f>IFERROR(VLOOKUP($A243,'Budget &amp; Revenue'!$A:$AA,13,FALSE)," ")</f>
        <v>0</v>
      </c>
      <c r="H243" s="205">
        <f>IFERROR(VLOOKUP($A243,'Budget &amp; Revenue'!$A:$AA,15,FALSE)," ")</f>
        <v>0</v>
      </c>
      <c r="I243" s="205">
        <f>IFERROR(VLOOKUP($A243,'Budget &amp; Revenue'!$A:$AA,17,FALSE)," ")</f>
        <v>0</v>
      </c>
      <c r="J243" s="205">
        <f>IFERROR(VLOOKUP($A243,'Budget &amp; Revenue'!$A:$AA,19,FALSE)," ")</f>
        <v>0</v>
      </c>
      <c r="K243" s="205">
        <f>IFERROR(VLOOKUP($A243,'Budget &amp; Revenue'!$A:$AA,21,FALSE)," ")</f>
        <v>0</v>
      </c>
      <c r="L243" s="205">
        <f>IFERROR(VLOOKUP($A243,'Budget &amp; Revenue'!$A:$AA,23,FALSE)," ")</f>
        <v>0</v>
      </c>
      <c r="M243" s="205">
        <f>IFERROR(VLOOKUP($A243,'Budget &amp; Revenue'!$A:$AA,25,FALSE)," ")</f>
        <v>1</v>
      </c>
      <c r="N243" s="205">
        <f>IFERROR(VLOOKUP($A243,'Budget &amp; Revenue'!$A:$AA,27,FALSE)," ")</f>
        <v>1</v>
      </c>
    </row>
    <row r="244" spans="1:14" x14ac:dyDescent="0.65">
      <c r="A244" s="283">
        <v>243</v>
      </c>
      <c r="B244" s="284" t="str">
        <f>VLOOKUP(A244,Estimate!A:C,3,FALSE)</f>
        <v>Miscellaneous Additional Works</v>
      </c>
      <c r="C244" s="284">
        <f>IFERROR(VLOOKUP(A244,Estimate!A:L,12,FALSE),0)</f>
        <v>3</v>
      </c>
      <c r="D244" s="285">
        <v>122</v>
      </c>
      <c r="E244" s="285">
        <v>2</v>
      </c>
      <c r="F244" s="279">
        <f>IFERROR(VLOOKUP(A244,Estimate!A:Q,17,FALSE),0)</f>
        <v>22691.151631585068</v>
      </c>
      <c r="G244" s="205">
        <f>IFERROR(VLOOKUP($A244,'Budget &amp; Revenue'!$A:$AA,13,FALSE)," ")</f>
        <v>0</v>
      </c>
      <c r="H244" s="205">
        <f>IFERROR(VLOOKUP($A244,'Budget &amp; Revenue'!$A:$AA,15,FALSE)," ")</f>
        <v>0</v>
      </c>
      <c r="I244" s="205">
        <f>IFERROR(VLOOKUP($A244,'Budget &amp; Revenue'!$A:$AA,17,FALSE)," ")</f>
        <v>0</v>
      </c>
      <c r="J244" s="205">
        <f>IFERROR(VLOOKUP($A244,'Budget &amp; Revenue'!$A:$AA,19,FALSE)," ")</f>
        <v>0</v>
      </c>
      <c r="K244" s="205">
        <f>IFERROR(VLOOKUP($A244,'Budget &amp; Revenue'!$A:$AA,21,FALSE)," ")</f>
        <v>0</v>
      </c>
      <c r="L244" s="205">
        <f>IFERROR(VLOOKUP($A244,'Budget &amp; Revenue'!$A:$AA,23,FALSE)," ")</f>
        <v>0</v>
      </c>
      <c r="M244" s="205">
        <f>IFERROR(VLOOKUP($A244,'Budget &amp; Revenue'!$A:$AA,25,FALSE)," ")</f>
        <v>0</v>
      </c>
      <c r="N244" s="205">
        <f>IFERROR(VLOOKUP($A244,'Budget &amp; Revenue'!$A:$AA,27,FALSE)," ")</f>
        <v>1</v>
      </c>
    </row>
  </sheetData>
  <autoFilter ref="A1:N244"/>
  <phoneticPr fontId="1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5"/>
  <sheetViews>
    <sheetView zoomScaleNormal="100" workbookViewId="0">
      <pane ySplit="1" topLeftCell="A2" activePane="bottomLeft" state="frozen"/>
      <selection activeCell="B1" sqref="B1"/>
      <selection pane="bottomLeft" activeCell="E4" sqref="E4"/>
    </sheetView>
  </sheetViews>
  <sheetFormatPr baseColWidth="10" defaultColWidth="8.7265625" defaultRowHeight="14.25" x14ac:dyDescent="0.65"/>
  <cols>
    <col min="1" max="1" width="9.1328125" style="138"/>
    <col min="3" max="3" width="50.7265625" style="35" customWidth="1"/>
    <col min="4" max="4" width="5.7265625" bestFit="1" customWidth="1"/>
    <col min="5" max="5" width="17.54296875" style="328" bestFit="1" customWidth="1"/>
    <col min="6" max="6" width="17.54296875" customWidth="1"/>
    <col min="7" max="7" width="18.7265625" customWidth="1"/>
    <col min="8" max="8" width="13.40625" customWidth="1"/>
    <col min="9" max="9" width="14.1328125" customWidth="1"/>
    <col min="10" max="11" width="15.26953125" customWidth="1"/>
    <col min="12" max="12" width="18" bestFit="1" customWidth="1"/>
    <col min="13" max="13" width="18" style="37" customWidth="1"/>
    <col min="14" max="14" width="15.26953125" bestFit="1" customWidth="1"/>
    <col min="15" max="15" width="18" style="37" customWidth="1"/>
    <col min="16" max="16" width="15.26953125" bestFit="1" customWidth="1"/>
    <col min="17" max="17" width="18" style="37" customWidth="1"/>
    <col min="18" max="18" width="15.26953125" bestFit="1" customWidth="1"/>
    <col min="19" max="19" width="18" style="37" customWidth="1"/>
    <col min="20" max="20" width="15.26953125" bestFit="1" customWidth="1"/>
    <col min="21" max="21" width="18" style="37" customWidth="1"/>
    <col min="22" max="22" width="15.26953125" bestFit="1" customWidth="1"/>
    <col min="23" max="23" width="18" style="37" customWidth="1"/>
    <col min="24" max="24" width="15.26953125" bestFit="1" customWidth="1"/>
    <col min="25" max="25" width="18" style="37" customWidth="1"/>
    <col min="26" max="26" width="15.26953125" bestFit="1" customWidth="1"/>
    <col min="27" max="27" width="18" style="37" customWidth="1"/>
    <col min="28" max="28" width="3.86328125" customWidth="1"/>
    <col min="29" max="29" width="16.86328125" bestFit="1" customWidth="1"/>
    <col min="30" max="30" width="17.26953125" customWidth="1"/>
    <col min="31" max="36" width="18.26953125" customWidth="1"/>
    <col min="38" max="38" width="11.54296875" bestFit="1" customWidth="1"/>
    <col min="39" max="39" width="12.54296875" bestFit="1" customWidth="1"/>
    <col min="41" max="41" width="10.54296875" bestFit="1" customWidth="1"/>
  </cols>
  <sheetData>
    <row r="1" spans="1:36" ht="15" x14ac:dyDescent="0.25">
      <c r="A1" s="289" t="s">
        <v>972</v>
      </c>
      <c r="B1" s="289" t="s">
        <v>1054</v>
      </c>
      <c r="C1" s="273" t="s">
        <v>315</v>
      </c>
      <c r="D1" s="289" t="s">
        <v>2</v>
      </c>
      <c r="E1" s="324" t="s">
        <v>1303</v>
      </c>
      <c r="F1" s="290" t="s">
        <v>1055</v>
      </c>
      <c r="G1" s="290" t="s">
        <v>1056</v>
      </c>
      <c r="H1" s="290" t="s">
        <v>1057</v>
      </c>
      <c r="I1" s="290" t="s">
        <v>1058</v>
      </c>
      <c r="J1" s="290" t="s">
        <v>1059</v>
      </c>
      <c r="K1" s="290"/>
      <c r="L1" s="291" t="s">
        <v>1060</v>
      </c>
      <c r="M1" s="291" t="s">
        <v>1211</v>
      </c>
      <c r="N1" s="291" t="s">
        <v>1061</v>
      </c>
      <c r="O1" s="291" t="s">
        <v>1212</v>
      </c>
      <c r="P1" s="291" t="s">
        <v>1062</v>
      </c>
      <c r="Q1" s="291" t="s">
        <v>1213</v>
      </c>
      <c r="R1" s="291" t="s">
        <v>1063</v>
      </c>
      <c r="S1" s="291" t="s">
        <v>1214</v>
      </c>
      <c r="T1" s="291" t="s">
        <v>1064</v>
      </c>
      <c r="U1" s="291" t="s">
        <v>1215</v>
      </c>
      <c r="V1" s="291" t="s">
        <v>1065</v>
      </c>
      <c r="W1" s="291" t="s">
        <v>1216</v>
      </c>
      <c r="X1" s="291" t="s">
        <v>1066</v>
      </c>
      <c r="Y1" s="291" t="s">
        <v>1217</v>
      </c>
      <c r="Z1" s="291" t="s">
        <v>1067</v>
      </c>
      <c r="AA1" s="291" t="s">
        <v>1218</v>
      </c>
      <c r="AB1" s="292"/>
      <c r="AC1" s="291" t="s">
        <v>1295</v>
      </c>
      <c r="AD1" s="291" t="s">
        <v>1296</v>
      </c>
      <c r="AE1" s="291" t="s">
        <v>1297</v>
      </c>
      <c r="AF1" s="291" t="s">
        <v>1298</v>
      </c>
      <c r="AG1" s="291" t="s">
        <v>1299</v>
      </c>
      <c r="AH1" s="291" t="s">
        <v>1300</v>
      </c>
      <c r="AI1" s="291" t="s">
        <v>1301</v>
      </c>
      <c r="AJ1" s="291" t="s">
        <v>1302</v>
      </c>
    </row>
    <row r="2" spans="1:36" ht="15" x14ac:dyDescent="0.25">
      <c r="A2" s="293"/>
      <c r="B2" s="293" t="s">
        <v>448</v>
      </c>
      <c r="C2" s="294" t="s">
        <v>1068</v>
      </c>
      <c r="D2" s="293" t="s">
        <v>448</v>
      </c>
      <c r="E2" s="325"/>
      <c r="F2" s="296" t="s">
        <v>448</v>
      </c>
      <c r="G2" s="296" t="s">
        <v>448</v>
      </c>
      <c r="H2" s="295" t="s">
        <v>448</v>
      </c>
      <c r="I2" s="295" t="s">
        <v>448</v>
      </c>
      <c r="J2" s="295" t="s">
        <v>448</v>
      </c>
      <c r="K2" s="295"/>
      <c r="L2" s="296" t="s">
        <v>448</v>
      </c>
      <c r="M2" s="297"/>
      <c r="N2" s="296" t="s">
        <v>448</v>
      </c>
      <c r="O2" s="297"/>
      <c r="P2" s="296" t="s">
        <v>448</v>
      </c>
      <c r="Q2" s="297"/>
      <c r="R2" s="296" t="s">
        <v>448</v>
      </c>
      <c r="S2" s="297"/>
      <c r="T2" s="296" t="s">
        <v>448</v>
      </c>
      <c r="U2" s="297"/>
      <c r="V2" s="296" t="s">
        <v>448</v>
      </c>
      <c r="W2" s="297"/>
      <c r="X2" s="296" t="s">
        <v>448</v>
      </c>
      <c r="Y2" s="297"/>
      <c r="Z2" s="296" t="s">
        <v>448</v>
      </c>
      <c r="AA2" s="297"/>
      <c r="AB2" s="297"/>
      <c r="AC2" s="297"/>
      <c r="AD2" s="297"/>
      <c r="AE2" s="297"/>
      <c r="AF2" s="297"/>
      <c r="AG2" s="297"/>
      <c r="AH2" s="297"/>
      <c r="AI2" s="297"/>
      <c r="AJ2" s="297"/>
    </row>
    <row r="3" spans="1:36" ht="15" x14ac:dyDescent="0.25">
      <c r="A3" s="203"/>
      <c r="B3" s="292" t="s">
        <v>1069</v>
      </c>
      <c r="C3" s="276" t="s">
        <v>448</v>
      </c>
      <c r="D3" s="292" t="s">
        <v>451</v>
      </c>
      <c r="E3" s="321"/>
      <c r="F3" s="299" t="s">
        <v>448</v>
      </c>
      <c r="G3" s="299" t="s">
        <v>448</v>
      </c>
      <c r="H3" s="298" t="s">
        <v>448</v>
      </c>
      <c r="I3" s="298" t="s">
        <v>448</v>
      </c>
      <c r="J3" s="298" t="s">
        <v>448</v>
      </c>
      <c r="K3" s="298"/>
      <c r="L3" s="299" t="s">
        <v>448</v>
      </c>
      <c r="M3" s="300"/>
      <c r="N3" s="299" t="s">
        <v>448</v>
      </c>
      <c r="O3" s="300"/>
      <c r="P3" s="299" t="s">
        <v>448</v>
      </c>
      <c r="Q3" s="300"/>
      <c r="R3" s="299" t="s">
        <v>448</v>
      </c>
      <c r="S3" s="300"/>
      <c r="T3" s="299" t="s">
        <v>448</v>
      </c>
      <c r="U3" s="300"/>
      <c r="V3" s="299" t="s">
        <v>448</v>
      </c>
      <c r="W3" s="300"/>
      <c r="X3" s="299" t="s">
        <v>448</v>
      </c>
      <c r="Y3" s="300"/>
      <c r="Z3" s="299" t="s">
        <v>448</v>
      </c>
      <c r="AA3" s="300"/>
      <c r="AB3" s="292"/>
      <c r="AC3" s="292"/>
      <c r="AD3" s="292"/>
      <c r="AE3" s="292"/>
      <c r="AF3" s="292"/>
      <c r="AG3" s="292"/>
      <c r="AH3" s="292"/>
      <c r="AI3" s="292"/>
      <c r="AJ3" s="292"/>
    </row>
    <row r="4" spans="1:36" ht="15" x14ac:dyDescent="0.25">
      <c r="A4" s="203">
        <v>3</v>
      </c>
      <c r="B4" s="292">
        <v>1</v>
      </c>
      <c r="C4" s="276" t="s">
        <v>614</v>
      </c>
      <c r="D4" s="292" t="s">
        <v>451</v>
      </c>
      <c r="E4" s="321"/>
      <c r="F4" s="299" t="s">
        <v>448</v>
      </c>
      <c r="G4" s="299" t="s">
        <v>448</v>
      </c>
      <c r="H4" s="298" t="s">
        <v>448</v>
      </c>
      <c r="I4" s="298" t="s">
        <v>448</v>
      </c>
      <c r="J4" s="298" t="s">
        <v>448</v>
      </c>
      <c r="K4" s="298"/>
      <c r="L4" s="299" t="s">
        <v>448</v>
      </c>
      <c r="M4" s="300"/>
      <c r="N4" s="299" t="s">
        <v>448</v>
      </c>
      <c r="O4" s="300"/>
      <c r="P4" s="299" t="s">
        <v>448</v>
      </c>
      <c r="Q4" s="300"/>
      <c r="R4" s="299" t="s">
        <v>448</v>
      </c>
      <c r="S4" s="300"/>
      <c r="T4" s="299" t="s">
        <v>448</v>
      </c>
      <c r="U4" s="300"/>
      <c r="V4" s="299" t="s">
        <v>448</v>
      </c>
      <c r="W4" s="300"/>
      <c r="X4" s="299" t="s">
        <v>448</v>
      </c>
      <c r="Y4" s="300"/>
      <c r="Z4" s="299" t="s">
        <v>448</v>
      </c>
      <c r="AA4" s="300"/>
      <c r="AB4" s="292"/>
      <c r="AC4" s="292"/>
      <c r="AD4" s="292"/>
      <c r="AE4" s="292"/>
      <c r="AF4" s="292"/>
      <c r="AG4" s="292"/>
      <c r="AH4" s="292"/>
      <c r="AI4" s="292"/>
      <c r="AJ4" s="292"/>
    </row>
    <row r="5" spans="1:36" ht="30" x14ac:dyDescent="0.25">
      <c r="A5" s="203">
        <v>4</v>
      </c>
      <c r="B5" s="292">
        <v>1.1000000000000001</v>
      </c>
      <c r="C5" s="276" t="s">
        <v>13</v>
      </c>
      <c r="D5" s="292" t="s">
        <v>14</v>
      </c>
      <c r="E5" s="321">
        <f>IFERROR(VLOOKUP(A5,Estimate!A:Q,17,FALSE)," ")</f>
        <v>36340</v>
      </c>
      <c r="F5" s="299">
        <v>1</v>
      </c>
      <c r="G5" s="299">
        <v>1</v>
      </c>
      <c r="H5" s="298">
        <v>46306.14</v>
      </c>
      <c r="I5" s="298">
        <v>46306.14</v>
      </c>
      <c r="J5" s="298">
        <v>46306.14</v>
      </c>
      <c r="K5" s="298"/>
      <c r="L5" s="299">
        <v>0.5</v>
      </c>
      <c r="M5" s="301">
        <f>IFERROR(L5/$G5," ")</f>
        <v>0.5</v>
      </c>
      <c r="N5" s="299">
        <v>1</v>
      </c>
      <c r="O5" s="301">
        <f>IFERROR(N5/$G5," ")</f>
        <v>1</v>
      </c>
      <c r="P5" s="299">
        <v>1</v>
      </c>
      <c r="Q5" s="301">
        <f>IFERROR(P5/$G5," ")</f>
        <v>1</v>
      </c>
      <c r="R5" s="299">
        <v>1</v>
      </c>
      <c r="S5" s="301">
        <f>IFERROR(R5/$G5," ")</f>
        <v>1</v>
      </c>
      <c r="T5" s="299">
        <v>1</v>
      </c>
      <c r="U5" s="301">
        <f>IFERROR(T5/$G5," ")</f>
        <v>1</v>
      </c>
      <c r="V5" s="299">
        <v>1</v>
      </c>
      <c r="W5" s="301">
        <f>IFERROR(V5/$G5," ")</f>
        <v>1</v>
      </c>
      <c r="X5" s="299">
        <v>1</v>
      </c>
      <c r="Y5" s="301">
        <f>IFERROR(X5/$G5," ")</f>
        <v>1</v>
      </c>
      <c r="Z5" s="299">
        <v>1</v>
      </c>
      <c r="AA5" s="301">
        <f>IFERROR(Z5/$G5," ")</f>
        <v>1</v>
      </c>
      <c r="AB5" s="292"/>
      <c r="AC5" s="279">
        <f t="shared" ref="AC5:AC36" si="0">IFERROR(M5*$I5," ")</f>
        <v>23153.07</v>
      </c>
      <c r="AD5" s="279">
        <f t="shared" ref="AD5:AD36" si="1">IFERROR(O5*$I5," ")</f>
        <v>46306.14</v>
      </c>
      <c r="AE5" s="279">
        <f t="shared" ref="AE5:AE36" si="2">IFERROR(Q5*$I5," ")</f>
        <v>46306.14</v>
      </c>
      <c r="AF5" s="279">
        <f t="shared" ref="AF5:AF36" si="3">IFERROR(S5*$I5," ")</f>
        <v>46306.14</v>
      </c>
      <c r="AG5" s="279">
        <f t="shared" ref="AG5:AG36" si="4">IFERROR(U5*$I5," ")</f>
        <v>46306.14</v>
      </c>
      <c r="AH5" s="279">
        <f t="shared" ref="AH5:AH36" si="5">IFERROR(W5*$I5," ")</f>
        <v>46306.14</v>
      </c>
      <c r="AI5" s="279">
        <f t="shared" ref="AI5:AI36" si="6">IFERROR(Y5*$I5," ")</f>
        <v>46306.14</v>
      </c>
      <c r="AJ5" s="279">
        <f t="shared" ref="AJ5:AJ36" si="7">IFERROR(AA5*$I5," ")</f>
        <v>46306.14</v>
      </c>
    </row>
    <row r="6" spans="1:36" ht="60" x14ac:dyDescent="0.25">
      <c r="A6" s="203">
        <v>5</v>
      </c>
      <c r="B6" s="292">
        <v>1.2</v>
      </c>
      <c r="C6" s="276" t="s">
        <v>23</v>
      </c>
      <c r="D6" s="292" t="s">
        <v>14</v>
      </c>
      <c r="E6" s="321">
        <f>IFERROR(VLOOKUP(A6,Estimate!A:Q,17,FALSE)," ")</f>
        <v>25694.400000000001</v>
      </c>
      <c r="F6" s="299">
        <v>1</v>
      </c>
      <c r="G6" s="299">
        <v>1</v>
      </c>
      <c r="H6" s="298">
        <v>32741.01</v>
      </c>
      <c r="I6" s="298">
        <v>32741.01</v>
      </c>
      <c r="J6" s="298">
        <v>32741.01</v>
      </c>
      <c r="K6" s="298"/>
      <c r="L6" s="299">
        <v>0.2</v>
      </c>
      <c r="M6" s="301">
        <f t="shared" ref="M6:O69" si="8">IFERROR(L6/$G6," ")</f>
        <v>0.2</v>
      </c>
      <c r="N6" s="299">
        <v>0.6</v>
      </c>
      <c r="O6" s="301">
        <f t="shared" si="8"/>
        <v>0.6</v>
      </c>
      <c r="P6" s="299">
        <v>0.8</v>
      </c>
      <c r="Q6" s="301">
        <f t="shared" ref="Q6" si="9">IFERROR(P6/$G6," ")</f>
        <v>0.8</v>
      </c>
      <c r="R6" s="299">
        <v>0.9</v>
      </c>
      <c r="S6" s="301">
        <f t="shared" ref="S6" si="10">IFERROR(R6/$G6," ")</f>
        <v>0.9</v>
      </c>
      <c r="T6" s="299">
        <v>0.95</v>
      </c>
      <c r="U6" s="301">
        <f t="shared" ref="U6" si="11">IFERROR(T6/$G6," ")</f>
        <v>0.95</v>
      </c>
      <c r="V6" s="299">
        <v>1</v>
      </c>
      <c r="W6" s="301">
        <f t="shared" ref="W6" si="12">IFERROR(V6/$G6," ")</f>
        <v>1</v>
      </c>
      <c r="X6" s="299">
        <v>1</v>
      </c>
      <c r="Y6" s="301">
        <f t="shared" ref="Y6" si="13">IFERROR(X6/$G6," ")</f>
        <v>1</v>
      </c>
      <c r="Z6" s="299">
        <v>1</v>
      </c>
      <c r="AA6" s="301">
        <f t="shared" ref="AA6" si="14">IFERROR(Z6/$G6," ")</f>
        <v>1</v>
      </c>
      <c r="AB6" s="292"/>
      <c r="AC6" s="279">
        <f t="shared" si="0"/>
        <v>6548.2020000000002</v>
      </c>
      <c r="AD6" s="279">
        <f t="shared" si="1"/>
        <v>19644.606</v>
      </c>
      <c r="AE6" s="279">
        <f t="shared" si="2"/>
        <v>26192.808000000001</v>
      </c>
      <c r="AF6" s="279">
        <f t="shared" si="3"/>
        <v>29466.909</v>
      </c>
      <c r="AG6" s="279">
        <f t="shared" si="4"/>
        <v>31103.959499999997</v>
      </c>
      <c r="AH6" s="279">
        <f t="shared" si="5"/>
        <v>32741.01</v>
      </c>
      <c r="AI6" s="279">
        <f t="shared" si="6"/>
        <v>32741.01</v>
      </c>
      <c r="AJ6" s="279">
        <f t="shared" si="7"/>
        <v>32741.01</v>
      </c>
    </row>
    <row r="7" spans="1:36" ht="15" x14ac:dyDescent="0.25">
      <c r="A7" s="203">
        <v>6</v>
      </c>
      <c r="B7" s="292">
        <v>1.3</v>
      </c>
      <c r="C7" s="276" t="s">
        <v>28</v>
      </c>
      <c r="D7" s="292" t="s">
        <v>14</v>
      </c>
      <c r="E7" s="321">
        <f>IFERROR(VLOOKUP(A7,Estimate!A:Q,17,FALSE)," ")</f>
        <v>16650</v>
      </c>
      <c r="F7" s="299">
        <v>1</v>
      </c>
      <c r="G7" s="299">
        <v>1</v>
      </c>
      <c r="H7" s="298">
        <v>21216.21</v>
      </c>
      <c r="I7" s="298">
        <v>21216.21</v>
      </c>
      <c r="J7" s="298">
        <v>21216.21</v>
      </c>
      <c r="K7" s="298"/>
      <c r="L7" s="299">
        <v>0.15</v>
      </c>
      <c r="M7" s="301">
        <f t="shared" si="8"/>
        <v>0.15</v>
      </c>
      <c r="N7" s="299">
        <v>0.3</v>
      </c>
      <c r="O7" s="301">
        <f t="shared" si="8"/>
        <v>0.3</v>
      </c>
      <c r="P7" s="299">
        <v>0.6</v>
      </c>
      <c r="Q7" s="301">
        <f t="shared" ref="Q7" si="15">IFERROR(P7/$G7," ")</f>
        <v>0.6</v>
      </c>
      <c r="R7" s="299">
        <v>0.8</v>
      </c>
      <c r="S7" s="301">
        <f t="shared" ref="S7" si="16">IFERROR(R7/$G7," ")</f>
        <v>0.8</v>
      </c>
      <c r="T7" s="299">
        <v>1</v>
      </c>
      <c r="U7" s="301">
        <f t="shared" ref="U7" si="17">IFERROR(T7/$G7," ")</f>
        <v>1</v>
      </c>
      <c r="V7" s="299">
        <v>1</v>
      </c>
      <c r="W7" s="301">
        <f t="shared" ref="W7" si="18">IFERROR(V7/$G7," ")</f>
        <v>1</v>
      </c>
      <c r="X7" s="299">
        <v>1</v>
      </c>
      <c r="Y7" s="301">
        <f t="shared" ref="Y7" si="19">IFERROR(X7/$G7," ")</f>
        <v>1</v>
      </c>
      <c r="Z7" s="299">
        <v>1</v>
      </c>
      <c r="AA7" s="301">
        <f t="shared" ref="AA7" si="20">IFERROR(Z7/$G7," ")</f>
        <v>1</v>
      </c>
      <c r="AB7" s="292"/>
      <c r="AC7" s="279">
        <f t="shared" si="0"/>
        <v>3182.4314999999997</v>
      </c>
      <c r="AD7" s="279">
        <f t="shared" si="1"/>
        <v>6364.8629999999994</v>
      </c>
      <c r="AE7" s="279">
        <f t="shared" si="2"/>
        <v>12729.725999999999</v>
      </c>
      <c r="AF7" s="279">
        <f t="shared" si="3"/>
        <v>16972.968000000001</v>
      </c>
      <c r="AG7" s="279">
        <f t="shared" si="4"/>
        <v>21216.21</v>
      </c>
      <c r="AH7" s="279">
        <f t="shared" si="5"/>
        <v>21216.21</v>
      </c>
      <c r="AI7" s="279">
        <f t="shared" si="6"/>
        <v>21216.21</v>
      </c>
      <c r="AJ7" s="279">
        <f t="shared" si="7"/>
        <v>21216.21</v>
      </c>
    </row>
    <row r="8" spans="1:36" ht="30" x14ac:dyDescent="0.25">
      <c r="A8" s="203">
        <v>7</v>
      </c>
      <c r="B8" s="292">
        <v>1.4</v>
      </c>
      <c r="C8" s="276" t="s">
        <v>31</v>
      </c>
      <c r="D8" s="292" t="s">
        <v>14</v>
      </c>
      <c r="E8" s="321">
        <f>IFERROR(VLOOKUP(A8,Estimate!A:Q,17,FALSE)," ")</f>
        <v>7030</v>
      </c>
      <c r="F8" s="299">
        <v>1</v>
      </c>
      <c r="G8" s="299">
        <v>1</v>
      </c>
      <c r="H8" s="298">
        <v>8957.9599999999991</v>
      </c>
      <c r="I8" s="298">
        <v>8957.9599999999991</v>
      </c>
      <c r="J8" s="298">
        <v>8957.9599999999991</v>
      </c>
      <c r="K8" s="298"/>
      <c r="L8" s="299"/>
      <c r="M8" s="301">
        <f t="shared" si="8"/>
        <v>0</v>
      </c>
      <c r="N8" s="299"/>
      <c r="O8" s="301">
        <f t="shared" si="8"/>
        <v>0</v>
      </c>
      <c r="P8" s="299"/>
      <c r="Q8" s="301">
        <f t="shared" ref="Q8" si="21">IFERROR(P8/$G8," ")</f>
        <v>0</v>
      </c>
      <c r="R8" s="299"/>
      <c r="S8" s="301">
        <f t="shared" ref="S8" si="22">IFERROR(R8/$G8," ")</f>
        <v>0</v>
      </c>
      <c r="T8" s="299"/>
      <c r="U8" s="301">
        <f t="shared" ref="U8" si="23">IFERROR(T8/$G8," ")</f>
        <v>0</v>
      </c>
      <c r="V8" s="299"/>
      <c r="W8" s="301">
        <f t="shared" ref="W8" si="24">IFERROR(V8/$G8," ")</f>
        <v>0</v>
      </c>
      <c r="X8" s="299">
        <v>1</v>
      </c>
      <c r="Y8" s="301">
        <f t="shared" ref="Y8" si="25">IFERROR(X8/$G8," ")</f>
        <v>1</v>
      </c>
      <c r="Z8" s="299">
        <v>1</v>
      </c>
      <c r="AA8" s="301">
        <f t="shared" ref="AA8" si="26">IFERROR(Z8/$G8," ")</f>
        <v>1</v>
      </c>
      <c r="AB8" s="292"/>
      <c r="AC8" s="279">
        <f t="shared" si="0"/>
        <v>0</v>
      </c>
      <c r="AD8" s="279">
        <f t="shared" si="1"/>
        <v>0</v>
      </c>
      <c r="AE8" s="279">
        <f t="shared" si="2"/>
        <v>0</v>
      </c>
      <c r="AF8" s="279">
        <f t="shared" si="3"/>
        <v>0</v>
      </c>
      <c r="AG8" s="279">
        <f t="shared" si="4"/>
        <v>0</v>
      </c>
      <c r="AH8" s="279">
        <f t="shared" si="5"/>
        <v>0</v>
      </c>
      <c r="AI8" s="279">
        <f t="shared" si="6"/>
        <v>8957.9599999999991</v>
      </c>
      <c r="AJ8" s="279">
        <f t="shared" si="7"/>
        <v>8957.9599999999991</v>
      </c>
    </row>
    <row r="9" spans="1:36" ht="30" x14ac:dyDescent="0.25">
      <c r="A9" s="203">
        <v>8</v>
      </c>
      <c r="B9" s="292">
        <v>1.5</v>
      </c>
      <c r="C9" s="276" t="s">
        <v>33</v>
      </c>
      <c r="D9" s="292" t="s">
        <v>14</v>
      </c>
      <c r="E9" s="321">
        <f>IFERROR(VLOOKUP(A9,Estimate!A:Q,17,FALSE)," ")</f>
        <v>3250</v>
      </c>
      <c r="F9" s="299">
        <v>1</v>
      </c>
      <c r="G9" s="299">
        <v>1</v>
      </c>
      <c r="H9" s="298">
        <v>4141.3</v>
      </c>
      <c r="I9" s="298">
        <v>4141.3</v>
      </c>
      <c r="J9" s="298">
        <v>4141.3</v>
      </c>
      <c r="K9" s="298"/>
      <c r="L9" s="299">
        <v>1</v>
      </c>
      <c r="M9" s="301">
        <f t="shared" si="8"/>
        <v>1</v>
      </c>
      <c r="N9" s="299">
        <v>1</v>
      </c>
      <c r="O9" s="301">
        <f t="shared" si="8"/>
        <v>1</v>
      </c>
      <c r="P9" s="299">
        <v>1</v>
      </c>
      <c r="Q9" s="301">
        <f t="shared" ref="Q9" si="27">IFERROR(P9/$G9," ")</f>
        <v>1</v>
      </c>
      <c r="R9" s="299">
        <v>1</v>
      </c>
      <c r="S9" s="301">
        <f t="shared" ref="S9" si="28">IFERROR(R9/$G9," ")</f>
        <v>1</v>
      </c>
      <c r="T9" s="299">
        <v>1</v>
      </c>
      <c r="U9" s="301">
        <f t="shared" ref="U9" si="29">IFERROR(T9/$G9," ")</f>
        <v>1</v>
      </c>
      <c r="V9" s="299">
        <v>1</v>
      </c>
      <c r="W9" s="301">
        <f t="shared" ref="W9" si="30">IFERROR(V9/$G9," ")</f>
        <v>1</v>
      </c>
      <c r="X9" s="299">
        <v>1</v>
      </c>
      <c r="Y9" s="301">
        <f t="shared" ref="Y9" si="31">IFERROR(X9/$G9," ")</f>
        <v>1</v>
      </c>
      <c r="Z9" s="299">
        <v>1</v>
      </c>
      <c r="AA9" s="301">
        <f t="shared" ref="AA9" si="32">IFERROR(Z9/$G9," ")</f>
        <v>1</v>
      </c>
      <c r="AB9" s="292"/>
      <c r="AC9" s="279">
        <f t="shared" si="0"/>
        <v>4141.3</v>
      </c>
      <c r="AD9" s="279">
        <f t="shared" si="1"/>
        <v>4141.3</v>
      </c>
      <c r="AE9" s="279">
        <f t="shared" si="2"/>
        <v>4141.3</v>
      </c>
      <c r="AF9" s="279">
        <f t="shared" si="3"/>
        <v>4141.3</v>
      </c>
      <c r="AG9" s="279">
        <f t="shared" si="4"/>
        <v>4141.3</v>
      </c>
      <c r="AH9" s="279">
        <f t="shared" si="5"/>
        <v>4141.3</v>
      </c>
      <c r="AI9" s="279">
        <f t="shared" si="6"/>
        <v>4141.3</v>
      </c>
      <c r="AJ9" s="279">
        <f t="shared" si="7"/>
        <v>4141.3</v>
      </c>
    </row>
    <row r="10" spans="1:36" ht="15" x14ac:dyDescent="0.25">
      <c r="A10" s="203">
        <v>9</v>
      </c>
      <c r="B10" s="292">
        <v>1.6</v>
      </c>
      <c r="C10" s="276" t="s">
        <v>35</v>
      </c>
      <c r="D10" s="292" t="s">
        <v>14</v>
      </c>
      <c r="E10" s="321">
        <f>IFERROR(VLOOKUP(A10,Estimate!A:Q,17,FALSE)," ")</f>
        <v>14950</v>
      </c>
      <c r="F10" s="299">
        <v>1</v>
      </c>
      <c r="G10" s="299">
        <v>1</v>
      </c>
      <c r="H10" s="298">
        <v>19050</v>
      </c>
      <c r="I10" s="298">
        <v>19050</v>
      </c>
      <c r="J10" s="298">
        <v>19050</v>
      </c>
      <c r="K10" s="298"/>
      <c r="L10" s="299">
        <v>0.05</v>
      </c>
      <c r="M10" s="301">
        <f t="shared" si="8"/>
        <v>0.05</v>
      </c>
      <c r="N10" s="299">
        <v>0.15</v>
      </c>
      <c r="O10" s="301">
        <f t="shared" si="8"/>
        <v>0.15</v>
      </c>
      <c r="P10" s="299">
        <v>0.5</v>
      </c>
      <c r="Q10" s="301">
        <f t="shared" ref="Q10" si="33">IFERROR(P10/$G10," ")</f>
        <v>0.5</v>
      </c>
      <c r="R10" s="299">
        <v>0.75</v>
      </c>
      <c r="S10" s="301">
        <f t="shared" ref="S10" si="34">IFERROR(R10/$G10," ")</f>
        <v>0.75</v>
      </c>
      <c r="T10" s="299">
        <v>1</v>
      </c>
      <c r="U10" s="301">
        <f t="shared" ref="U10" si="35">IFERROR(T10/$G10," ")</f>
        <v>1</v>
      </c>
      <c r="V10" s="299">
        <v>1</v>
      </c>
      <c r="W10" s="301">
        <f t="shared" ref="W10" si="36">IFERROR(V10/$G10," ")</f>
        <v>1</v>
      </c>
      <c r="X10" s="299">
        <v>1</v>
      </c>
      <c r="Y10" s="301">
        <f t="shared" ref="Y10" si="37">IFERROR(X10/$G10," ")</f>
        <v>1</v>
      </c>
      <c r="Z10" s="299">
        <v>1</v>
      </c>
      <c r="AA10" s="301">
        <f t="shared" ref="AA10" si="38">IFERROR(Z10/$G10," ")</f>
        <v>1</v>
      </c>
      <c r="AB10" s="292"/>
      <c r="AC10" s="279">
        <f t="shared" si="0"/>
        <v>952.5</v>
      </c>
      <c r="AD10" s="279">
        <f t="shared" si="1"/>
        <v>2857.5</v>
      </c>
      <c r="AE10" s="279">
        <f t="shared" si="2"/>
        <v>9525</v>
      </c>
      <c r="AF10" s="279">
        <f t="shared" si="3"/>
        <v>14287.5</v>
      </c>
      <c r="AG10" s="279">
        <f t="shared" si="4"/>
        <v>19050</v>
      </c>
      <c r="AH10" s="279">
        <f t="shared" si="5"/>
        <v>19050</v>
      </c>
      <c r="AI10" s="279">
        <f t="shared" si="6"/>
        <v>19050</v>
      </c>
      <c r="AJ10" s="279">
        <f t="shared" si="7"/>
        <v>19050</v>
      </c>
    </row>
    <row r="11" spans="1:36" ht="15" x14ac:dyDescent="0.25">
      <c r="A11" s="203">
        <v>10</v>
      </c>
      <c r="B11" s="292">
        <v>1.7</v>
      </c>
      <c r="C11" s="276" t="s">
        <v>38</v>
      </c>
      <c r="D11" s="292" t="s">
        <v>14</v>
      </c>
      <c r="E11" s="321">
        <f>IFERROR(VLOOKUP(A11,Estimate!A:Q,17,FALSE)," ")</f>
        <v>10220</v>
      </c>
      <c r="F11" s="299">
        <v>1</v>
      </c>
      <c r="G11" s="299">
        <v>1</v>
      </c>
      <c r="H11" s="298">
        <v>13022.81</v>
      </c>
      <c r="I11" s="298">
        <v>13022.81</v>
      </c>
      <c r="J11" s="298">
        <v>13022.81</v>
      </c>
      <c r="K11" s="298"/>
      <c r="L11" s="299">
        <v>1</v>
      </c>
      <c r="M11" s="301">
        <f t="shared" si="8"/>
        <v>1</v>
      </c>
      <c r="N11" s="299">
        <v>1</v>
      </c>
      <c r="O11" s="301">
        <f t="shared" si="8"/>
        <v>1</v>
      </c>
      <c r="P11" s="299">
        <v>1</v>
      </c>
      <c r="Q11" s="301">
        <f t="shared" ref="Q11" si="39">IFERROR(P11/$G11," ")</f>
        <v>1</v>
      </c>
      <c r="R11" s="299">
        <v>1</v>
      </c>
      <c r="S11" s="301">
        <f t="shared" ref="S11" si="40">IFERROR(R11/$G11," ")</f>
        <v>1</v>
      </c>
      <c r="T11" s="299">
        <v>1</v>
      </c>
      <c r="U11" s="301">
        <f t="shared" ref="U11" si="41">IFERROR(T11/$G11," ")</f>
        <v>1</v>
      </c>
      <c r="V11" s="299">
        <v>1</v>
      </c>
      <c r="W11" s="301">
        <f t="shared" ref="W11" si="42">IFERROR(V11/$G11," ")</f>
        <v>1</v>
      </c>
      <c r="X11" s="299">
        <v>1</v>
      </c>
      <c r="Y11" s="301">
        <f t="shared" ref="Y11" si="43">IFERROR(X11/$G11," ")</f>
        <v>1</v>
      </c>
      <c r="Z11" s="299">
        <v>1</v>
      </c>
      <c r="AA11" s="301">
        <f t="shared" ref="AA11" si="44">IFERROR(Z11/$G11," ")</f>
        <v>1</v>
      </c>
      <c r="AB11" s="292"/>
      <c r="AC11" s="279">
        <f t="shared" si="0"/>
        <v>13022.81</v>
      </c>
      <c r="AD11" s="279">
        <f t="shared" si="1"/>
        <v>13022.81</v>
      </c>
      <c r="AE11" s="279">
        <f t="shared" si="2"/>
        <v>13022.81</v>
      </c>
      <c r="AF11" s="279">
        <f t="shared" si="3"/>
        <v>13022.81</v>
      </c>
      <c r="AG11" s="279">
        <f t="shared" si="4"/>
        <v>13022.81</v>
      </c>
      <c r="AH11" s="279">
        <f t="shared" si="5"/>
        <v>13022.81</v>
      </c>
      <c r="AI11" s="279">
        <f t="shared" si="6"/>
        <v>13022.81</v>
      </c>
      <c r="AJ11" s="279">
        <f t="shared" si="7"/>
        <v>13022.81</v>
      </c>
    </row>
    <row r="12" spans="1:36" ht="30" x14ac:dyDescent="0.25">
      <c r="A12" s="203">
        <v>11</v>
      </c>
      <c r="B12" s="292">
        <v>1.8</v>
      </c>
      <c r="C12" s="276" t="s">
        <v>40</v>
      </c>
      <c r="D12" s="292" t="s">
        <v>14</v>
      </c>
      <c r="E12" s="321">
        <f>IFERROR(VLOOKUP(A12,Estimate!A:Q,17,FALSE)," ")</f>
        <v>3250</v>
      </c>
      <c r="F12" s="299">
        <v>1</v>
      </c>
      <c r="G12" s="299">
        <v>1</v>
      </c>
      <c r="H12" s="298">
        <v>4141.3</v>
      </c>
      <c r="I12" s="298">
        <v>4141.3</v>
      </c>
      <c r="J12" s="298">
        <v>4141.3</v>
      </c>
      <c r="K12" s="298"/>
      <c r="L12" s="299">
        <v>0.15</v>
      </c>
      <c r="M12" s="301">
        <f t="shared" si="8"/>
        <v>0.15</v>
      </c>
      <c r="N12" s="299">
        <v>0.3</v>
      </c>
      <c r="O12" s="301">
        <f t="shared" si="8"/>
        <v>0.3</v>
      </c>
      <c r="P12" s="299">
        <v>0.6</v>
      </c>
      <c r="Q12" s="301">
        <f t="shared" ref="Q12" si="45">IFERROR(P12/$G12," ")</f>
        <v>0.6</v>
      </c>
      <c r="R12" s="299">
        <v>0.8</v>
      </c>
      <c r="S12" s="301">
        <f t="shared" ref="S12" si="46">IFERROR(R12/$G12," ")</f>
        <v>0.8</v>
      </c>
      <c r="T12" s="299">
        <v>0.95</v>
      </c>
      <c r="U12" s="301">
        <f t="shared" ref="U12" si="47">IFERROR(T12/$G12," ")</f>
        <v>0.95</v>
      </c>
      <c r="V12" s="299">
        <v>1</v>
      </c>
      <c r="W12" s="301">
        <f t="shared" ref="W12" si="48">IFERROR(V12/$G12," ")</f>
        <v>1</v>
      </c>
      <c r="X12" s="299">
        <v>1</v>
      </c>
      <c r="Y12" s="301">
        <f t="shared" ref="Y12" si="49">IFERROR(X12/$G12," ")</f>
        <v>1</v>
      </c>
      <c r="Z12" s="299">
        <v>1</v>
      </c>
      <c r="AA12" s="301">
        <f t="shared" ref="AA12" si="50">IFERROR(Z12/$G12," ")</f>
        <v>1</v>
      </c>
      <c r="AB12" s="292"/>
      <c r="AC12" s="279">
        <f t="shared" si="0"/>
        <v>621.19500000000005</v>
      </c>
      <c r="AD12" s="279">
        <f t="shared" si="1"/>
        <v>1242.3900000000001</v>
      </c>
      <c r="AE12" s="279">
        <f t="shared" si="2"/>
        <v>2484.7800000000002</v>
      </c>
      <c r="AF12" s="279">
        <f t="shared" si="3"/>
        <v>3313.0400000000004</v>
      </c>
      <c r="AG12" s="279">
        <f t="shared" si="4"/>
        <v>3934.2350000000001</v>
      </c>
      <c r="AH12" s="279">
        <f t="shared" si="5"/>
        <v>4141.3</v>
      </c>
      <c r="AI12" s="279">
        <f t="shared" si="6"/>
        <v>4141.3</v>
      </c>
      <c r="AJ12" s="279">
        <f t="shared" si="7"/>
        <v>4141.3</v>
      </c>
    </row>
    <row r="13" spans="1:36" ht="15" x14ac:dyDescent="0.25">
      <c r="A13" s="203">
        <v>12</v>
      </c>
      <c r="B13" s="292">
        <v>1.9</v>
      </c>
      <c r="C13" s="276" t="s">
        <v>42</v>
      </c>
      <c r="D13" s="292" t="s">
        <v>14</v>
      </c>
      <c r="E13" s="321">
        <f>IFERROR(VLOOKUP(A13,Estimate!A:Q,17,FALSE)," ")</f>
        <v>12700.800000000001</v>
      </c>
      <c r="F13" s="299">
        <v>1</v>
      </c>
      <c r="G13" s="299">
        <v>1</v>
      </c>
      <c r="H13" s="298">
        <v>16183.96</v>
      </c>
      <c r="I13" s="298">
        <v>16183.96</v>
      </c>
      <c r="J13" s="298">
        <v>16183.96</v>
      </c>
      <c r="K13" s="298"/>
      <c r="L13" s="299">
        <v>0.2</v>
      </c>
      <c r="M13" s="301">
        <f t="shared" si="8"/>
        <v>0.2</v>
      </c>
      <c r="N13" s="299">
        <v>0.4</v>
      </c>
      <c r="O13" s="301">
        <f t="shared" si="8"/>
        <v>0.4</v>
      </c>
      <c r="P13" s="299">
        <v>0.7</v>
      </c>
      <c r="Q13" s="301">
        <f t="shared" ref="Q13" si="51">IFERROR(P13/$G13," ")</f>
        <v>0.7</v>
      </c>
      <c r="R13" s="299">
        <v>0.85</v>
      </c>
      <c r="S13" s="301">
        <f t="shared" ref="S13" si="52">IFERROR(R13/$G13," ")</f>
        <v>0.85</v>
      </c>
      <c r="T13" s="299">
        <v>0.95</v>
      </c>
      <c r="U13" s="301">
        <f t="shared" ref="U13" si="53">IFERROR(T13/$G13," ")</f>
        <v>0.95</v>
      </c>
      <c r="V13" s="299">
        <v>1</v>
      </c>
      <c r="W13" s="301">
        <f t="shared" ref="W13" si="54">IFERROR(V13/$G13," ")</f>
        <v>1</v>
      </c>
      <c r="X13" s="299">
        <v>1</v>
      </c>
      <c r="Y13" s="301">
        <f t="shared" ref="Y13" si="55">IFERROR(X13/$G13," ")</f>
        <v>1</v>
      </c>
      <c r="Z13" s="299">
        <v>1</v>
      </c>
      <c r="AA13" s="301">
        <f t="shared" ref="AA13" si="56">IFERROR(Z13/$G13," ")</f>
        <v>1</v>
      </c>
      <c r="AB13" s="292"/>
      <c r="AC13" s="279">
        <f t="shared" si="0"/>
        <v>3236.7919999999999</v>
      </c>
      <c r="AD13" s="279">
        <f t="shared" si="1"/>
        <v>6473.5839999999998</v>
      </c>
      <c r="AE13" s="279">
        <f t="shared" si="2"/>
        <v>11328.771999999999</v>
      </c>
      <c r="AF13" s="279">
        <f t="shared" si="3"/>
        <v>13756.365999999998</v>
      </c>
      <c r="AG13" s="279">
        <f t="shared" si="4"/>
        <v>15374.761999999999</v>
      </c>
      <c r="AH13" s="279">
        <f t="shared" si="5"/>
        <v>16183.96</v>
      </c>
      <c r="AI13" s="279">
        <f t="shared" si="6"/>
        <v>16183.96</v>
      </c>
      <c r="AJ13" s="279">
        <f t="shared" si="7"/>
        <v>16183.96</v>
      </c>
    </row>
    <row r="14" spans="1:36" ht="15" x14ac:dyDescent="0.25">
      <c r="A14" s="203"/>
      <c r="B14" s="292">
        <v>1.1000000000000001</v>
      </c>
      <c r="C14" s="276" t="s">
        <v>1070</v>
      </c>
      <c r="D14" s="292" t="s">
        <v>14</v>
      </c>
      <c r="E14" s="321" t="str">
        <f>IFERROR(VLOOKUP(A14,Estimate!A:Q,17,FALSE)," ")</f>
        <v xml:space="preserve"> </v>
      </c>
      <c r="F14" s="299">
        <v>1</v>
      </c>
      <c r="G14" s="299">
        <v>1</v>
      </c>
      <c r="H14" s="298">
        <v>99682.79</v>
      </c>
      <c r="I14" s="298">
        <v>99682.79</v>
      </c>
      <c r="J14" s="298">
        <v>99682.79</v>
      </c>
      <c r="K14" s="298"/>
      <c r="L14" s="299"/>
      <c r="M14" s="301">
        <f t="shared" si="8"/>
        <v>0</v>
      </c>
      <c r="N14" s="299">
        <v>1</v>
      </c>
      <c r="O14" s="301">
        <f t="shared" si="8"/>
        <v>1</v>
      </c>
      <c r="P14" s="299">
        <v>1</v>
      </c>
      <c r="Q14" s="301">
        <f t="shared" ref="Q14" si="57">IFERROR(P14/$G14," ")</f>
        <v>1</v>
      </c>
      <c r="R14" s="299">
        <v>1</v>
      </c>
      <c r="S14" s="301">
        <f t="shared" ref="S14" si="58">IFERROR(R14/$G14," ")</f>
        <v>1</v>
      </c>
      <c r="T14" s="299">
        <v>1</v>
      </c>
      <c r="U14" s="301">
        <f t="shared" ref="U14" si="59">IFERROR(T14/$G14," ")</f>
        <v>1</v>
      </c>
      <c r="V14" s="299">
        <v>1</v>
      </c>
      <c r="W14" s="301">
        <f t="shared" ref="W14" si="60">IFERROR(V14/$G14," ")</f>
        <v>1</v>
      </c>
      <c r="X14" s="299">
        <v>1</v>
      </c>
      <c r="Y14" s="301">
        <f t="shared" ref="Y14" si="61">IFERROR(X14/$G14," ")</f>
        <v>1</v>
      </c>
      <c r="Z14" s="299">
        <v>1</v>
      </c>
      <c r="AA14" s="301">
        <f t="shared" ref="AA14" si="62">IFERROR(Z14/$G14," ")</f>
        <v>1</v>
      </c>
      <c r="AB14" s="292"/>
      <c r="AC14" s="279">
        <f t="shared" si="0"/>
        <v>0</v>
      </c>
      <c r="AD14" s="279">
        <f t="shared" si="1"/>
        <v>99682.79</v>
      </c>
      <c r="AE14" s="279">
        <f t="shared" si="2"/>
        <v>99682.79</v>
      </c>
      <c r="AF14" s="279">
        <f t="shared" si="3"/>
        <v>99682.79</v>
      </c>
      <c r="AG14" s="279">
        <f t="shared" si="4"/>
        <v>99682.79</v>
      </c>
      <c r="AH14" s="279">
        <f t="shared" si="5"/>
        <v>99682.79</v>
      </c>
      <c r="AI14" s="279">
        <f t="shared" si="6"/>
        <v>99682.79</v>
      </c>
      <c r="AJ14" s="279">
        <f t="shared" si="7"/>
        <v>99682.79</v>
      </c>
    </row>
    <row r="15" spans="1:36" ht="15" x14ac:dyDescent="0.25">
      <c r="A15" s="203"/>
      <c r="B15" s="302" t="s">
        <v>1069</v>
      </c>
      <c r="C15" s="303" t="s">
        <v>1071</v>
      </c>
      <c r="D15" s="302" t="s">
        <v>451</v>
      </c>
      <c r="E15" s="326" t="str">
        <f>IFERROR(VLOOKUP(A15,Estimate!A:Q,17,FALSE)," ")</f>
        <v xml:space="preserve"> </v>
      </c>
      <c r="F15" s="305" t="s">
        <v>448</v>
      </c>
      <c r="G15" s="305" t="s">
        <v>448</v>
      </c>
      <c r="H15" s="304" t="s">
        <v>448</v>
      </c>
      <c r="I15" s="304">
        <v>265443.48</v>
      </c>
      <c r="J15" s="304" t="s">
        <v>448</v>
      </c>
      <c r="K15" s="304"/>
      <c r="L15" s="305" t="s">
        <v>448</v>
      </c>
      <c r="M15" s="301" t="str">
        <f t="shared" si="8"/>
        <v xml:space="preserve"> </v>
      </c>
      <c r="N15" s="305" t="s">
        <v>448</v>
      </c>
      <c r="O15" s="301" t="str">
        <f t="shared" si="8"/>
        <v xml:space="preserve"> </v>
      </c>
      <c r="P15" s="305" t="s">
        <v>448</v>
      </c>
      <c r="Q15" s="301" t="str">
        <f t="shared" ref="Q15" si="63">IFERROR(P15/$G15," ")</f>
        <v xml:space="preserve"> </v>
      </c>
      <c r="R15" s="305" t="s">
        <v>448</v>
      </c>
      <c r="S15" s="301" t="str">
        <f t="shared" ref="S15" si="64">IFERROR(R15/$G15," ")</f>
        <v xml:space="preserve"> </v>
      </c>
      <c r="T15" s="305" t="s">
        <v>448</v>
      </c>
      <c r="U15" s="301" t="str">
        <f t="shared" ref="U15" si="65">IFERROR(T15/$G15," ")</f>
        <v xml:space="preserve"> </v>
      </c>
      <c r="V15" s="305" t="s">
        <v>448</v>
      </c>
      <c r="W15" s="301" t="str">
        <f t="shared" ref="W15" si="66">IFERROR(V15/$G15," ")</f>
        <v xml:space="preserve"> </v>
      </c>
      <c r="X15" s="305" t="s">
        <v>448</v>
      </c>
      <c r="Y15" s="301" t="str">
        <f t="shared" ref="Y15" si="67">IFERROR(X15/$G15," ")</f>
        <v xml:space="preserve"> </v>
      </c>
      <c r="Z15" s="305" t="s">
        <v>448</v>
      </c>
      <c r="AA15" s="301" t="str">
        <f t="shared" ref="AA15" si="68">IFERROR(Z15/$G15," ")</f>
        <v xml:space="preserve"> </v>
      </c>
      <c r="AB15" s="292"/>
      <c r="AC15" s="279" t="str">
        <f t="shared" si="0"/>
        <v xml:space="preserve"> </v>
      </c>
      <c r="AD15" s="279" t="str">
        <f t="shared" si="1"/>
        <v xml:space="preserve"> </v>
      </c>
      <c r="AE15" s="279" t="str">
        <f t="shared" si="2"/>
        <v xml:space="preserve"> </v>
      </c>
      <c r="AF15" s="279" t="str">
        <f t="shared" si="3"/>
        <v xml:space="preserve"> </v>
      </c>
      <c r="AG15" s="279" t="str">
        <f t="shared" si="4"/>
        <v xml:space="preserve"> </v>
      </c>
      <c r="AH15" s="279" t="str">
        <f t="shared" si="5"/>
        <v xml:space="preserve"> </v>
      </c>
      <c r="AI15" s="279" t="str">
        <f t="shared" si="6"/>
        <v xml:space="preserve"> </v>
      </c>
      <c r="AJ15" s="279" t="str">
        <f t="shared" si="7"/>
        <v xml:space="preserve"> </v>
      </c>
    </row>
    <row r="16" spans="1:36" ht="15" x14ac:dyDescent="0.25">
      <c r="A16" s="203"/>
      <c r="B16" s="292" t="s">
        <v>1069</v>
      </c>
      <c r="C16" s="276" t="s">
        <v>448</v>
      </c>
      <c r="D16" s="292" t="s">
        <v>451</v>
      </c>
      <c r="E16" s="321" t="str">
        <f>IFERROR(VLOOKUP(A16,Estimate!A:Q,17,FALSE)," ")</f>
        <v xml:space="preserve"> </v>
      </c>
      <c r="F16" s="299" t="s">
        <v>448</v>
      </c>
      <c r="G16" s="299" t="s">
        <v>448</v>
      </c>
      <c r="H16" s="298" t="s">
        <v>448</v>
      </c>
      <c r="I16" s="298" t="s">
        <v>448</v>
      </c>
      <c r="J16" s="298" t="s">
        <v>448</v>
      </c>
      <c r="K16" s="298"/>
      <c r="L16" s="299" t="s">
        <v>448</v>
      </c>
      <c r="M16" s="301" t="str">
        <f t="shared" si="8"/>
        <v xml:space="preserve"> </v>
      </c>
      <c r="N16" s="299" t="s">
        <v>448</v>
      </c>
      <c r="O16" s="301" t="str">
        <f t="shared" si="8"/>
        <v xml:space="preserve"> </v>
      </c>
      <c r="P16" s="299" t="s">
        <v>448</v>
      </c>
      <c r="Q16" s="301" t="str">
        <f t="shared" ref="Q16" si="69">IFERROR(P16/$G16," ")</f>
        <v xml:space="preserve"> </v>
      </c>
      <c r="R16" s="299" t="s">
        <v>448</v>
      </c>
      <c r="S16" s="301" t="str">
        <f t="shared" ref="S16" si="70">IFERROR(R16/$G16," ")</f>
        <v xml:space="preserve"> </v>
      </c>
      <c r="T16" s="299" t="s">
        <v>448</v>
      </c>
      <c r="U16" s="301" t="str">
        <f t="shared" ref="U16" si="71">IFERROR(T16/$G16," ")</f>
        <v xml:space="preserve"> </v>
      </c>
      <c r="V16" s="299" t="s">
        <v>448</v>
      </c>
      <c r="W16" s="301" t="str">
        <f t="shared" ref="W16" si="72">IFERROR(V16/$G16," ")</f>
        <v xml:space="preserve"> </v>
      </c>
      <c r="X16" s="299" t="s">
        <v>448</v>
      </c>
      <c r="Y16" s="301" t="str">
        <f t="shared" ref="Y16" si="73">IFERROR(X16/$G16," ")</f>
        <v xml:space="preserve"> </v>
      </c>
      <c r="Z16" s="299" t="s">
        <v>448</v>
      </c>
      <c r="AA16" s="301" t="str">
        <f t="shared" ref="AA16" si="74">IFERROR(Z16/$G16," ")</f>
        <v xml:space="preserve"> </v>
      </c>
      <c r="AB16" s="292"/>
      <c r="AC16" s="279" t="str">
        <f t="shared" si="0"/>
        <v xml:space="preserve"> </v>
      </c>
      <c r="AD16" s="279" t="str">
        <f t="shared" si="1"/>
        <v xml:space="preserve"> </v>
      </c>
      <c r="AE16" s="279" t="str">
        <f t="shared" si="2"/>
        <v xml:space="preserve"> </v>
      </c>
      <c r="AF16" s="279" t="str">
        <f t="shared" si="3"/>
        <v xml:space="preserve"> </v>
      </c>
      <c r="AG16" s="279" t="str">
        <f t="shared" si="4"/>
        <v xml:space="preserve"> </v>
      </c>
      <c r="AH16" s="279" t="str">
        <f t="shared" si="5"/>
        <v xml:space="preserve"> </v>
      </c>
      <c r="AI16" s="279" t="str">
        <f t="shared" si="6"/>
        <v xml:space="preserve"> </v>
      </c>
      <c r="AJ16" s="279" t="str">
        <f t="shared" si="7"/>
        <v xml:space="preserve"> </v>
      </c>
    </row>
    <row r="17" spans="1:36" ht="15" x14ac:dyDescent="0.25">
      <c r="A17" s="203">
        <v>13</v>
      </c>
      <c r="B17" s="292">
        <v>2</v>
      </c>
      <c r="C17" s="276" t="s">
        <v>1072</v>
      </c>
      <c r="D17" s="292" t="s">
        <v>451</v>
      </c>
      <c r="E17" s="321"/>
      <c r="F17" s="299" t="s">
        <v>448</v>
      </c>
      <c r="G17" s="299" t="s">
        <v>448</v>
      </c>
      <c r="H17" s="298" t="s">
        <v>448</v>
      </c>
      <c r="I17" s="298" t="s">
        <v>448</v>
      </c>
      <c r="J17" s="298" t="s">
        <v>448</v>
      </c>
      <c r="K17" s="298"/>
      <c r="L17" s="299" t="s">
        <v>448</v>
      </c>
      <c r="M17" s="301" t="str">
        <f t="shared" si="8"/>
        <v xml:space="preserve"> </v>
      </c>
      <c r="N17" s="299" t="s">
        <v>448</v>
      </c>
      <c r="O17" s="301" t="str">
        <f t="shared" si="8"/>
        <v xml:space="preserve"> </v>
      </c>
      <c r="P17" s="299" t="s">
        <v>448</v>
      </c>
      <c r="Q17" s="301" t="str">
        <f t="shared" ref="Q17" si="75">IFERROR(P17/$G17," ")</f>
        <v xml:space="preserve"> </v>
      </c>
      <c r="R17" s="299" t="s">
        <v>448</v>
      </c>
      <c r="S17" s="301" t="str">
        <f t="shared" ref="S17" si="76">IFERROR(R17/$G17," ")</f>
        <v xml:space="preserve"> </v>
      </c>
      <c r="T17" s="299" t="s">
        <v>448</v>
      </c>
      <c r="U17" s="301" t="str">
        <f t="shared" ref="U17" si="77">IFERROR(T17/$G17," ")</f>
        <v xml:space="preserve"> </v>
      </c>
      <c r="V17" s="299" t="s">
        <v>448</v>
      </c>
      <c r="W17" s="301" t="str">
        <f t="shared" ref="W17" si="78">IFERROR(V17/$G17," ")</f>
        <v xml:space="preserve"> </v>
      </c>
      <c r="X17" s="299" t="s">
        <v>448</v>
      </c>
      <c r="Y17" s="301" t="str">
        <f t="shared" ref="Y17" si="79">IFERROR(X17/$G17," ")</f>
        <v xml:space="preserve"> </v>
      </c>
      <c r="Z17" s="299" t="s">
        <v>448</v>
      </c>
      <c r="AA17" s="301" t="str">
        <f t="shared" ref="AA17" si="80">IFERROR(Z17/$G17," ")</f>
        <v xml:space="preserve"> </v>
      </c>
      <c r="AB17" s="292"/>
      <c r="AC17" s="279" t="str">
        <f t="shared" si="0"/>
        <v xml:space="preserve"> </v>
      </c>
      <c r="AD17" s="279" t="str">
        <f t="shared" si="1"/>
        <v xml:space="preserve"> </v>
      </c>
      <c r="AE17" s="279" t="str">
        <f t="shared" si="2"/>
        <v xml:space="preserve"> </v>
      </c>
      <c r="AF17" s="279" t="str">
        <f t="shared" si="3"/>
        <v xml:space="preserve"> </v>
      </c>
      <c r="AG17" s="279" t="str">
        <f t="shared" si="4"/>
        <v xml:space="preserve"> </v>
      </c>
      <c r="AH17" s="279" t="str">
        <f t="shared" si="5"/>
        <v xml:space="preserve"> </v>
      </c>
      <c r="AI17" s="279" t="str">
        <f t="shared" si="6"/>
        <v xml:space="preserve"> </v>
      </c>
      <c r="AJ17" s="279" t="str">
        <f t="shared" si="7"/>
        <v xml:space="preserve"> </v>
      </c>
    </row>
    <row r="18" spans="1:36" ht="60" x14ac:dyDescent="0.25">
      <c r="A18" s="203">
        <v>14</v>
      </c>
      <c r="B18" s="292">
        <v>2.1</v>
      </c>
      <c r="C18" s="276" t="s">
        <v>45</v>
      </c>
      <c r="D18" s="292" t="s">
        <v>14</v>
      </c>
      <c r="E18" s="321">
        <f>IFERROR(VLOOKUP(A18,Estimate!A:Q,17,FALSE)," ")</f>
        <v>9126.0307803078031</v>
      </c>
      <c r="F18" s="299">
        <v>1</v>
      </c>
      <c r="G18" s="299">
        <v>1</v>
      </c>
      <c r="H18" s="298">
        <v>11628.78</v>
      </c>
      <c r="I18" s="298">
        <v>11628.78</v>
      </c>
      <c r="J18" s="298">
        <v>11628.78</v>
      </c>
      <c r="K18" s="298"/>
      <c r="L18" s="299">
        <v>0.2</v>
      </c>
      <c r="M18" s="301">
        <f t="shared" si="8"/>
        <v>0.2</v>
      </c>
      <c r="N18" s="299">
        <v>0.4</v>
      </c>
      <c r="O18" s="301">
        <f t="shared" si="8"/>
        <v>0.4</v>
      </c>
      <c r="P18" s="299">
        <v>0.7</v>
      </c>
      <c r="Q18" s="301">
        <f t="shared" ref="Q18" si="81">IFERROR(P18/$G18," ")</f>
        <v>0.7</v>
      </c>
      <c r="R18" s="299">
        <v>0.85</v>
      </c>
      <c r="S18" s="301">
        <f t="shared" ref="S18" si="82">IFERROR(R18/$G18," ")</f>
        <v>0.85</v>
      </c>
      <c r="T18" s="299">
        <v>1</v>
      </c>
      <c r="U18" s="301">
        <f t="shared" ref="U18" si="83">IFERROR(T18/$G18," ")</f>
        <v>1</v>
      </c>
      <c r="V18" s="299">
        <v>1</v>
      </c>
      <c r="W18" s="301">
        <f t="shared" ref="W18" si="84">IFERROR(V18/$G18," ")</f>
        <v>1</v>
      </c>
      <c r="X18" s="299">
        <v>1</v>
      </c>
      <c r="Y18" s="301">
        <f t="shared" ref="Y18" si="85">IFERROR(X18/$G18," ")</f>
        <v>1</v>
      </c>
      <c r="Z18" s="299">
        <v>1</v>
      </c>
      <c r="AA18" s="301">
        <f t="shared" ref="AA18" si="86">IFERROR(Z18/$G18," ")</f>
        <v>1</v>
      </c>
      <c r="AB18" s="292"/>
      <c r="AC18" s="279">
        <f t="shared" si="0"/>
        <v>2325.7560000000003</v>
      </c>
      <c r="AD18" s="279">
        <f t="shared" si="1"/>
        <v>4651.5120000000006</v>
      </c>
      <c r="AE18" s="279">
        <f t="shared" si="2"/>
        <v>8140.1459999999997</v>
      </c>
      <c r="AF18" s="279">
        <f t="shared" si="3"/>
        <v>9884.4629999999997</v>
      </c>
      <c r="AG18" s="279">
        <f t="shared" si="4"/>
        <v>11628.78</v>
      </c>
      <c r="AH18" s="279">
        <f t="shared" si="5"/>
        <v>11628.78</v>
      </c>
      <c r="AI18" s="279">
        <f t="shared" si="6"/>
        <v>11628.78</v>
      </c>
      <c r="AJ18" s="279">
        <f t="shared" si="7"/>
        <v>11628.78</v>
      </c>
    </row>
    <row r="19" spans="1:36" x14ac:dyDescent="0.65">
      <c r="A19" s="203"/>
      <c r="B19" s="302" t="s">
        <v>1069</v>
      </c>
      <c r="C19" s="303" t="s">
        <v>1073</v>
      </c>
      <c r="D19" s="302" t="s">
        <v>451</v>
      </c>
      <c r="E19" s="326" t="str">
        <f>IFERROR(VLOOKUP(A19,Estimate!A:Q,17,FALSE)," ")</f>
        <v xml:space="preserve"> </v>
      </c>
      <c r="F19" s="305" t="s">
        <v>448</v>
      </c>
      <c r="G19" s="305" t="s">
        <v>448</v>
      </c>
      <c r="H19" s="304" t="s">
        <v>448</v>
      </c>
      <c r="I19" s="304">
        <v>11628.78</v>
      </c>
      <c r="J19" s="304" t="s">
        <v>448</v>
      </c>
      <c r="K19" s="304"/>
      <c r="L19" s="305" t="s">
        <v>448</v>
      </c>
      <c r="M19" s="301" t="str">
        <f t="shared" si="8"/>
        <v xml:space="preserve"> </v>
      </c>
      <c r="N19" s="305" t="s">
        <v>448</v>
      </c>
      <c r="O19" s="301" t="str">
        <f t="shared" si="8"/>
        <v xml:space="preserve"> </v>
      </c>
      <c r="P19" s="305" t="s">
        <v>448</v>
      </c>
      <c r="Q19" s="301" t="str">
        <f t="shared" ref="Q19" si="87">IFERROR(P19/$G19," ")</f>
        <v xml:space="preserve"> </v>
      </c>
      <c r="R19" s="305" t="s">
        <v>448</v>
      </c>
      <c r="S19" s="301" t="str">
        <f t="shared" ref="S19" si="88">IFERROR(R19/$G19," ")</f>
        <v xml:space="preserve"> </v>
      </c>
      <c r="T19" s="305" t="s">
        <v>448</v>
      </c>
      <c r="U19" s="301" t="str">
        <f t="shared" ref="U19" si="89">IFERROR(T19/$G19," ")</f>
        <v xml:space="preserve"> </v>
      </c>
      <c r="V19" s="305" t="s">
        <v>448</v>
      </c>
      <c r="W19" s="301" t="str">
        <f t="shared" ref="W19" si="90">IFERROR(V19/$G19," ")</f>
        <v xml:space="preserve"> </v>
      </c>
      <c r="X19" s="305" t="s">
        <v>448</v>
      </c>
      <c r="Y19" s="301" t="str">
        <f t="shared" ref="Y19" si="91">IFERROR(X19/$G19," ")</f>
        <v xml:space="preserve"> </v>
      </c>
      <c r="Z19" s="305" t="s">
        <v>448</v>
      </c>
      <c r="AA19" s="301" t="str">
        <f t="shared" ref="AA19" si="92">IFERROR(Z19/$G19," ")</f>
        <v xml:space="preserve"> </v>
      </c>
      <c r="AB19" s="292"/>
      <c r="AC19" s="279" t="str">
        <f t="shared" si="0"/>
        <v xml:space="preserve"> </v>
      </c>
      <c r="AD19" s="279" t="str">
        <f t="shared" si="1"/>
        <v xml:space="preserve"> </v>
      </c>
      <c r="AE19" s="279" t="str">
        <f t="shared" si="2"/>
        <v xml:space="preserve"> </v>
      </c>
      <c r="AF19" s="279" t="str">
        <f t="shared" si="3"/>
        <v xml:space="preserve"> </v>
      </c>
      <c r="AG19" s="279" t="str">
        <f t="shared" si="4"/>
        <v xml:space="preserve"> </v>
      </c>
      <c r="AH19" s="279" t="str">
        <f t="shared" si="5"/>
        <v xml:space="preserve"> </v>
      </c>
      <c r="AI19" s="279" t="str">
        <f t="shared" si="6"/>
        <v xml:space="preserve"> </v>
      </c>
      <c r="AJ19" s="279" t="str">
        <f t="shared" si="7"/>
        <v xml:space="preserve"> </v>
      </c>
    </row>
    <row r="20" spans="1:36" x14ac:dyDescent="0.65">
      <c r="A20" s="203"/>
      <c r="B20" s="292" t="s">
        <v>1069</v>
      </c>
      <c r="C20" s="276" t="s">
        <v>448</v>
      </c>
      <c r="D20" s="292" t="s">
        <v>451</v>
      </c>
      <c r="E20" s="321" t="str">
        <f>IFERROR(VLOOKUP(A20,Estimate!A:Q,17,FALSE)," ")</f>
        <v xml:space="preserve"> </v>
      </c>
      <c r="F20" s="299" t="s">
        <v>448</v>
      </c>
      <c r="G20" s="299" t="s">
        <v>448</v>
      </c>
      <c r="H20" s="298" t="s">
        <v>448</v>
      </c>
      <c r="I20" s="298" t="s">
        <v>448</v>
      </c>
      <c r="J20" s="298" t="s">
        <v>448</v>
      </c>
      <c r="K20" s="298"/>
      <c r="L20" s="299" t="s">
        <v>448</v>
      </c>
      <c r="M20" s="301" t="str">
        <f t="shared" si="8"/>
        <v xml:space="preserve"> </v>
      </c>
      <c r="N20" s="299" t="s">
        <v>448</v>
      </c>
      <c r="O20" s="301" t="str">
        <f t="shared" si="8"/>
        <v xml:space="preserve"> </v>
      </c>
      <c r="P20" s="299" t="s">
        <v>448</v>
      </c>
      <c r="Q20" s="301" t="str">
        <f t="shared" ref="Q20" si="93">IFERROR(P20/$G20," ")</f>
        <v xml:space="preserve"> </v>
      </c>
      <c r="R20" s="299" t="s">
        <v>448</v>
      </c>
      <c r="S20" s="301" t="str">
        <f t="shared" ref="S20" si="94">IFERROR(R20/$G20," ")</f>
        <v xml:space="preserve"> </v>
      </c>
      <c r="T20" s="299" t="s">
        <v>448</v>
      </c>
      <c r="U20" s="301" t="str">
        <f t="shared" ref="U20" si="95">IFERROR(T20/$G20," ")</f>
        <v xml:space="preserve"> </v>
      </c>
      <c r="V20" s="299" t="s">
        <v>448</v>
      </c>
      <c r="W20" s="301" t="str">
        <f t="shared" ref="W20" si="96">IFERROR(V20/$G20," ")</f>
        <v xml:space="preserve"> </v>
      </c>
      <c r="X20" s="299" t="s">
        <v>448</v>
      </c>
      <c r="Y20" s="301" t="str">
        <f t="shared" ref="Y20" si="97">IFERROR(X20/$G20," ")</f>
        <v xml:space="preserve"> </v>
      </c>
      <c r="Z20" s="299" t="s">
        <v>448</v>
      </c>
      <c r="AA20" s="301" t="str">
        <f t="shared" ref="AA20" si="98">IFERROR(Z20/$G20," ")</f>
        <v xml:space="preserve"> </v>
      </c>
      <c r="AB20" s="292"/>
      <c r="AC20" s="279" t="str">
        <f t="shared" si="0"/>
        <v xml:space="preserve"> </v>
      </c>
      <c r="AD20" s="279" t="str">
        <f t="shared" si="1"/>
        <v xml:space="preserve"> </v>
      </c>
      <c r="AE20" s="279" t="str">
        <f t="shared" si="2"/>
        <v xml:space="preserve"> </v>
      </c>
      <c r="AF20" s="279" t="str">
        <f t="shared" si="3"/>
        <v xml:space="preserve"> </v>
      </c>
      <c r="AG20" s="279" t="str">
        <f t="shared" si="4"/>
        <v xml:space="preserve"> </v>
      </c>
      <c r="AH20" s="279" t="str">
        <f t="shared" si="5"/>
        <v xml:space="preserve"> </v>
      </c>
      <c r="AI20" s="279" t="str">
        <f t="shared" si="6"/>
        <v xml:space="preserve"> </v>
      </c>
      <c r="AJ20" s="279" t="str">
        <f t="shared" si="7"/>
        <v xml:space="preserve"> </v>
      </c>
    </row>
    <row r="21" spans="1:36" x14ac:dyDescent="0.65">
      <c r="A21" s="203">
        <v>15</v>
      </c>
      <c r="B21" s="292">
        <v>3</v>
      </c>
      <c r="C21" s="276" t="s">
        <v>616</v>
      </c>
      <c r="D21" s="292" t="s">
        <v>451</v>
      </c>
      <c r="E21" s="321"/>
      <c r="F21" s="299" t="s">
        <v>448</v>
      </c>
      <c r="G21" s="299" t="s">
        <v>448</v>
      </c>
      <c r="H21" s="298" t="s">
        <v>448</v>
      </c>
      <c r="I21" s="298" t="s">
        <v>448</v>
      </c>
      <c r="J21" s="298" t="s">
        <v>448</v>
      </c>
      <c r="K21" s="298"/>
      <c r="L21" s="299" t="s">
        <v>448</v>
      </c>
      <c r="M21" s="301" t="str">
        <f t="shared" si="8"/>
        <v xml:space="preserve"> </v>
      </c>
      <c r="N21" s="299" t="s">
        <v>448</v>
      </c>
      <c r="O21" s="301" t="str">
        <f t="shared" si="8"/>
        <v xml:space="preserve"> </v>
      </c>
      <c r="P21" s="299" t="s">
        <v>448</v>
      </c>
      <c r="Q21" s="301" t="str">
        <f t="shared" ref="Q21" si="99">IFERROR(P21/$G21," ")</f>
        <v xml:space="preserve"> </v>
      </c>
      <c r="R21" s="299" t="s">
        <v>448</v>
      </c>
      <c r="S21" s="301" t="str">
        <f t="shared" ref="S21" si="100">IFERROR(R21/$G21," ")</f>
        <v xml:space="preserve"> </v>
      </c>
      <c r="T21" s="299" t="s">
        <v>448</v>
      </c>
      <c r="U21" s="301" t="str">
        <f t="shared" ref="U21" si="101">IFERROR(T21/$G21," ")</f>
        <v xml:space="preserve"> </v>
      </c>
      <c r="V21" s="299" t="s">
        <v>448</v>
      </c>
      <c r="W21" s="301" t="str">
        <f t="shared" ref="W21" si="102">IFERROR(V21/$G21," ")</f>
        <v xml:space="preserve"> </v>
      </c>
      <c r="X21" s="299" t="s">
        <v>448</v>
      </c>
      <c r="Y21" s="301" t="str">
        <f t="shared" ref="Y21" si="103">IFERROR(X21/$G21," ")</f>
        <v xml:space="preserve"> </v>
      </c>
      <c r="Z21" s="299" t="s">
        <v>448</v>
      </c>
      <c r="AA21" s="301" t="str">
        <f t="shared" ref="AA21" si="104">IFERROR(Z21/$G21," ")</f>
        <v xml:space="preserve"> </v>
      </c>
      <c r="AB21" s="292"/>
      <c r="AC21" s="279" t="str">
        <f t="shared" si="0"/>
        <v xml:space="preserve"> </v>
      </c>
      <c r="AD21" s="279" t="str">
        <f t="shared" si="1"/>
        <v xml:space="preserve"> </v>
      </c>
      <c r="AE21" s="279" t="str">
        <f t="shared" si="2"/>
        <v xml:space="preserve"> </v>
      </c>
      <c r="AF21" s="279" t="str">
        <f t="shared" si="3"/>
        <v xml:space="preserve"> </v>
      </c>
      <c r="AG21" s="279" t="str">
        <f t="shared" si="4"/>
        <v xml:space="preserve"> </v>
      </c>
      <c r="AH21" s="279" t="str">
        <f t="shared" si="5"/>
        <v xml:space="preserve"> </v>
      </c>
      <c r="AI21" s="279" t="str">
        <f t="shared" si="6"/>
        <v xml:space="preserve"> </v>
      </c>
      <c r="AJ21" s="279" t="str">
        <f t="shared" si="7"/>
        <v xml:space="preserve"> </v>
      </c>
    </row>
    <row r="22" spans="1:36" x14ac:dyDescent="0.65">
      <c r="A22" s="203">
        <v>16</v>
      </c>
      <c r="B22" s="292">
        <v>3.1</v>
      </c>
      <c r="C22" s="276" t="s">
        <v>617</v>
      </c>
      <c r="D22" s="292" t="s">
        <v>451</v>
      </c>
      <c r="E22" s="321"/>
      <c r="F22" s="299" t="s">
        <v>448</v>
      </c>
      <c r="G22" s="299" t="s">
        <v>448</v>
      </c>
      <c r="H22" s="298" t="s">
        <v>448</v>
      </c>
      <c r="I22" s="298" t="s">
        <v>448</v>
      </c>
      <c r="J22" s="298" t="s">
        <v>448</v>
      </c>
      <c r="K22" s="298"/>
      <c r="L22" s="299" t="s">
        <v>448</v>
      </c>
      <c r="M22" s="301" t="str">
        <f t="shared" si="8"/>
        <v xml:space="preserve"> </v>
      </c>
      <c r="N22" s="299" t="s">
        <v>448</v>
      </c>
      <c r="O22" s="301" t="str">
        <f t="shared" si="8"/>
        <v xml:space="preserve"> </v>
      </c>
      <c r="P22" s="299" t="s">
        <v>448</v>
      </c>
      <c r="Q22" s="301" t="str">
        <f t="shared" ref="Q22" si="105">IFERROR(P22/$G22," ")</f>
        <v xml:space="preserve"> </v>
      </c>
      <c r="R22" s="299" t="s">
        <v>448</v>
      </c>
      <c r="S22" s="301" t="str">
        <f t="shared" ref="S22" si="106">IFERROR(R22/$G22," ")</f>
        <v xml:space="preserve"> </v>
      </c>
      <c r="T22" s="299" t="s">
        <v>448</v>
      </c>
      <c r="U22" s="301" t="str">
        <f t="shared" ref="U22" si="107">IFERROR(T22/$G22," ")</f>
        <v xml:space="preserve"> </v>
      </c>
      <c r="V22" s="299" t="s">
        <v>448</v>
      </c>
      <c r="W22" s="301" t="str">
        <f t="shared" ref="W22" si="108">IFERROR(V22/$G22," ")</f>
        <v xml:space="preserve"> </v>
      </c>
      <c r="X22" s="299" t="s">
        <v>448</v>
      </c>
      <c r="Y22" s="301" t="str">
        <f t="shared" ref="Y22" si="109">IFERROR(X22/$G22," ")</f>
        <v xml:space="preserve"> </v>
      </c>
      <c r="Z22" s="299" t="s">
        <v>448</v>
      </c>
      <c r="AA22" s="301" t="str">
        <f t="shared" ref="AA22" si="110">IFERROR(Z22/$G22," ")</f>
        <v xml:space="preserve"> </v>
      </c>
      <c r="AB22" s="292"/>
      <c r="AC22" s="279" t="str">
        <f t="shared" si="0"/>
        <v xml:space="preserve"> </v>
      </c>
      <c r="AD22" s="279" t="str">
        <f t="shared" si="1"/>
        <v xml:space="preserve"> </v>
      </c>
      <c r="AE22" s="279" t="str">
        <f t="shared" si="2"/>
        <v xml:space="preserve"> </v>
      </c>
      <c r="AF22" s="279" t="str">
        <f t="shared" si="3"/>
        <v xml:space="preserve"> </v>
      </c>
      <c r="AG22" s="279" t="str">
        <f t="shared" si="4"/>
        <v xml:space="preserve"> </v>
      </c>
      <c r="AH22" s="279" t="str">
        <f t="shared" si="5"/>
        <v xml:space="preserve"> </v>
      </c>
      <c r="AI22" s="279" t="str">
        <f t="shared" si="6"/>
        <v xml:space="preserve"> </v>
      </c>
      <c r="AJ22" s="279" t="str">
        <f t="shared" si="7"/>
        <v xml:space="preserve"> </v>
      </c>
    </row>
    <row r="23" spans="1:36" ht="28.5" x14ac:dyDescent="0.65">
      <c r="A23" s="203">
        <v>17</v>
      </c>
      <c r="B23" s="292" t="s">
        <v>1069</v>
      </c>
      <c r="C23" s="276" t="s">
        <v>51</v>
      </c>
      <c r="D23" s="292" t="s">
        <v>14</v>
      </c>
      <c r="E23" s="321">
        <f>IFERROR(VLOOKUP(A23,Estimate!A:Q,17,FALSE)," ")</f>
        <v>514</v>
      </c>
      <c r="F23" s="299">
        <v>1</v>
      </c>
      <c r="G23" s="299">
        <v>1</v>
      </c>
      <c r="H23" s="298">
        <v>654.96</v>
      </c>
      <c r="I23" s="298">
        <v>654.96</v>
      </c>
      <c r="J23" s="298">
        <v>654.96</v>
      </c>
      <c r="K23" s="298"/>
      <c r="L23" s="299"/>
      <c r="M23" s="301">
        <f t="shared" si="8"/>
        <v>0</v>
      </c>
      <c r="N23" s="299"/>
      <c r="O23" s="301">
        <f t="shared" si="8"/>
        <v>0</v>
      </c>
      <c r="P23" s="299">
        <v>1</v>
      </c>
      <c r="Q23" s="301">
        <f t="shared" ref="Q23" si="111">IFERROR(P23/$G23," ")</f>
        <v>1</v>
      </c>
      <c r="R23" s="299">
        <v>1</v>
      </c>
      <c r="S23" s="301">
        <f t="shared" ref="S23" si="112">IFERROR(R23/$G23," ")</f>
        <v>1</v>
      </c>
      <c r="T23" s="299">
        <v>1</v>
      </c>
      <c r="U23" s="301">
        <f t="shared" ref="U23" si="113">IFERROR(T23/$G23," ")</f>
        <v>1</v>
      </c>
      <c r="V23" s="299">
        <v>1</v>
      </c>
      <c r="W23" s="301">
        <f t="shared" ref="W23" si="114">IFERROR(V23/$G23," ")</f>
        <v>1</v>
      </c>
      <c r="X23" s="299">
        <v>1</v>
      </c>
      <c r="Y23" s="301">
        <f t="shared" ref="Y23" si="115">IFERROR(X23/$G23," ")</f>
        <v>1</v>
      </c>
      <c r="Z23" s="299">
        <v>1</v>
      </c>
      <c r="AA23" s="301">
        <f t="shared" ref="AA23" si="116">IFERROR(Z23/$G23," ")</f>
        <v>1</v>
      </c>
      <c r="AB23" s="292"/>
      <c r="AC23" s="279">
        <f t="shared" si="0"/>
        <v>0</v>
      </c>
      <c r="AD23" s="279">
        <f t="shared" si="1"/>
        <v>0</v>
      </c>
      <c r="AE23" s="279">
        <f t="shared" si="2"/>
        <v>654.96</v>
      </c>
      <c r="AF23" s="279">
        <f t="shared" si="3"/>
        <v>654.96</v>
      </c>
      <c r="AG23" s="279">
        <f t="shared" si="4"/>
        <v>654.96</v>
      </c>
      <c r="AH23" s="279">
        <f t="shared" si="5"/>
        <v>654.96</v>
      </c>
      <c r="AI23" s="279">
        <f t="shared" si="6"/>
        <v>654.96</v>
      </c>
      <c r="AJ23" s="279">
        <f t="shared" si="7"/>
        <v>654.96</v>
      </c>
    </row>
    <row r="24" spans="1:36" x14ac:dyDescent="0.65">
      <c r="A24" s="203"/>
      <c r="B24" s="292" t="s">
        <v>1069</v>
      </c>
      <c r="C24" s="276" t="s">
        <v>448</v>
      </c>
      <c r="D24" s="292" t="s">
        <v>451</v>
      </c>
      <c r="E24" s="321" t="str">
        <f>IFERROR(VLOOKUP(A24,Estimate!A:Q,17,FALSE)," ")</f>
        <v xml:space="preserve"> </v>
      </c>
      <c r="F24" s="299" t="s">
        <v>448</v>
      </c>
      <c r="G24" s="299" t="s">
        <v>448</v>
      </c>
      <c r="H24" s="298" t="s">
        <v>448</v>
      </c>
      <c r="I24" s="298" t="s">
        <v>448</v>
      </c>
      <c r="J24" s="298" t="s">
        <v>448</v>
      </c>
      <c r="K24" s="298"/>
      <c r="L24" s="299" t="s">
        <v>448</v>
      </c>
      <c r="M24" s="301" t="str">
        <f t="shared" si="8"/>
        <v xml:space="preserve"> </v>
      </c>
      <c r="N24" s="299" t="s">
        <v>448</v>
      </c>
      <c r="O24" s="301" t="str">
        <f t="shared" si="8"/>
        <v xml:space="preserve"> </v>
      </c>
      <c r="P24" s="299" t="s">
        <v>448</v>
      </c>
      <c r="Q24" s="301" t="str">
        <f t="shared" ref="Q24" si="117">IFERROR(P24/$G24," ")</f>
        <v xml:space="preserve"> </v>
      </c>
      <c r="R24" s="299" t="s">
        <v>448</v>
      </c>
      <c r="S24" s="301" t="str">
        <f t="shared" ref="S24" si="118">IFERROR(R24/$G24," ")</f>
        <v xml:space="preserve"> </v>
      </c>
      <c r="T24" s="299" t="s">
        <v>448</v>
      </c>
      <c r="U24" s="301" t="str">
        <f t="shared" ref="U24" si="119">IFERROR(T24/$G24," ")</f>
        <v xml:space="preserve"> </v>
      </c>
      <c r="V24" s="299" t="s">
        <v>448</v>
      </c>
      <c r="W24" s="301" t="str">
        <f t="shared" ref="W24" si="120">IFERROR(V24/$G24," ")</f>
        <v xml:space="preserve"> </v>
      </c>
      <c r="X24" s="299" t="s">
        <v>448</v>
      </c>
      <c r="Y24" s="301" t="str">
        <f t="shared" ref="Y24" si="121">IFERROR(X24/$G24," ")</f>
        <v xml:space="preserve"> </v>
      </c>
      <c r="Z24" s="299" t="s">
        <v>448</v>
      </c>
      <c r="AA24" s="301" t="str">
        <f t="shared" ref="AA24" si="122">IFERROR(Z24/$G24," ")</f>
        <v xml:space="preserve"> </v>
      </c>
      <c r="AB24" s="292"/>
      <c r="AC24" s="279" t="str">
        <f t="shared" si="0"/>
        <v xml:space="preserve"> </v>
      </c>
      <c r="AD24" s="279" t="str">
        <f t="shared" si="1"/>
        <v xml:space="preserve"> </v>
      </c>
      <c r="AE24" s="279" t="str">
        <f t="shared" si="2"/>
        <v xml:space="preserve"> </v>
      </c>
      <c r="AF24" s="279" t="str">
        <f t="shared" si="3"/>
        <v xml:space="preserve"> </v>
      </c>
      <c r="AG24" s="279" t="str">
        <f t="shared" si="4"/>
        <v xml:space="preserve"> </v>
      </c>
      <c r="AH24" s="279" t="str">
        <f t="shared" si="5"/>
        <v xml:space="preserve"> </v>
      </c>
      <c r="AI24" s="279" t="str">
        <f t="shared" si="6"/>
        <v xml:space="preserve"> </v>
      </c>
      <c r="AJ24" s="279" t="str">
        <f t="shared" si="7"/>
        <v xml:space="preserve"> </v>
      </c>
    </row>
    <row r="25" spans="1:36" x14ac:dyDescent="0.65">
      <c r="A25" s="203">
        <v>18</v>
      </c>
      <c r="B25" s="292">
        <v>3.2</v>
      </c>
      <c r="C25" s="276" t="s">
        <v>1074</v>
      </c>
      <c r="D25" s="292" t="s">
        <v>451</v>
      </c>
      <c r="E25" s="321"/>
      <c r="F25" s="299" t="s">
        <v>448</v>
      </c>
      <c r="G25" s="299" t="s">
        <v>448</v>
      </c>
      <c r="H25" s="298" t="s">
        <v>448</v>
      </c>
      <c r="I25" s="298" t="s">
        <v>448</v>
      </c>
      <c r="J25" s="298" t="s">
        <v>448</v>
      </c>
      <c r="K25" s="298"/>
      <c r="L25" s="299" t="s">
        <v>448</v>
      </c>
      <c r="M25" s="301" t="str">
        <f t="shared" si="8"/>
        <v xml:space="preserve"> </v>
      </c>
      <c r="N25" s="299" t="s">
        <v>448</v>
      </c>
      <c r="O25" s="301" t="str">
        <f t="shared" si="8"/>
        <v xml:space="preserve"> </v>
      </c>
      <c r="P25" s="299" t="s">
        <v>448</v>
      </c>
      <c r="Q25" s="301" t="str">
        <f t="shared" ref="Q25" si="123">IFERROR(P25/$G25," ")</f>
        <v xml:space="preserve"> </v>
      </c>
      <c r="R25" s="299" t="s">
        <v>448</v>
      </c>
      <c r="S25" s="301" t="str">
        <f t="shared" ref="S25" si="124">IFERROR(R25/$G25," ")</f>
        <v xml:space="preserve"> </v>
      </c>
      <c r="T25" s="299" t="s">
        <v>448</v>
      </c>
      <c r="U25" s="301" t="str">
        <f t="shared" ref="U25" si="125">IFERROR(T25/$G25," ")</f>
        <v xml:space="preserve"> </v>
      </c>
      <c r="V25" s="299" t="s">
        <v>448</v>
      </c>
      <c r="W25" s="301" t="str">
        <f t="shared" ref="W25" si="126">IFERROR(V25/$G25," ")</f>
        <v xml:space="preserve"> </v>
      </c>
      <c r="X25" s="299" t="s">
        <v>448</v>
      </c>
      <c r="Y25" s="301" t="str">
        <f t="shared" ref="Y25" si="127">IFERROR(X25/$G25," ")</f>
        <v xml:space="preserve"> </v>
      </c>
      <c r="Z25" s="299" t="s">
        <v>448</v>
      </c>
      <c r="AA25" s="301" t="str">
        <f t="shared" ref="AA25" si="128">IFERROR(Z25/$G25," ")</f>
        <v xml:space="preserve"> </v>
      </c>
      <c r="AB25" s="292"/>
      <c r="AC25" s="279" t="str">
        <f t="shared" si="0"/>
        <v xml:space="preserve"> </v>
      </c>
      <c r="AD25" s="279" t="str">
        <f t="shared" si="1"/>
        <v xml:space="preserve"> </v>
      </c>
      <c r="AE25" s="279" t="str">
        <f t="shared" si="2"/>
        <v xml:space="preserve"> </v>
      </c>
      <c r="AF25" s="279" t="str">
        <f t="shared" si="3"/>
        <v xml:space="preserve"> </v>
      </c>
      <c r="AG25" s="279" t="str">
        <f t="shared" si="4"/>
        <v xml:space="preserve"> </v>
      </c>
      <c r="AH25" s="279" t="str">
        <f t="shared" si="5"/>
        <v xml:space="preserve"> </v>
      </c>
      <c r="AI25" s="279" t="str">
        <f t="shared" si="6"/>
        <v xml:space="preserve"> </v>
      </c>
      <c r="AJ25" s="279" t="str">
        <f t="shared" si="7"/>
        <v xml:space="preserve"> </v>
      </c>
    </row>
    <row r="26" spans="1:36" ht="57" x14ac:dyDescent="0.65">
      <c r="A26" s="203">
        <v>19</v>
      </c>
      <c r="B26" s="292" t="s">
        <v>1075</v>
      </c>
      <c r="C26" s="276" t="s">
        <v>53</v>
      </c>
      <c r="D26" s="292" t="s">
        <v>54</v>
      </c>
      <c r="E26" s="321">
        <f>IFERROR(VLOOKUP(A26,Estimate!A:Q,17,FALSE)," ")</f>
        <v>12912</v>
      </c>
      <c r="F26" s="299">
        <v>12233</v>
      </c>
      <c r="G26" s="299">
        <v>12233</v>
      </c>
      <c r="H26" s="298">
        <v>1.35</v>
      </c>
      <c r="I26" s="298">
        <v>16514.55</v>
      </c>
      <c r="J26" s="298">
        <v>16514.55</v>
      </c>
      <c r="K26" s="298"/>
      <c r="L26" s="299">
        <v>12233</v>
      </c>
      <c r="M26" s="301">
        <f t="shared" si="8"/>
        <v>1</v>
      </c>
      <c r="N26" s="299">
        <v>12233</v>
      </c>
      <c r="O26" s="301">
        <f t="shared" si="8"/>
        <v>1</v>
      </c>
      <c r="P26" s="299">
        <v>12233</v>
      </c>
      <c r="Q26" s="301">
        <f t="shared" ref="Q26" si="129">IFERROR(P26/$G26," ")</f>
        <v>1</v>
      </c>
      <c r="R26" s="299">
        <v>12233</v>
      </c>
      <c r="S26" s="301">
        <f t="shared" ref="S26" si="130">IFERROR(R26/$G26," ")</f>
        <v>1</v>
      </c>
      <c r="T26" s="299">
        <v>12233</v>
      </c>
      <c r="U26" s="301">
        <f t="shared" ref="U26" si="131">IFERROR(T26/$G26," ")</f>
        <v>1</v>
      </c>
      <c r="V26" s="299">
        <v>12233</v>
      </c>
      <c r="W26" s="301">
        <f t="shared" ref="W26" si="132">IFERROR(V26/$G26," ")</f>
        <v>1</v>
      </c>
      <c r="X26" s="299">
        <v>12233</v>
      </c>
      <c r="Y26" s="301">
        <f t="shared" ref="Y26" si="133">IFERROR(X26/$G26," ")</f>
        <v>1</v>
      </c>
      <c r="Z26" s="299">
        <v>12233</v>
      </c>
      <c r="AA26" s="301">
        <f t="shared" ref="AA26" si="134">IFERROR(Z26/$G26," ")</f>
        <v>1</v>
      </c>
      <c r="AB26" s="292"/>
      <c r="AC26" s="279">
        <f t="shared" si="0"/>
        <v>16514.55</v>
      </c>
      <c r="AD26" s="279">
        <f t="shared" si="1"/>
        <v>16514.55</v>
      </c>
      <c r="AE26" s="279">
        <f t="shared" si="2"/>
        <v>16514.55</v>
      </c>
      <c r="AF26" s="279">
        <f t="shared" si="3"/>
        <v>16514.55</v>
      </c>
      <c r="AG26" s="279">
        <f t="shared" si="4"/>
        <v>16514.55</v>
      </c>
      <c r="AH26" s="279">
        <f t="shared" si="5"/>
        <v>16514.55</v>
      </c>
      <c r="AI26" s="279">
        <f t="shared" si="6"/>
        <v>16514.55</v>
      </c>
      <c r="AJ26" s="279">
        <f t="shared" si="7"/>
        <v>16514.55</v>
      </c>
    </row>
    <row r="27" spans="1:36" ht="42.75" x14ac:dyDescent="0.65">
      <c r="A27" s="203"/>
      <c r="B27" s="292" t="s">
        <v>1076</v>
      </c>
      <c r="C27" s="276" t="s">
        <v>1077</v>
      </c>
      <c r="D27" s="292" t="s">
        <v>451</v>
      </c>
      <c r="E27" s="321" t="str">
        <f>IFERROR(VLOOKUP(A27,Estimate!A:Q,17,FALSE)," ")</f>
        <v xml:space="preserve"> </v>
      </c>
      <c r="F27" s="299" t="s">
        <v>448</v>
      </c>
      <c r="G27" s="299" t="s">
        <v>448</v>
      </c>
      <c r="H27" s="298" t="s">
        <v>448</v>
      </c>
      <c r="I27" s="298" t="s">
        <v>448</v>
      </c>
      <c r="J27" s="298" t="s">
        <v>448</v>
      </c>
      <c r="K27" s="298"/>
      <c r="L27" s="299" t="s">
        <v>448</v>
      </c>
      <c r="M27" s="301" t="str">
        <f t="shared" si="8"/>
        <v xml:space="preserve"> </v>
      </c>
      <c r="N27" s="299" t="s">
        <v>448</v>
      </c>
      <c r="O27" s="301" t="str">
        <f t="shared" si="8"/>
        <v xml:space="preserve"> </v>
      </c>
      <c r="P27" s="299" t="s">
        <v>448</v>
      </c>
      <c r="Q27" s="301" t="str">
        <f t="shared" ref="Q27" si="135">IFERROR(P27/$G27," ")</f>
        <v xml:space="preserve"> </v>
      </c>
      <c r="R27" s="299" t="s">
        <v>448</v>
      </c>
      <c r="S27" s="301" t="str">
        <f t="shared" ref="S27" si="136">IFERROR(R27/$G27," ")</f>
        <v xml:space="preserve"> </v>
      </c>
      <c r="T27" s="299" t="s">
        <v>448</v>
      </c>
      <c r="U27" s="301" t="str">
        <f t="shared" ref="U27" si="137">IFERROR(T27/$G27," ")</f>
        <v xml:space="preserve"> </v>
      </c>
      <c r="V27" s="299" t="s">
        <v>448</v>
      </c>
      <c r="W27" s="301" t="str">
        <f t="shared" ref="W27" si="138">IFERROR(V27/$G27," ")</f>
        <v xml:space="preserve"> </v>
      </c>
      <c r="X27" s="299" t="s">
        <v>448</v>
      </c>
      <c r="Y27" s="301" t="str">
        <f t="shared" ref="Y27" si="139">IFERROR(X27/$G27," ")</f>
        <v xml:space="preserve"> </v>
      </c>
      <c r="Z27" s="299" t="s">
        <v>448</v>
      </c>
      <c r="AA27" s="301" t="str">
        <f t="shared" ref="AA27" si="140">IFERROR(Z27/$G27," ")</f>
        <v xml:space="preserve"> </v>
      </c>
      <c r="AB27" s="292"/>
      <c r="AC27" s="279" t="str">
        <f t="shared" si="0"/>
        <v xml:space="preserve"> </v>
      </c>
      <c r="AD27" s="279" t="str">
        <f t="shared" si="1"/>
        <v xml:space="preserve"> </v>
      </c>
      <c r="AE27" s="279" t="str">
        <f t="shared" si="2"/>
        <v xml:space="preserve"> </v>
      </c>
      <c r="AF27" s="279" t="str">
        <f t="shared" si="3"/>
        <v xml:space="preserve"> </v>
      </c>
      <c r="AG27" s="279" t="str">
        <f t="shared" si="4"/>
        <v xml:space="preserve"> </v>
      </c>
      <c r="AH27" s="279" t="str">
        <f t="shared" si="5"/>
        <v xml:space="preserve"> </v>
      </c>
      <c r="AI27" s="279" t="str">
        <f t="shared" si="6"/>
        <v xml:space="preserve"> </v>
      </c>
      <c r="AJ27" s="279" t="str">
        <f t="shared" si="7"/>
        <v xml:space="preserve"> </v>
      </c>
    </row>
    <row r="28" spans="1:36" x14ac:dyDescent="0.65">
      <c r="A28" s="203">
        <v>20</v>
      </c>
      <c r="B28" s="292" t="s">
        <v>1078</v>
      </c>
      <c r="C28" s="276" t="s">
        <v>58</v>
      </c>
      <c r="D28" s="292" t="s">
        <v>54</v>
      </c>
      <c r="E28" s="321">
        <f>IFERROR(VLOOKUP(A28,Estimate!A:Q,17,FALSE)," ")</f>
        <v>7888.6785766517796</v>
      </c>
      <c r="F28" s="299">
        <v>7813</v>
      </c>
      <c r="G28" s="299">
        <v>7813</v>
      </c>
      <c r="H28" s="298">
        <v>1.29</v>
      </c>
      <c r="I28" s="298">
        <v>10078.77</v>
      </c>
      <c r="J28" s="298">
        <v>10078.77</v>
      </c>
      <c r="K28" s="298"/>
      <c r="L28" s="299"/>
      <c r="M28" s="301">
        <f t="shared" si="8"/>
        <v>0</v>
      </c>
      <c r="N28" s="299"/>
      <c r="O28" s="301">
        <f t="shared" si="8"/>
        <v>0</v>
      </c>
      <c r="P28" s="299">
        <v>2230</v>
      </c>
      <c r="Q28" s="301">
        <f t="shared" ref="Q28" si="141">IFERROR(P28/$G28," ")</f>
        <v>0.28542173300908741</v>
      </c>
      <c r="R28" s="299">
        <v>5813</v>
      </c>
      <c r="S28" s="301">
        <f t="shared" ref="S28" si="142">IFERROR(R28/$G28," ")</f>
        <v>0.74401638295149108</v>
      </c>
      <c r="T28" s="299">
        <v>7813</v>
      </c>
      <c r="U28" s="301">
        <f t="shared" ref="U28" si="143">IFERROR(T28/$G28," ")</f>
        <v>1</v>
      </c>
      <c r="V28" s="299">
        <v>7813</v>
      </c>
      <c r="W28" s="301">
        <f t="shared" ref="W28" si="144">IFERROR(V28/$G28," ")</f>
        <v>1</v>
      </c>
      <c r="X28" s="299">
        <v>7813</v>
      </c>
      <c r="Y28" s="301">
        <f t="shared" ref="Y28" si="145">IFERROR(X28/$G28," ")</f>
        <v>1</v>
      </c>
      <c r="Z28" s="299">
        <v>7813</v>
      </c>
      <c r="AA28" s="301">
        <f t="shared" ref="AA28" si="146">IFERROR(Z28/$G28," ")</f>
        <v>1</v>
      </c>
      <c r="AB28" s="292"/>
      <c r="AC28" s="279">
        <f t="shared" si="0"/>
        <v>0</v>
      </c>
      <c r="AD28" s="279">
        <f t="shared" si="1"/>
        <v>0</v>
      </c>
      <c r="AE28" s="279">
        <f t="shared" si="2"/>
        <v>2876.7</v>
      </c>
      <c r="AF28" s="279">
        <f t="shared" si="3"/>
        <v>7498.77</v>
      </c>
      <c r="AG28" s="279">
        <f t="shared" si="4"/>
        <v>10078.77</v>
      </c>
      <c r="AH28" s="279">
        <f t="shared" si="5"/>
        <v>10078.77</v>
      </c>
      <c r="AI28" s="279">
        <f t="shared" si="6"/>
        <v>10078.77</v>
      </c>
      <c r="AJ28" s="279">
        <f t="shared" si="7"/>
        <v>10078.77</v>
      </c>
    </row>
    <row r="29" spans="1:36" x14ac:dyDescent="0.65">
      <c r="A29" s="203">
        <v>21</v>
      </c>
      <c r="B29" s="292" t="s">
        <v>1079</v>
      </c>
      <c r="C29" s="276" t="s">
        <v>62</v>
      </c>
      <c r="D29" s="292" t="s">
        <v>25</v>
      </c>
      <c r="E29" s="321">
        <f>IFERROR(VLOOKUP(A29,Estimate!A:Q,17,FALSE)," ")</f>
        <v>12670.965078272406</v>
      </c>
      <c r="F29" s="299">
        <v>445</v>
      </c>
      <c r="G29" s="299">
        <v>445</v>
      </c>
      <c r="H29" s="298">
        <v>36.299999999999997</v>
      </c>
      <c r="I29" s="298">
        <v>16153.5</v>
      </c>
      <c r="J29" s="298">
        <v>16153.5</v>
      </c>
      <c r="K29" s="298"/>
      <c r="L29" s="299"/>
      <c r="M29" s="301">
        <f t="shared" si="8"/>
        <v>0</v>
      </c>
      <c r="N29" s="299"/>
      <c r="O29" s="301">
        <f t="shared" si="8"/>
        <v>0</v>
      </c>
      <c r="P29" s="299">
        <v>300</v>
      </c>
      <c r="Q29" s="301">
        <f t="shared" ref="Q29" si="147">IFERROR(P29/$G29," ")</f>
        <v>0.6741573033707865</v>
      </c>
      <c r="R29" s="299">
        <v>445</v>
      </c>
      <c r="S29" s="301">
        <f t="shared" ref="S29" si="148">IFERROR(R29/$G29," ")</f>
        <v>1</v>
      </c>
      <c r="T29" s="299">
        <v>445</v>
      </c>
      <c r="U29" s="301">
        <f t="shared" ref="U29" si="149">IFERROR(T29/$G29," ")</f>
        <v>1</v>
      </c>
      <c r="V29" s="299">
        <v>445</v>
      </c>
      <c r="W29" s="301">
        <f t="shared" ref="W29" si="150">IFERROR(V29/$G29," ")</f>
        <v>1</v>
      </c>
      <c r="X29" s="299">
        <v>445</v>
      </c>
      <c r="Y29" s="301">
        <f t="shared" ref="Y29" si="151">IFERROR(X29/$G29," ")</f>
        <v>1</v>
      </c>
      <c r="Z29" s="299">
        <v>445</v>
      </c>
      <c r="AA29" s="301">
        <f t="shared" ref="AA29" si="152">IFERROR(Z29/$G29," ")</f>
        <v>1</v>
      </c>
      <c r="AB29" s="292"/>
      <c r="AC29" s="279">
        <f t="shared" si="0"/>
        <v>0</v>
      </c>
      <c r="AD29" s="279">
        <f t="shared" si="1"/>
        <v>0</v>
      </c>
      <c r="AE29" s="279">
        <f t="shared" si="2"/>
        <v>10890</v>
      </c>
      <c r="AF29" s="279">
        <f t="shared" si="3"/>
        <v>16153.5</v>
      </c>
      <c r="AG29" s="279">
        <f t="shared" si="4"/>
        <v>16153.5</v>
      </c>
      <c r="AH29" s="279">
        <f t="shared" si="5"/>
        <v>16153.5</v>
      </c>
      <c r="AI29" s="279">
        <f t="shared" si="6"/>
        <v>16153.5</v>
      </c>
      <c r="AJ29" s="279">
        <f t="shared" si="7"/>
        <v>16153.5</v>
      </c>
    </row>
    <row r="30" spans="1:36" x14ac:dyDescent="0.65">
      <c r="A30" s="203">
        <v>22</v>
      </c>
      <c r="B30" s="292" t="s">
        <v>1080</v>
      </c>
      <c r="C30" s="276" t="s">
        <v>68</v>
      </c>
      <c r="D30" s="292" t="s">
        <v>14</v>
      </c>
      <c r="E30" s="321">
        <f>IFERROR(VLOOKUP(A30,Estimate!A:Q,17,FALSE)," ")</f>
        <v>3429</v>
      </c>
      <c r="F30" s="299">
        <v>1</v>
      </c>
      <c r="G30" s="299">
        <v>1</v>
      </c>
      <c r="H30" s="298">
        <v>4369.3900000000003</v>
      </c>
      <c r="I30" s="298">
        <v>4369.3900000000003</v>
      </c>
      <c r="J30" s="298">
        <v>4369.3900000000003</v>
      </c>
      <c r="K30" s="298"/>
      <c r="L30" s="299"/>
      <c r="M30" s="301">
        <f t="shared" si="8"/>
        <v>0</v>
      </c>
      <c r="N30" s="299"/>
      <c r="O30" s="301">
        <f t="shared" si="8"/>
        <v>0</v>
      </c>
      <c r="P30" s="299">
        <v>1</v>
      </c>
      <c r="Q30" s="301">
        <f t="shared" ref="Q30" si="153">IFERROR(P30/$G30," ")</f>
        <v>1</v>
      </c>
      <c r="R30" s="299">
        <v>1</v>
      </c>
      <c r="S30" s="301">
        <f t="shared" ref="S30" si="154">IFERROR(R30/$G30," ")</f>
        <v>1</v>
      </c>
      <c r="T30" s="299">
        <v>1</v>
      </c>
      <c r="U30" s="301">
        <f t="shared" ref="U30" si="155">IFERROR(T30/$G30," ")</f>
        <v>1</v>
      </c>
      <c r="V30" s="299">
        <v>1</v>
      </c>
      <c r="W30" s="301">
        <f t="shared" ref="W30" si="156">IFERROR(V30/$G30," ")</f>
        <v>1</v>
      </c>
      <c r="X30" s="299">
        <v>1</v>
      </c>
      <c r="Y30" s="301">
        <f t="shared" ref="Y30" si="157">IFERROR(X30/$G30," ")</f>
        <v>1</v>
      </c>
      <c r="Z30" s="299">
        <v>1</v>
      </c>
      <c r="AA30" s="301">
        <f t="shared" ref="AA30" si="158">IFERROR(Z30/$G30," ")</f>
        <v>1</v>
      </c>
      <c r="AB30" s="292"/>
      <c r="AC30" s="279">
        <f t="shared" si="0"/>
        <v>0</v>
      </c>
      <c r="AD30" s="279">
        <f t="shared" si="1"/>
        <v>0</v>
      </c>
      <c r="AE30" s="279">
        <f t="shared" si="2"/>
        <v>4369.3900000000003</v>
      </c>
      <c r="AF30" s="279">
        <f t="shared" si="3"/>
        <v>4369.3900000000003</v>
      </c>
      <c r="AG30" s="279">
        <f t="shared" si="4"/>
        <v>4369.3900000000003</v>
      </c>
      <c r="AH30" s="279">
        <f t="shared" si="5"/>
        <v>4369.3900000000003</v>
      </c>
      <c r="AI30" s="279">
        <f t="shared" si="6"/>
        <v>4369.3900000000003</v>
      </c>
      <c r="AJ30" s="279">
        <f t="shared" si="7"/>
        <v>4369.3900000000003</v>
      </c>
    </row>
    <row r="31" spans="1:36" x14ac:dyDescent="0.65">
      <c r="A31" s="203">
        <v>23</v>
      </c>
      <c r="B31" s="292" t="s">
        <v>1081</v>
      </c>
      <c r="C31" s="276" t="s">
        <v>70</v>
      </c>
      <c r="D31" s="292" t="s">
        <v>14</v>
      </c>
      <c r="E31" s="321">
        <f>IFERROR(VLOOKUP(A31,Estimate!A:Q,17,FALSE)," ")</f>
        <v>3172</v>
      </c>
      <c r="F31" s="299">
        <v>1</v>
      </c>
      <c r="G31" s="299">
        <v>1</v>
      </c>
      <c r="H31" s="298">
        <v>4041.91</v>
      </c>
      <c r="I31" s="298">
        <v>4041.91</v>
      </c>
      <c r="J31" s="298">
        <v>4041.91</v>
      </c>
      <c r="K31" s="298"/>
      <c r="L31" s="299"/>
      <c r="M31" s="301">
        <f t="shared" si="8"/>
        <v>0</v>
      </c>
      <c r="N31" s="299"/>
      <c r="O31" s="301">
        <f t="shared" si="8"/>
        <v>0</v>
      </c>
      <c r="P31" s="299">
        <v>1</v>
      </c>
      <c r="Q31" s="301">
        <f t="shared" ref="Q31" si="159">IFERROR(P31/$G31," ")</f>
        <v>1</v>
      </c>
      <c r="R31" s="299">
        <v>1</v>
      </c>
      <c r="S31" s="301">
        <f t="shared" ref="S31" si="160">IFERROR(R31/$G31," ")</f>
        <v>1</v>
      </c>
      <c r="T31" s="299">
        <v>1</v>
      </c>
      <c r="U31" s="301">
        <f t="shared" ref="U31" si="161">IFERROR(T31/$G31," ")</f>
        <v>1</v>
      </c>
      <c r="V31" s="299">
        <v>1</v>
      </c>
      <c r="W31" s="301">
        <f t="shared" ref="W31" si="162">IFERROR(V31/$G31," ")</f>
        <v>1</v>
      </c>
      <c r="X31" s="299">
        <v>1</v>
      </c>
      <c r="Y31" s="301">
        <f t="shared" ref="Y31" si="163">IFERROR(X31/$G31," ")</f>
        <v>1</v>
      </c>
      <c r="Z31" s="299">
        <v>1</v>
      </c>
      <c r="AA31" s="301">
        <f t="shared" ref="AA31" si="164">IFERROR(Z31/$G31," ")</f>
        <v>1</v>
      </c>
      <c r="AB31" s="292"/>
      <c r="AC31" s="279">
        <f t="shared" si="0"/>
        <v>0</v>
      </c>
      <c r="AD31" s="279">
        <f t="shared" si="1"/>
        <v>0</v>
      </c>
      <c r="AE31" s="279">
        <f t="shared" si="2"/>
        <v>4041.91</v>
      </c>
      <c r="AF31" s="279">
        <f t="shared" si="3"/>
        <v>4041.91</v>
      </c>
      <c r="AG31" s="279">
        <f t="shared" si="4"/>
        <v>4041.91</v>
      </c>
      <c r="AH31" s="279">
        <f t="shared" si="5"/>
        <v>4041.91</v>
      </c>
      <c r="AI31" s="279">
        <f t="shared" si="6"/>
        <v>4041.91</v>
      </c>
      <c r="AJ31" s="279">
        <f t="shared" si="7"/>
        <v>4041.91</v>
      </c>
    </row>
    <row r="32" spans="1:36" x14ac:dyDescent="0.65">
      <c r="A32" s="203">
        <v>24</v>
      </c>
      <c r="B32" s="292" t="s">
        <v>1082</v>
      </c>
      <c r="C32" s="276" t="s">
        <v>75</v>
      </c>
      <c r="D32" s="292" t="s">
        <v>14</v>
      </c>
      <c r="E32" s="321">
        <f>IFERROR(VLOOKUP(A32,Estimate!A:Q,17,FALSE)," ")</f>
        <v>750</v>
      </c>
      <c r="F32" s="299">
        <v>1</v>
      </c>
      <c r="G32" s="299">
        <v>1</v>
      </c>
      <c r="H32" s="298">
        <v>955.69</v>
      </c>
      <c r="I32" s="298">
        <v>955.69</v>
      </c>
      <c r="J32" s="298">
        <v>955.69</v>
      </c>
      <c r="K32" s="298"/>
      <c r="L32" s="299"/>
      <c r="M32" s="301">
        <f t="shared" si="8"/>
        <v>0</v>
      </c>
      <c r="N32" s="299"/>
      <c r="O32" s="301">
        <f t="shared" si="8"/>
        <v>0</v>
      </c>
      <c r="P32" s="299"/>
      <c r="Q32" s="301">
        <f t="shared" ref="Q32" si="165">IFERROR(P32/$G32," ")</f>
        <v>0</v>
      </c>
      <c r="R32" s="299"/>
      <c r="S32" s="301">
        <f t="shared" ref="S32" si="166">IFERROR(R32/$G32," ")</f>
        <v>0</v>
      </c>
      <c r="T32" s="299">
        <v>1</v>
      </c>
      <c r="U32" s="301">
        <f t="shared" ref="U32" si="167">IFERROR(T32/$G32," ")</f>
        <v>1</v>
      </c>
      <c r="V32" s="299">
        <v>1</v>
      </c>
      <c r="W32" s="301">
        <f t="shared" ref="W32" si="168">IFERROR(V32/$G32," ")</f>
        <v>1</v>
      </c>
      <c r="X32" s="299">
        <v>1</v>
      </c>
      <c r="Y32" s="301">
        <f t="shared" ref="Y32" si="169">IFERROR(X32/$G32," ")</f>
        <v>1</v>
      </c>
      <c r="Z32" s="299">
        <v>1</v>
      </c>
      <c r="AA32" s="301">
        <f t="shared" ref="AA32" si="170">IFERROR(Z32/$G32," ")</f>
        <v>1</v>
      </c>
      <c r="AB32" s="292"/>
      <c r="AC32" s="279">
        <f t="shared" si="0"/>
        <v>0</v>
      </c>
      <c r="AD32" s="279">
        <f t="shared" si="1"/>
        <v>0</v>
      </c>
      <c r="AE32" s="279">
        <f t="shared" si="2"/>
        <v>0</v>
      </c>
      <c r="AF32" s="279">
        <f t="shared" si="3"/>
        <v>0</v>
      </c>
      <c r="AG32" s="279">
        <f t="shared" si="4"/>
        <v>955.69</v>
      </c>
      <c r="AH32" s="279">
        <f t="shared" si="5"/>
        <v>955.69</v>
      </c>
      <c r="AI32" s="279">
        <f t="shared" si="6"/>
        <v>955.69</v>
      </c>
      <c r="AJ32" s="279">
        <f t="shared" si="7"/>
        <v>955.69</v>
      </c>
    </row>
    <row r="33" spans="1:36" x14ac:dyDescent="0.65">
      <c r="A33" s="203">
        <v>25</v>
      </c>
      <c r="B33" s="292" t="s">
        <v>1083</v>
      </c>
      <c r="C33" s="276" t="s">
        <v>78</v>
      </c>
      <c r="D33" s="292" t="s">
        <v>79</v>
      </c>
      <c r="E33" s="321">
        <f>IFERROR(VLOOKUP(A33,Estimate!A:Q,17,FALSE)," ")</f>
        <v>750</v>
      </c>
      <c r="F33" s="299">
        <v>1</v>
      </c>
      <c r="G33" s="299">
        <v>1</v>
      </c>
      <c r="H33" s="298">
        <v>955.69</v>
      </c>
      <c r="I33" s="298">
        <v>955.69</v>
      </c>
      <c r="J33" s="298">
        <v>955.69</v>
      </c>
      <c r="K33" s="298"/>
      <c r="L33" s="299"/>
      <c r="M33" s="301">
        <f t="shared" si="8"/>
        <v>0</v>
      </c>
      <c r="N33" s="299"/>
      <c r="O33" s="301">
        <f t="shared" si="8"/>
        <v>0</v>
      </c>
      <c r="P33" s="299">
        <v>1</v>
      </c>
      <c r="Q33" s="301">
        <f t="shared" ref="Q33" si="171">IFERROR(P33/$G33," ")</f>
        <v>1</v>
      </c>
      <c r="R33" s="299">
        <v>1</v>
      </c>
      <c r="S33" s="301">
        <f t="shared" ref="S33" si="172">IFERROR(R33/$G33," ")</f>
        <v>1</v>
      </c>
      <c r="T33" s="299">
        <v>1</v>
      </c>
      <c r="U33" s="301">
        <f t="shared" ref="U33" si="173">IFERROR(T33/$G33," ")</f>
        <v>1</v>
      </c>
      <c r="V33" s="299">
        <v>1</v>
      </c>
      <c r="W33" s="301">
        <f t="shared" ref="W33" si="174">IFERROR(V33/$G33," ")</f>
        <v>1</v>
      </c>
      <c r="X33" s="299">
        <v>1</v>
      </c>
      <c r="Y33" s="301">
        <f t="shared" ref="Y33" si="175">IFERROR(X33/$G33," ")</f>
        <v>1</v>
      </c>
      <c r="Z33" s="299">
        <v>1</v>
      </c>
      <c r="AA33" s="301">
        <f t="shared" ref="AA33" si="176">IFERROR(Z33/$G33," ")</f>
        <v>1</v>
      </c>
      <c r="AB33" s="292"/>
      <c r="AC33" s="279">
        <f t="shared" si="0"/>
        <v>0</v>
      </c>
      <c r="AD33" s="279">
        <f t="shared" si="1"/>
        <v>0</v>
      </c>
      <c r="AE33" s="279">
        <f t="shared" si="2"/>
        <v>955.69</v>
      </c>
      <c r="AF33" s="279">
        <f t="shared" si="3"/>
        <v>955.69</v>
      </c>
      <c r="AG33" s="279">
        <f t="shared" si="4"/>
        <v>955.69</v>
      </c>
      <c r="AH33" s="279">
        <f t="shared" si="5"/>
        <v>955.69</v>
      </c>
      <c r="AI33" s="279">
        <f t="shared" si="6"/>
        <v>955.69</v>
      </c>
      <c r="AJ33" s="279">
        <f t="shared" si="7"/>
        <v>955.69</v>
      </c>
    </row>
    <row r="34" spans="1:36" ht="28.5" x14ac:dyDescent="0.65">
      <c r="A34" s="203">
        <v>26</v>
      </c>
      <c r="B34" s="292" t="s">
        <v>1084</v>
      </c>
      <c r="C34" s="276" t="s">
        <v>81</v>
      </c>
      <c r="D34" s="292" t="s">
        <v>54</v>
      </c>
      <c r="E34" s="321">
        <f>IFERROR(VLOOKUP(A34,Estimate!A:Q,17,FALSE)," ")</f>
        <v>684.13535999999999</v>
      </c>
      <c r="F34" s="299">
        <v>480</v>
      </c>
      <c r="G34" s="299">
        <v>480</v>
      </c>
      <c r="H34" s="298">
        <v>5.41</v>
      </c>
      <c r="I34" s="298">
        <v>2596.8000000000002</v>
      </c>
      <c r="J34" s="298">
        <v>2596.8000000000002</v>
      </c>
      <c r="K34" s="298"/>
      <c r="L34" s="299"/>
      <c r="M34" s="301">
        <f t="shared" si="8"/>
        <v>0</v>
      </c>
      <c r="N34" s="299"/>
      <c r="O34" s="301">
        <f t="shared" si="8"/>
        <v>0</v>
      </c>
      <c r="P34" s="299"/>
      <c r="Q34" s="301">
        <f t="shared" ref="Q34" si="177">IFERROR(P34/$G34," ")</f>
        <v>0</v>
      </c>
      <c r="R34" s="299"/>
      <c r="S34" s="301">
        <f t="shared" ref="S34" si="178">IFERROR(R34/$G34," ")</f>
        <v>0</v>
      </c>
      <c r="T34" s="299">
        <v>480</v>
      </c>
      <c r="U34" s="301">
        <f t="shared" ref="U34" si="179">IFERROR(T34/$G34," ")</f>
        <v>1</v>
      </c>
      <c r="V34" s="299">
        <v>480</v>
      </c>
      <c r="W34" s="301">
        <f t="shared" ref="W34" si="180">IFERROR(V34/$G34," ")</f>
        <v>1</v>
      </c>
      <c r="X34" s="299">
        <v>480</v>
      </c>
      <c r="Y34" s="301">
        <f t="shared" ref="Y34" si="181">IFERROR(X34/$G34," ")</f>
        <v>1</v>
      </c>
      <c r="Z34" s="299">
        <v>480</v>
      </c>
      <c r="AA34" s="301">
        <f t="shared" ref="AA34" si="182">IFERROR(Z34/$G34," ")</f>
        <v>1</v>
      </c>
      <c r="AB34" s="292"/>
      <c r="AC34" s="279">
        <f t="shared" si="0"/>
        <v>0</v>
      </c>
      <c r="AD34" s="279">
        <f t="shared" si="1"/>
        <v>0</v>
      </c>
      <c r="AE34" s="279">
        <f t="shared" si="2"/>
        <v>0</v>
      </c>
      <c r="AF34" s="279">
        <f t="shared" si="3"/>
        <v>0</v>
      </c>
      <c r="AG34" s="279">
        <f t="shared" si="4"/>
        <v>2596.8000000000002</v>
      </c>
      <c r="AH34" s="279">
        <f t="shared" si="5"/>
        <v>2596.8000000000002</v>
      </c>
      <c r="AI34" s="279">
        <f t="shared" si="6"/>
        <v>2596.8000000000002</v>
      </c>
      <c r="AJ34" s="279">
        <f t="shared" si="7"/>
        <v>2596.8000000000002</v>
      </c>
    </row>
    <row r="35" spans="1:36" ht="28.5" x14ac:dyDescent="0.65">
      <c r="A35" s="203">
        <v>27</v>
      </c>
      <c r="B35" s="292" t="s">
        <v>1085</v>
      </c>
      <c r="C35" s="276" t="s">
        <v>85</v>
      </c>
      <c r="D35" s="292" t="s">
        <v>25</v>
      </c>
      <c r="E35" s="321">
        <f>IFERROR(VLOOKUP(A35,Estimate!A:Q,17,FALSE)," ")</f>
        <v>1898.7813620071684</v>
      </c>
      <c r="F35" s="299">
        <v>83</v>
      </c>
      <c r="G35" s="299">
        <v>83</v>
      </c>
      <c r="H35" s="298">
        <v>29.34</v>
      </c>
      <c r="I35" s="298">
        <v>2435.2199999999998</v>
      </c>
      <c r="J35" s="298">
        <v>2435.2199999999998</v>
      </c>
      <c r="K35" s="298"/>
      <c r="L35" s="299"/>
      <c r="M35" s="301">
        <f t="shared" si="8"/>
        <v>0</v>
      </c>
      <c r="N35" s="299"/>
      <c r="O35" s="301">
        <f t="shared" si="8"/>
        <v>0</v>
      </c>
      <c r="P35" s="299">
        <v>83</v>
      </c>
      <c r="Q35" s="301">
        <f t="shared" ref="Q35" si="183">IFERROR(P35/$G35," ")</f>
        <v>1</v>
      </c>
      <c r="R35" s="299">
        <v>83</v>
      </c>
      <c r="S35" s="301">
        <f t="shared" ref="S35" si="184">IFERROR(R35/$G35," ")</f>
        <v>1</v>
      </c>
      <c r="T35" s="299">
        <v>83</v>
      </c>
      <c r="U35" s="301">
        <f t="shared" ref="U35" si="185">IFERROR(T35/$G35," ")</f>
        <v>1</v>
      </c>
      <c r="V35" s="299">
        <v>83</v>
      </c>
      <c r="W35" s="301">
        <f t="shared" ref="W35" si="186">IFERROR(V35/$G35," ")</f>
        <v>1</v>
      </c>
      <c r="X35" s="299">
        <v>83</v>
      </c>
      <c r="Y35" s="301">
        <f t="shared" ref="Y35" si="187">IFERROR(X35/$G35," ")</f>
        <v>1</v>
      </c>
      <c r="Z35" s="299">
        <v>83</v>
      </c>
      <c r="AA35" s="301">
        <f t="shared" ref="AA35" si="188">IFERROR(Z35/$G35," ")</f>
        <v>1</v>
      </c>
      <c r="AB35" s="292"/>
      <c r="AC35" s="279">
        <f t="shared" si="0"/>
        <v>0</v>
      </c>
      <c r="AD35" s="279">
        <f t="shared" si="1"/>
        <v>0</v>
      </c>
      <c r="AE35" s="279">
        <f t="shared" si="2"/>
        <v>2435.2199999999998</v>
      </c>
      <c r="AF35" s="279">
        <f t="shared" si="3"/>
        <v>2435.2199999999998</v>
      </c>
      <c r="AG35" s="279">
        <f t="shared" si="4"/>
        <v>2435.2199999999998</v>
      </c>
      <c r="AH35" s="279">
        <f t="shared" si="5"/>
        <v>2435.2199999999998</v>
      </c>
      <c r="AI35" s="279">
        <f t="shared" si="6"/>
        <v>2435.2199999999998</v>
      </c>
      <c r="AJ35" s="279">
        <f t="shared" si="7"/>
        <v>2435.2199999999998</v>
      </c>
    </row>
    <row r="36" spans="1:36" x14ac:dyDescent="0.65">
      <c r="A36" s="203"/>
      <c r="B36" s="292" t="s">
        <v>1069</v>
      </c>
      <c r="C36" s="276" t="s">
        <v>448</v>
      </c>
      <c r="D36" s="292" t="s">
        <v>451</v>
      </c>
      <c r="E36" s="321" t="str">
        <f>IFERROR(VLOOKUP(A36,Estimate!A:Q,17,FALSE)," ")</f>
        <v xml:space="preserve"> </v>
      </c>
      <c r="F36" s="299" t="s">
        <v>448</v>
      </c>
      <c r="G36" s="299" t="s">
        <v>448</v>
      </c>
      <c r="H36" s="298" t="s">
        <v>448</v>
      </c>
      <c r="I36" s="298" t="s">
        <v>448</v>
      </c>
      <c r="J36" s="298" t="s">
        <v>448</v>
      </c>
      <c r="K36" s="298"/>
      <c r="L36" s="299" t="s">
        <v>448</v>
      </c>
      <c r="M36" s="301" t="str">
        <f t="shared" si="8"/>
        <v xml:space="preserve"> </v>
      </c>
      <c r="N36" s="299" t="s">
        <v>448</v>
      </c>
      <c r="O36" s="301" t="str">
        <f t="shared" si="8"/>
        <v xml:space="preserve"> </v>
      </c>
      <c r="P36" s="299" t="s">
        <v>448</v>
      </c>
      <c r="Q36" s="301" t="str">
        <f t="shared" ref="Q36" si="189">IFERROR(P36/$G36," ")</f>
        <v xml:space="preserve"> </v>
      </c>
      <c r="R36" s="299" t="s">
        <v>448</v>
      </c>
      <c r="S36" s="301" t="str">
        <f t="shared" ref="S36" si="190">IFERROR(R36/$G36," ")</f>
        <v xml:space="preserve"> </v>
      </c>
      <c r="T36" s="299" t="s">
        <v>448</v>
      </c>
      <c r="U36" s="301" t="str">
        <f t="shared" ref="U36" si="191">IFERROR(T36/$G36," ")</f>
        <v xml:space="preserve"> </v>
      </c>
      <c r="V36" s="299" t="s">
        <v>448</v>
      </c>
      <c r="W36" s="301" t="str">
        <f t="shared" ref="W36" si="192">IFERROR(V36/$G36," ")</f>
        <v xml:space="preserve"> </v>
      </c>
      <c r="X36" s="299" t="s">
        <v>448</v>
      </c>
      <c r="Y36" s="301" t="str">
        <f t="shared" ref="Y36" si="193">IFERROR(X36/$G36," ")</f>
        <v xml:space="preserve"> </v>
      </c>
      <c r="Z36" s="299" t="s">
        <v>448</v>
      </c>
      <c r="AA36" s="301" t="str">
        <f t="shared" ref="AA36" si="194">IFERROR(Z36/$G36," ")</f>
        <v xml:space="preserve"> </v>
      </c>
      <c r="AB36" s="292"/>
      <c r="AC36" s="279" t="str">
        <f t="shared" si="0"/>
        <v xml:space="preserve"> </v>
      </c>
      <c r="AD36" s="279" t="str">
        <f t="shared" si="1"/>
        <v xml:space="preserve"> </v>
      </c>
      <c r="AE36" s="279" t="str">
        <f t="shared" si="2"/>
        <v xml:space="preserve"> </v>
      </c>
      <c r="AF36" s="279" t="str">
        <f t="shared" si="3"/>
        <v xml:space="preserve"> </v>
      </c>
      <c r="AG36" s="279" t="str">
        <f t="shared" si="4"/>
        <v xml:space="preserve"> </v>
      </c>
      <c r="AH36" s="279" t="str">
        <f t="shared" si="5"/>
        <v xml:space="preserve"> </v>
      </c>
      <c r="AI36" s="279" t="str">
        <f t="shared" si="6"/>
        <v xml:space="preserve"> </v>
      </c>
      <c r="AJ36" s="279" t="str">
        <f t="shared" si="7"/>
        <v xml:space="preserve"> </v>
      </c>
    </row>
    <row r="37" spans="1:36" x14ac:dyDescent="0.65">
      <c r="A37" s="203">
        <v>28</v>
      </c>
      <c r="B37" s="292">
        <v>3.3</v>
      </c>
      <c r="C37" s="276" t="s">
        <v>619</v>
      </c>
      <c r="D37" s="292" t="s">
        <v>451</v>
      </c>
      <c r="E37" s="321"/>
      <c r="F37" s="299" t="s">
        <v>448</v>
      </c>
      <c r="G37" s="299" t="s">
        <v>448</v>
      </c>
      <c r="H37" s="298" t="s">
        <v>448</v>
      </c>
      <c r="I37" s="298" t="s">
        <v>448</v>
      </c>
      <c r="J37" s="298" t="s">
        <v>448</v>
      </c>
      <c r="K37" s="298"/>
      <c r="L37" s="299" t="s">
        <v>448</v>
      </c>
      <c r="M37" s="301" t="str">
        <f t="shared" si="8"/>
        <v xml:space="preserve"> </v>
      </c>
      <c r="N37" s="299" t="s">
        <v>448</v>
      </c>
      <c r="O37" s="301" t="str">
        <f t="shared" si="8"/>
        <v xml:space="preserve"> </v>
      </c>
      <c r="P37" s="299" t="s">
        <v>448</v>
      </c>
      <c r="Q37" s="301" t="str">
        <f t="shared" ref="Q37" si="195">IFERROR(P37/$G37," ")</f>
        <v xml:space="preserve"> </v>
      </c>
      <c r="R37" s="299" t="s">
        <v>448</v>
      </c>
      <c r="S37" s="301" t="str">
        <f t="shared" ref="S37" si="196">IFERROR(R37/$G37," ")</f>
        <v xml:space="preserve"> </v>
      </c>
      <c r="T37" s="299" t="s">
        <v>448</v>
      </c>
      <c r="U37" s="301" t="str">
        <f t="shared" ref="U37" si="197">IFERROR(T37/$G37," ")</f>
        <v xml:space="preserve"> </v>
      </c>
      <c r="V37" s="299" t="s">
        <v>448</v>
      </c>
      <c r="W37" s="301" t="str">
        <f t="shared" ref="W37" si="198">IFERROR(V37/$G37," ")</f>
        <v xml:space="preserve"> </v>
      </c>
      <c r="X37" s="299" t="s">
        <v>448</v>
      </c>
      <c r="Y37" s="301" t="str">
        <f t="shared" ref="Y37" si="199">IFERROR(X37/$G37," ")</f>
        <v xml:space="preserve"> </v>
      </c>
      <c r="Z37" s="299" t="s">
        <v>448</v>
      </c>
      <c r="AA37" s="301" t="str">
        <f t="shared" ref="AA37" si="200">IFERROR(Z37/$G37," ")</f>
        <v xml:space="preserve"> </v>
      </c>
      <c r="AB37" s="292"/>
      <c r="AC37" s="279" t="str">
        <f t="shared" ref="AC37:AC68" si="201">IFERROR(M37*$I37," ")</f>
        <v xml:space="preserve"> </v>
      </c>
      <c r="AD37" s="279" t="str">
        <f t="shared" ref="AD37:AD68" si="202">IFERROR(O37*$I37," ")</f>
        <v xml:space="preserve"> </v>
      </c>
      <c r="AE37" s="279" t="str">
        <f t="shared" ref="AE37:AE68" si="203">IFERROR(Q37*$I37," ")</f>
        <v xml:space="preserve"> </v>
      </c>
      <c r="AF37" s="279" t="str">
        <f t="shared" ref="AF37:AF68" si="204">IFERROR(S37*$I37," ")</f>
        <v xml:space="preserve"> </v>
      </c>
      <c r="AG37" s="279" t="str">
        <f t="shared" ref="AG37:AG68" si="205">IFERROR(U37*$I37," ")</f>
        <v xml:space="preserve"> </v>
      </c>
      <c r="AH37" s="279" t="str">
        <f t="shared" ref="AH37:AH68" si="206">IFERROR(W37*$I37," ")</f>
        <v xml:space="preserve"> </v>
      </c>
      <c r="AI37" s="279" t="str">
        <f t="shared" ref="AI37:AI68" si="207">IFERROR(Y37*$I37," ")</f>
        <v xml:space="preserve"> </v>
      </c>
      <c r="AJ37" s="279" t="str">
        <f t="shared" ref="AJ37:AJ68" si="208">IFERROR(AA37*$I37," ")</f>
        <v xml:space="preserve"> </v>
      </c>
    </row>
    <row r="38" spans="1:36" ht="57" x14ac:dyDescent="0.65">
      <c r="A38" s="203">
        <v>29</v>
      </c>
      <c r="B38" s="292" t="s">
        <v>1086</v>
      </c>
      <c r="C38" s="276" t="s">
        <v>87</v>
      </c>
      <c r="D38" s="292" t="s">
        <v>88</v>
      </c>
      <c r="E38" s="321">
        <f>IFERROR(VLOOKUP(A38,Estimate!A:Q,17,FALSE)," ")</f>
        <v>7854.7</v>
      </c>
      <c r="F38" s="299">
        <v>916</v>
      </c>
      <c r="G38" s="299">
        <v>916</v>
      </c>
      <c r="H38" s="298">
        <v>10.93</v>
      </c>
      <c r="I38" s="298">
        <v>10011.879999999999</v>
      </c>
      <c r="J38" s="298">
        <v>10011.879999999999</v>
      </c>
      <c r="K38" s="298"/>
      <c r="L38" s="299">
        <v>916</v>
      </c>
      <c r="M38" s="301">
        <f t="shared" si="8"/>
        <v>1</v>
      </c>
      <c r="N38" s="299">
        <v>916</v>
      </c>
      <c r="O38" s="301">
        <f t="shared" si="8"/>
        <v>1</v>
      </c>
      <c r="P38" s="299">
        <v>916</v>
      </c>
      <c r="Q38" s="301">
        <f t="shared" ref="Q38" si="209">IFERROR(P38/$G38," ")</f>
        <v>1</v>
      </c>
      <c r="R38" s="299">
        <v>916</v>
      </c>
      <c r="S38" s="301">
        <f t="shared" ref="S38" si="210">IFERROR(R38/$G38," ")</f>
        <v>1</v>
      </c>
      <c r="T38" s="299">
        <v>916</v>
      </c>
      <c r="U38" s="301">
        <f t="shared" ref="U38" si="211">IFERROR(T38/$G38," ")</f>
        <v>1</v>
      </c>
      <c r="V38" s="299">
        <v>916</v>
      </c>
      <c r="W38" s="301">
        <f t="shared" ref="W38" si="212">IFERROR(V38/$G38," ")</f>
        <v>1</v>
      </c>
      <c r="X38" s="299">
        <v>916</v>
      </c>
      <c r="Y38" s="301">
        <f t="shared" ref="Y38" si="213">IFERROR(X38/$G38," ")</f>
        <v>1</v>
      </c>
      <c r="Z38" s="299">
        <v>916</v>
      </c>
      <c r="AA38" s="301">
        <f t="shared" ref="AA38" si="214">IFERROR(Z38/$G38," ")</f>
        <v>1</v>
      </c>
      <c r="AB38" s="292"/>
      <c r="AC38" s="279">
        <f t="shared" si="201"/>
        <v>10011.879999999999</v>
      </c>
      <c r="AD38" s="279">
        <f t="shared" si="202"/>
        <v>10011.879999999999</v>
      </c>
      <c r="AE38" s="279">
        <f t="shared" si="203"/>
        <v>10011.879999999999</v>
      </c>
      <c r="AF38" s="279">
        <f t="shared" si="204"/>
        <v>10011.879999999999</v>
      </c>
      <c r="AG38" s="279">
        <f t="shared" si="205"/>
        <v>10011.879999999999</v>
      </c>
      <c r="AH38" s="279">
        <f t="shared" si="206"/>
        <v>10011.879999999999</v>
      </c>
      <c r="AI38" s="279">
        <f t="shared" si="207"/>
        <v>10011.879999999999</v>
      </c>
      <c r="AJ38" s="279">
        <f t="shared" si="208"/>
        <v>10011.879999999999</v>
      </c>
    </row>
    <row r="39" spans="1:36" ht="42.75" x14ac:dyDescent="0.65">
      <c r="A39" s="203">
        <v>30</v>
      </c>
      <c r="B39" s="292" t="s">
        <v>1087</v>
      </c>
      <c r="C39" s="276" t="s">
        <v>90</v>
      </c>
      <c r="D39" s="292" t="s">
        <v>88</v>
      </c>
      <c r="E39" s="321">
        <f>IFERROR(VLOOKUP(A39,Estimate!A:Q,17,FALSE)," ")</f>
        <v>4855.84</v>
      </c>
      <c r="F39" s="299">
        <v>341</v>
      </c>
      <c r="G39" s="299">
        <v>341</v>
      </c>
      <c r="H39" s="298">
        <v>18.149999999999999</v>
      </c>
      <c r="I39" s="298">
        <v>6189.15</v>
      </c>
      <c r="J39" s="298">
        <v>6189.15</v>
      </c>
      <c r="K39" s="298"/>
      <c r="L39" s="299"/>
      <c r="M39" s="301">
        <f t="shared" si="8"/>
        <v>0</v>
      </c>
      <c r="N39" s="299"/>
      <c r="O39" s="301">
        <f t="shared" si="8"/>
        <v>0</v>
      </c>
      <c r="P39" s="299">
        <v>30</v>
      </c>
      <c r="Q39" s="301">
        <f t="shared" ref="Q39" si="215">IFERROR(P39/$G39," ")</f>
        <v>8.797653958944282E-2</v>
      </c>
      <c r="R39" s="299">
        <v>90</v>
      </c>
      <c r="S39" s="301">
        <f t="shared" ref="S39" si="216">IFERROR(R39/$G39," ")</f>
        <v>0.26392961876832843</v>
      </c>
      <c r="T39" s="299">
        <v>341</v>
      </c>
      <c r="U39" s="301">
        <f t="shared" ref="U39" si="217">IFERROR(T39/$G39," ")</f>
        <v>1</v>
      </c>
      <c r="V39" s="299">
        <v>341</v>
      </c>
      <c r="W39" s="301">
        <f t="shared" ref="W39" si="218">IFERROR(V39/$G39," ")</f>
        <v>1</v>
      </c>
      <c r="X39" s="299">
        <v>341</v>
      </c>
      <c r="Y39" s="301">
        <f t="shared" ref="Y39" si="219">IFERROR(X39/$G39," ")</f>
        <v>1</v>
      </c>
      <c r="Z39" s="299">
        <v>341</v>
      </c>
      <c r="AA39" s="301">
        <f t="shared" ref="AA39" si="220">IFERROR(Z39/$G39," ")</f>
        <v>1</v>
      </c>
      <c r="AB39" s="292"/>
      <c r="AC39" s="279">
        <f t="shared" si="201"/>
        <v>0</v>
      </c>
      <c r="AD39" s="279">
        <f t="shared" si="202"/>
        <v>0</v>
      </c>
      <c r="AE39" s="279">
        <f t="shared" si="203"/>
        <v>544.5</v>
      </c>
      <c r="AF39" s="279">
        <f t="shared" si="204"/>
        <v>1633.4999999999998</v>
      </c>
      <c r="AG39" s="279">
        <f t="shared" si="205"/>
        <v>6189.15</v>
      </c>
      <c r="AH39" s="279">
        <f t="shared" si="206"/>
        <v>6189.15</v>
      </c>
      <c r="AI39" s="279">
        <f t="shared" si="207"/>
        <v>6189.15</v>
      </c>
      <c r="AJ39" s="279">
        <f t="shared" si="208"/>
        <v>6189.15</v>
      </c>
    </row>
    <row r="40" spans="1:36" ht="28.5" x14ac:dyDescent="0.65">
      <c r="A40" s="203">
        <v>31</v>
      </c>
      <c r="B40" s="292" t="s">
        <v>1088</v>
      </c>
      <c r="C40" s="276" t="s">
        <v>93</v>
      </c>
      <c r="D40" s="292" t="s">
        <v>451</v>
      </c>
      <c r="E40" s="321">
        <f>IFERROR(VLOOKUP(A40,Estimate!A:Q,17,FALSE)," ")</f>
        <v>7518.125</v>
      </c>
      <c r="F40" s="299">
        <v>575</v>
      </c>
      <c r="G40" s="299">
        <v>575</v>
      </c>
      <c r="H40" s="298">
        <v>13.08</v>
      </c>
      <c r="I40" s="298">
        <v>7521</v>
      </c>
      <c r="J40" s="298">
        <v>7521</v>
      </c>
      <c r="K40" s="298"/>
      <c r="L40" s="299">
        <v>575</v>
      </c>
      <c r="M40" s="301">
        <f t="shared" si="8"/>
        <v>1</v>
      </c>
      <c r="N40" s="299">
        <v>575</v>
      </c>
      <c r="O40" s="301">
        <f t="shared" si="8"/>
        <v>1</v>
      </c>
      <c r="P40" s="299">
        <v>575</v>
      </c>
      <c r="Q40" s="301">
        <f t="shared" ref="Q40" si="221">IFERROR(P40/$G40," ")</f>
        <v>1</v>
      </c>
      <c r="R40" s="299">
        <v>575</v>
      </c>
      <c r="S40" s="301">
        <f t="shared" ref="S40" si="222">IFERROR(R40/$G40," ")</f>
        <v>1</v>
      </c>
      <c r="T40" s="299">
        <v>575</v>
      </c>
      <c r="U40" s="301">
        <f t="shared" ref="U40" si="223">IFERROR(T40/$G40," ")</f>
        <v>1</v>
      </c>
      <c r="V40" s="299">
        <v>575</v>
      </c>
      <c r="W40" s="301">
        <f t="shared" ref="W40" si="224">IFERROR(V40/$G40," ")</f>
        <v>1</v>
      </c>
      <c r="X40" s="299">
        <v>575</v>
      </c>
      <c r="Y40" s="301">
        <f t="shared" ref="Y40" si="225">IFERROR(X40/$G40," ")</f>
        <v>1</v>
      </c>
      <c r="Z40" s="299">
        <v>575</v>
      </c>
      <c r="AA40" s="301">
        <f t="shared" ref="AA40" si="226">IFERROR(Z40/$G40," ")</f>
        <v>1</v>
      </c>
      <c r="AB40" s="292"/>
      <c r="AC40" s="279">
        <f t="shared" si="201"/>
        <v>7521</v>
      </c>
      <c r="AD40" s="279">
        <f t="shared" si="202"/>
        <v>7521</v>
      </c>
      <c r="AE40" s="279">
        <f t="shared" si="203"/>
        <v>7521</v>
      </c>
      <c r="AF40" s="279">
        <f t="shared" si="204"/>
        <v>7521</v>
      </c>
      <c r="AG40" s="279">
        <f t="shared" si="205"/>
        <v>7521</v>
      </c>
      <c r="AH40" s="279">
        <f t="shared" si="206"/>
        <v>7521</v>
      </c>
      <c r="AI40" s="279">
        <f t="shared" si="207"/>
        <v>7521</v>
      </c>
      <c r="AJ40" s="279">
        <f t="shared" si="208"/>
        <v>7521</v>
      </c>
    </row>
    <row r="41" spans="1:36" ht="42.75" x14ac:dyDescent="0.65">
      <c r="A41" s="203">
        <v>32</v>
      </c>
      <c r="B41" s="292" t="s">
        <v>1089</v>
      </c>
      <c r="C41" s="276" t="s">
        <v>95</v>
      </c>
      <c r="D41" s="292" t="s">
        <v>88</v>
      </c>
      <c r="E41" s="321">
        <f>IFERROR(VLOOKUP(A41,Estimate!A:Q,17,FALSE)," ")</f>
        <v>16994.988044988044</v>
      </c>
      <c r="F41" s="299">
        <v>2388</v>
      </c>
      <c r="G41" s="299">
        <v>2388</v>
      </c>
      <c r="H41" s="298">
        <v>9.09</v>
      </c>
      <c r="I41" s="298">
        <v>21706.92</v>
      </c>
      <c r="J41" s="298">
        <v>21706.92</v>
      </c>
      <c r="K41" s="298"/>
      <c r="L41" s="299"/>
      <c r="M41" s="301">
        <f t="shared" si="8"/>
        <v>0</v>
      </c>
      <c r="N41" s="299"/>
      <c r="O41" s="301">
        <f t="shared" si="8"/>
        <v>0</v>
      </c>
      <c r="P41" s="299">
        <v>600</v>
      </c>
      <c r="Q41" s="301">
        <f t="shared" ref="Q41" si="227">IFERROR(P41/$G41," ")</f>
        <v>0.25125628140703515</v>
      </c>
      <c r="R41" s="299">
        <v>2388</v>
      </c>
      <c r="S41" s="301">
        <f t="shared" ref="S41" si="228">IFERROR(R41/$G41," ")</f>
        <v>1</v>
      </c>
      <c r="T41" s="299">
        <v>2388</v>
      </c>
      <c r="U41" s="301">
        <f t="shared" ref="U41" si="229">IFERROR(T41/$G41," ")</f>
        <v>1</v>
      </c>
      <c r="V41" s="299">
        <v>2388</v>
      </c>
      <c r="W41" s="301">
        <f t="shared" ref="W41" si="230">IFERROR(V41/$G41," ")</f>
        <v>1</v>
      </c>
      <c r="X41" s="299">
        <v>2388</v>
      </c>
      <c r="Y41" s="301">
        <f t="shared" ref="Y41" si="231">IFERROR(X41/$G41," ")</f>
        <v>1</v>
      </c>
      <c r="Z41" s="299">
        <v>2388</v>
      </c>
      <c r="AA41" s="301">
        <f t="shared" ref="AA41" si="232">IFERROR(Z41/$G41," ")</f>
        <v>1</v>
      </c>
      <c r="AB41" s="292"/>
      <c r="AC41" s="279">
        <f t="shared" si="201"/>
        <v>0</v>
      </c>
      <c r="AD41" s="279">
        <f t="shared" si="202"/>
        <v>0</v>
      </c>
      <c r="AE41" s="279">
        <f t="shared" si="203"/>
        <v>5453.9999999999991</v>
      </c>
      <c r="AF41" s="279">
        <f t="shared" si="204"/>
        <v>21706.92</v>
      </c>
      <c r="AG41" s="279">
        <f t="shared" si="205"/>
        <v>21706.92</v>
      </c>
      <c r="AH41" s="279">
        <f t="shared" si="206"/>
        <v>21706.92</v>
      </c>
      <c r="AI41" s="279">
        <f t="shared" si="207"/>
        <v>21706.92</v>
      </c>
      <c r="AJ41" s="279">
        <f t="shared" si="208"/>
        <v>21706.92</v>
      </c>
    </row>
    <row r="42" spans="1:36" ht="42.75" x14ac:dyDescent="0.65">
      <c r="A42" s="203">
        <v>33</v>
      </c>
      <c r="B42" s="292" t="s">
        <v>1090</v>
      </c>
      <c r="C42" s="276" t="s">
        <v>100</v>
      </c>
      <c r="D42" s="292" t="s">
        <v>88</v>
      </c>
      <c r="E42" s="321">
        <f>IFERROR(VLOOKUP(A42,Estimate!A:Q,17,FALSE)," ")</f>
        <v>54420.065443564366</v>
      </c>
      <c r="F42" s="299">
        <v>4030</v>
      </c>
      <c r="G42" s="299">
        <v>4030</v>
      </c>
      <c r="H42" s="298">
        <v>17.21</v>
      </c>
      <c r="I42" s="298">
        <v>69356.3</v>
      </c>
      <c r="J42" s="298">
        <v>69356.3</v>
      </c>
      <c r="K42" s="298"/>
      <c r="L42" s="299"/>
      <c r="M42" s="301">
        <f t="shared" si="8"/>
        <v>0</v>
      </c>
      <c r="N42" s="299">
        <v>4030</v>
      </c>
      <c r="O42" s="301">
        <f t="shared" si="8"/>
        <v>1</v>
      </c>
      <c r="P42" s="299">
        <v>4030</v>
      </c>
      <c r="Q42" s="301">
        <f t="shared" ref="Q42" si="233">IFERROR(P42/$G42," ")</f>
        <v>1</v>
      </c>
      <c r="R42" s="299">
        <v>4030</v>
      </c>
      <c r="S42" s="301">
        <f t="shared" ref="S42" si="234">IFERROR(R42/$G42," ")</f>
        <v>1</v>
      </c>
      <c r="T42" s="299">
        <v>4030</v>
      </c>
      <c r="U42" s="301">
        <f t="shared" ref="U42" si="235">IFERROR(T42/$G42," ")</f>
        <v>1</v>
      </c>
      <c r="V42" s="299">
        <v>4030</v>
      </c>
      <c r="W42" s="301">
        <f t="shared" ref="W42" si="236">IFERROR(V42/$G42," ")</f>
        <v>1</v>
      </c>
      <c r="X42" s="299">
        <v>4030</v>
      </c>
      <c r="Y42" s="301">
        <f t="shared" ref="Y42" si="237">IFERROR(X42/$G42," ")</f>
        <v>1</v>
      </c>
      <c r="Z42" s="299">
        <v>4030</v>
      </c>
      <c r="AA42" s="301">
        <f t="shared" ref="AA42" si="238">IFERROR(Z42/$G42," ")</f>
        <v>1</v>
      </c>
      <c r="AB42" s="292"/>
      <c r="AC42" s="279">
        <f t="shared" si="201"/>
        <v>0</v>
      </c>
      <c r="AD42" s="279">
        <f t="shared" si="202"/>
        <v>69356.3</v>
      </c>
      <c r="AE42" s="279">
        <f t="shared" si="203"/>
        <v>69356.3</v>
      </c>
      <c r="AF42" s="279">
        <f t="shared" si="204"/>
        <v>69356.3</v>
      </c>
      <c r="AG42" s="279">
        <f t="shared" si="205"/>
        <v>69356.3</v>
      </c>
      <c r="AH42" s="279">
        <f t="shared" si="206"/>
        <v>69356.3</v>
      </c>
      <c r="AI42" s="279">
        <f t="shared" si="207"/>
        <v>69356.3</v>
      </c>
      <c r="AJ42" s="279">
        <f t="shared" si="208"/>
        <v>69356.3</v>
      </c>
    </row>
    <row r="43" spans="1:36" ht="28.5" x14ac:dyDescent="0.65">
      <c r="A43" s="203">
        <v>34</v>
      </c>
      <c r="B43" s="292" t="s">
        <v>1091</v>
      </c>
      <c r="C43" s="276" t="s">
        <v>104</v>
      </c>
      <c r="D43" s="292" t="s">
        <v>54</v>
      </c>
      <c r="E43" s="321">
        <f>IFERROR(VLOOKUP(A43,Estimate!A:Q,17,FALSE)," ")</f>
        <v>1743.3333333333335</v>
      </c>
      <c r="F43" s="299">
        <v>100</v>
      </c>
      <c r="G43" s="299">
        <v>100</v>
      </c>
      <c r="H43" s="298">
        <v>17.43</v>
      </c>
      <c r="I43" s="298">
        <v>1743</v>
      </c>
      <c r="J43" s="298">
        <v>1743</v>
      </c>
      <c r="K43" s="298"/>
      <c r="L43" s="299"/>
      <c r="M43" s="301">
        <f t="shared" si="8"/>
        <v>0</v>
      </c>
      <c r="N43" s="299"/>
      <c r="O43" s="301">
        <f t="shared" si="8"/>
        <v>0</v>
      </c>
      <c r="P43" s="299"/>
      <c r="Q43" s="301">
        <f t="shared" ref="Q43" si="239">IFERROR(P43/$G43," ")</f>
        <v>0</v>
      </c>
      <c r="R43" s="299"/>
      <c r="S43" s="301">
        <f t="shared" ref="S43" si="240">IFERROR(R43/$G43," ")</f>
        <v>0</v>
      </c>
      <c r="T43" s="299">
        <v>100</v>
      </c>
      <c r="U43" s="301">
        <f t="shared" ref="U43" si="241">IFERROR(T43/$G43," ")</f>
        <v>1</v>
      </c>
      <c r="V43" s="299">
        <v>100</v>
      </c>
      <c r="W43" s="301">
        <f t="shared" ref="W43" si="242">IFERROR(V43/$G43," ")</f>
        <v>1</v>
      </c>
      <c r="X43" s="299">
        <v>100</v>
      </c>
      <c r="Y43" s="301">
        <f t="shared" ref="Y43" si="243">IFERROR(X43/$G43," ")</f>
        <v>1</v>
      </c>
      <c r="Z43" s="299">
        <v>100</v>
      </c>
      <c r="AA43" s="301">
        <f t="shared" ref="AA43" si="244">IFERROR(Z43/$G43," ")</f>
        <v>1</v>
      </c>
      <c r="AB43" s="292"/>
      <c r="AC43" s="279">
        <f t="shared" si="201"/>
        <v>0</v>
      </c>
      <c r="AD43" s="279">
        <f t="shared" si="202"/>
        <v>0</v>
      </c>
      <c r="AE43" s="279">
        <f t="shared" si="203"/>
        <v>0</v>
      </c>
      <c r="AF43" s="279">
        <f t="shared" si="204"/>
        <v>0</v>
      </c>
      <c r="AG43" s="279">
        <f t="shared" si="205"/>
        <v>1743</v>
      </c>
      <c r="AH43" s="279">
        <f t="shared" si="206"/>
        <v>1743</v>
      </c>
      <c r="AI43" s="279">
        <f t="shared" si="207"/>
        <v>1743</v>
      </c>
      <c r="AJ43" s="279">
        <f t="shared" si="208"/>
        <v>1743</v>
      </c>
    </row>
    <row r="44" spans="1:36" ht="28.5" x14ac:dyDescent="0.65">
      <c r="A44" s="203">
        <v>35</v>
      </c>
      <c r="B44" s="292" t="s">
        <v>1092</v>
      </c>
      <c r="C44" s="276" t="s">
        <v>971</v>
      </c>
      <c r="D44" s="292" t="s">
        <v>451</v>
      </c>
      <c r="E44" s="321">
        <f>IFERROR(VLOOKUP(A44,Estimate!A:Q,17,FALSE)," ")</f>
        <v>7669.6739857984549</v>
      </c>
      <c r="F44" s="299">
        <v>150</v>
      </c>
      <c r="G44" s="299">
        <v>150</v>
      </c>
      <c r="H44" s="298">
        <v>51.13</v>
      </c>
      <c r="I44" s="298">
        <v>7669.5</v>
      </c>
      <c r="J44" s="298">
        <v>7669.5</v>
      </c>
      <c r="K44" s="298"/>
      <c r="L44" s="299"/>
      <c r="M44" s="301">
        <f t="shared" si="8"/>
        <v>0</v>
      </c>
      <c r="N44" s="299">
        <v>150</v>
      </c>
      <c r="O44" s="301">
        <f t="shared" si="8"/>
        <v>1</v>
      </c>
      <c r="P44" s="299">
        <v>150</v>
      </c>
      <c r="Q44" s="301">
        <f t="shared" ref="Q44" si="245">IFERROR(P44/$G44," ")</f>
        <v>1</v>
      </c>
      <c r="R44" s="299">
        <v>150</v>
      </c>
      <c r="S44" s="301">
        <f t="shared" ref="S44" si="246">IFERROR(R44/$G44," ")</f>
        <v>1</v>
      </c>
      <c r="T44" s="299">
        <v>150</v>
      </c>
      <c r="U44" s="301">
        <f t="shared" ref="U44" si="247">IFERROR(T44/$G44," ")</f>
        <v>1</v>
      </c>
      <c r="V44" s="299">
        <v>150</v>
      </c>
      <c r="W44" s="301">
        <f t="shared" ref="W44" si="248">IFERROR(V44/$G44," ")</f>
        <v>1</v>
      </c>
      <c r="X44" s="299">
        <v>150</v>
      </c>
      <c r="Y44" s="301">
        <f t="shared" ref="Y44" si="249">IFERROR(X44/$G44," ")</f>
        <v>1</v>
      </c>
      <c r="Z44" s="299">
        <v>150</v>
      </c>
      <c r="AA44" s="301">
        <f t="shared" ref="AA44" si="250">IFERROR(Z44/$G44," ")</f>
        <v>1</v>
      </c>
      <c r="AB44" s="292"/>
      <c r="AC44" s="279">
        <f t="shared" si="201"/>
        <v>0</v>
      </c>
      <c r="AD44" s="279">
        <f t="shared" si="202"/>
        <v>7669.5</v>
      </c>
      <c r="AE44" s="279">
        <f t="shared" si="203"/>
        <v>7669.5</v>
      </c>
      <c r="AF44" s="279">
        <f t="shared" si="204"/>
        <v>7669.5</v>
      </c>
      <c r="AG44" s="279">
        <f t="shared" si="205"/>
        <v>7669.5</v>
      </c>
      <c r="AH44" s="279">
        <f t="shared" si="206"/>
        <v>7669.5</v>
      </c>
      <c r="AI44" s="279">
        <f t="shared" si="207"/>
        <v>7669.5</v>
      </c>
      <c r="AJ44" s="279">
        <f t="shared" si="208"/>
        <v>7669.5</v>
      </c>
    </row>
    <row r="45" spans="1:36" ht="28.5" x14ac:dyDescent="0.65">
      <c r="A45" s="203">
        <v>36</v>
      </c>
      <c r="B45" s="292" t="s">
        <v>1093</v>
      </c>
      <c r="C45" s="276" t="s">
        <v>107</v>
      </c>
      <c r="D45" s="292" t="s">
        <v>54</v>
      </c>
      <c r="E45" s="321">
        <f>IFERROR(VLOOKUP(A45,Estimate!A:Q,17,FALSE)," ")</f>
        <v>7870.62</v>
      </c>
      <c r="F45" s="299">
        <v>2791</v>
      </c>
      <c r="G45" s="299">
        <v>2791</v>
      </c>
      <c r="H45" s="298">
        <v>3.59</v>
      </c>
      <c r="I45" s="298">
        <v>10019.69</v>
      </c>
      <c r="J45" s="298">
        <v>10019.69</v>
      </c>
      <c r="K45" s="298"/>
      <c r="L45" s="299"/>
      <c r="M45" s="301">
        <f t="shared" si="8"/>
        <v>0</v>
      </c>
      <c r="N45" s="299"/>
      <c r="O45" s="301">
        <f t="shared" si="8"/>
        <v>0</v>
      </c>
      <c r="P45" s="299"/>
      <c r="Q45" s="301">
        <f t="shared" ref="Q45" si="251">IFERROR(P45/$G45," ")</f>
        <v>0</v>
      </c>
      <c r="R45" s="299"/>
      <c r="S45" s="301">
        <f t="shared" ref="S45" si="252">IFERROR(R45/$G45," ")</f>
        <v>0</v>
      </c>
      <c r="T45" s="299"/>
      <c r="U45" s="301">
        <f t="shared" ref="U45" si="253">IFERROR(T45/$G45," ")</f>
        <v>0</v>
      </c>
      <c r="V45" s="299"/>
      <c r="W45" s="301">
        <f t="shared" ref="W45" si="254">IFERROR(V45/$G45," ")</f>
        <v>0</v>
      </c>
      <c r="X45" s="299">
        <v>2791</v>
      </c>
      <c r="Y45" s="301">
        <f t="shared" ref="Y45" si="255">IFERROR(X45/$G45," ")</f>
        <v>1</v>
      </c>
      <c r="Z45" s="299">
        <v>2791</v>
      </c>
      <c r="AA45" s="301">
        <f t="shared" ref="AA45" si="256">IFERROR(Z45/$G45," ")</f>
        <v>1</v>
      </c>
      <c r="AB45" s="292"/>
      <c r="AC45" s="279">
        <f t="shared" si="201"/>
        <v>0</v>
      </c>
      <c r="AD45" s="279">
        <f t="shared" si="202"/>
        <v>0</v>
      </c>
      <c r="AE45" s="279">
        <f t="shared" si="203"/>
        <v>0</v>
      </c>
      <c r="AF45" s="279">
        <f t="shared" si="204"/>
        <v>0</v>
      </c>
      <c r="AG45" s="279">
        <f t="shared" si="205"/>
        <v>0</v>
      </c>
      <c r="AH45" s="279">
        <f t="shared" si="206"/>
        <v>0</v>
      </c>
      <c r="AI45" s="279">
        <f t="shared" si="207"/>
        <v>10019.69</v>
      </c>
      <c r="AJ45" s="279">
        <f t="shared" si="208"/>
        <v>10019.69</v>
      </c>
    </row>
    <row r="46" spans="1:36" x14ac:dyDescent="0.65">
      <c r="A46" s="203"/>
      <c r="B46" s="302" t="s">
        <v>1069</v>
      </c>
      <c r="C46" s="303" t="s">
        <v>1094</v>
      </c>
      <c r="D46" s="302" t="s">
        <v>451</v>
      </c>
      <c r="E46" s="326" t="str">
        <f>IFERROR(VLOOKUP(A46,Estimate!A:Q,17,FALSE)," ")</f>
        <v xml:space="preserve"> </v>
      </c>
      <c r="F46" s="305" t="s">
        <v>448</v>
      </c>
      <c r="G46" s="305" t="s">
        <v>448</v>
      </c>
      <c r="H46" s="304" t="s">
        <v>448</v>
      </c>
      <c r="I46" s="304">
        <v>192973.92</v>
      </c>
      <c r="J46" s="304" t="s">
        <v>448</v>
      </c>
      <c r="K46" s="304"/>
      <c r="L46" s="305" t="s">
        <v>448</v>
      </c>
      <c r="M46" s="301" t="str">
        <f t="shared" si="8"/>
        <v xml:space="preserve"> </v>
      </c>
      <c r="N46" s="305" t="s">
        <v>448</v>
      </c>
      <c r="O46" s="301" t="str">
        <f t="shared" si="8"/>
        <v xml:space="preserve"> </v>
      </c>
      <c r="P46" s="305" t="s">
        <v>448</v>
      </c>
      <c r="Q46" s="301" t="str">
        <f t="shared" ref="Q46" si="257">IFERROR(P46/$G46," ")</f>
        <v xml:space="preserve"> </v>
      </c>
      <c r="R46" s="305" t="s">
        <v>448</v>
      </c>
      <c r="S46" s="301" t="str">
        <f t="shared" ref="S46" si="258">IFERROR(R46/$G46," ")</f>
        <v xml:space="preserve"> </v>
      </c>
      <c r="T46" s="305" t="s">
        <v>448</v>
      </c>
      <c r="U46" s="301" t="str">
        <f t="shared" ref="U46" si="259">IFERROR(T46/$G46," ")</f>
        <v xml:space="preserve"> </v>
      </c>
      <c r="V46" s="305" t="s">
        <v>448</v>
      </c>
      <c r="W46" s="301" t="str">
        <f t="shared" ref="W46" si="260">IFERROR(V46/$G46," ")</f>
        <v xml:space="preserve"> </v>
      </c>
      <c r="X46" s="305" t="s">
        <v>448</v>
      </c>
      <c r="Y46" s="301" t="str">
        <f t="shared" ref="Y46" si="261">IFERROR(X46/$G46," ")</f>
        <v xml:space="preserve"> </v>
      </c>
      <c r="Z46" s="305" t="s">
        <v>448</v>
      </c>
      <c r="AA46" s="301" t="str">
        <f t="shared" ref="AA46" si="262">IFERROR(Z46/$G46," ")</f>
        <v xml:space="preserve"> </v>
      </c>
      <c r="AB46" s="292"/>
      <c r="AC46" s="279" t="str">
        <f t="shared" si="201"/>
        <v xml:space="preserve"> </v>
      </c>
      <c r="AD46" s="279" t="str">
        <f t="shared" si="202"/>
        <v xml:space="preserve"> </v>
      </c>
      <c r="AE46" s="279" t="str">
        <f t="shared" si="203"/>
        <v xml:space="preserve"> </v>
      </c>
      <c r="AF46" s="279" t="str">
        <f t="shared" si="204"/>
        <v xml:space="preserve"> </v>
      </c>
      <c r="AG46" s="279" t="str">
        <f t="shared" si="205"/>
        <v xml:space="preserve"> </v>
      </c>
      <c r="AH46" s="279" t="str">
        <f t="shared" si="206"/>
        <v xml:space="preserve"> </v>
      </c>
      <c r="AI46" s="279" t="str">
        <f t="shared" si="207"/>
        <v xml:space="preserve"> </v>
      </c>
      <c r="AJ46" s="279" t="str">
        <f t="shared" si="208"/>
        <v xml:space="preserve"> </v>
      </c>
    </row>
    <row r="47" spans="1:36" x14ac:dyDescent="0.65">
      <c r="A47" s="203"/>
      <c r="B47" s="292" t="s">
        <v>1069</v>
      </c>
      <c r="C47" s="276" t="s">
        <v>448</v>
      </c>
      <c r="D47" s="292" t="s">
        <v>451</v>
      </c>
      <c r="E47" s="321" t="str">
        <f>IFERROR(VLOOKUP(A47,Estimate!A:Q,17,FALSE)," ")</f>
        <v xml:space="preserve"> </v>
      </c>
      <c r="F47" s="299" t="s">
        <v>448</v>
      </c>
      <c r="G47" s="299" t="s">
        <v>448</v>
      </c>
      <c r="H47" s="298" t="s">
        <v>448</v>
      </c>
      <c r="I47" s="298" t="s">
        <v>448</v>
      </c>
      <c r="J47" s="298" t="s">
        <v>448</v>
      </c>
      <c r="K47" s="298"/>
      <c r="L47" s="299" t="s">
        <v>448</v>
      </c>
      <c r="M47" s="301" t="str">
        <f t="shared" si="8"/>
        <v xml:space="preserve"> </v>
      </c>
      <c r="N47" s="299" t="s">
        <v>448</v>
      </c>
      <c r="O47" s="301" t="str">
        <f t="shared" si="8"/>
        <v xml:space="preserve"> </v>
      </c>
      <c r="P47" s="299" t="s">
        <v>448</v>
      </c>
      <c r="Q47" s="301" t="str">
        <f t="shared" ref="Q47" si="263">IFERROR(P47/$G47," ")</f>
        <v xml:space="preserve"> </v>
      </c>
      <c r="R47" s="299" t="s">
        <v>448</v>
      </c>
      <c r="S47" s="301" t="str">
        <f t="shared" ref="S47" si="264">IFERROR(R47/$G47," ")</f>
        <v xml:space="preserve"> </v>
      </c>
      <c r="T47" s="299" t="s">
        <v>448</v>
      </c>
      <c r="U47" s="301" t="str">
        <f t="shared" ref="U47" si="265">IFERROR(T47/$G47," ")</f>
        <v xml:space="preserve"> </v>
      </c>
      <c r="V47" s="299" t="s">
        <v>448</v>
      </c>
      <c r="W47" s="301" t="str">
        <f t="shared" ref="W47" si="266">IFERROR(V47/$G47," ")</f>
        <v xml:space="preserve"> </v>
      </c>
      <c r="X47" s="299" t="s">
        <v>448</v>
      </c>
      <c r="Y47" s="301" t="str">
        <f t="shared" ref="Y47" si="267">IFERROR(X47/$G47," ")</f>
        <v xml:space="preserve"> </v>
      </c>
      <c r="Z47" s="299" t="s">
        <v>448</v>
      </c>
      <c r="AA47" s="301" t="str">
        <f t="shared" ref="AA47" si="268">IFERROR(Z47/$G47," ")</f>
        <v xml:space="preserve"> </v>
      </c>
      <c r="AB47" s="292"/>
      <c r="AC47" s="279" t="str">
        <f t="shared" si="201"/>
        <v xml:space="preserve"> </v>
      </c>
      <c r="AD47" s="279" t="str">
        <f t="shared" si="202"/>
        <v xml:space="preserve"> </v>
      </c>
      <c r="AE47" s="279" t="str">
        <f t="shared" si="203"/>
        <v xml:space="preserve"> </v>
      </c>
      <c r="AF47" s="279" t="str">
        <f t="shared" si="204"/>
        <v xml:space="preserve"> </v>
      </c>
      <c r="AG47" s="279" t="str">
        <f t="shared" si="205"/>
        <v xml:space="preserve"> </v>
      </c>
      <c r="AH47" s="279" t="str">
        <f t="shared" si="206"/>
        <v xml:space="preserve"> </v>
      </c>
      <c r="AI47" s="279" t="str">
        <f t="shared" si="207"/>
        <v xml:space="preserve"> </v>
      </c>
      <c r="AJ47" s="279" t="str">
        <f t="shared" si="208"/>
        <v xml:space="preserve"> </v>
      </c>
    </row>
    <row r="48" spans="1:36" x14ac:dyDescent="0.65">
      <c r="A48" s="203">
        <v>37</v>
      </c>
      <c r="B48" s="292">
        <v>4</v>
      </c>
      <c r="C48" s="276" t="s">
        <v>1095</v>
      </c>
      <c r="D48" s="292" t="s">
        <v>451</v>
      </c>
      <c r="E48" s="321"/>
      <c r="F48" s="299" t="s">
        <v>448</v>
      </c>
      <c r="G48" s="299" t="s">
        <v>448</v>
      </c>
      <c r="H48" s="298" t="s">
        <v>448</v>
      </c>
      <c r="I48" s="298" t="s">
        <v>448</v>
      </c>
      <c r="J48" s="298" t="s">
        <v>448</v>
      </c>
      <c r="K48" s="298"/>
      <c r="L48" s="299" t="s">
        <v>448</v>
      </c>
      <c r="M48" s="301" t="str">
        <f t="shared" si="8"/>
        <v xml:space="preserve"> </v>
      </c>
      <c r="N48" s="299" t="s">
        <v>448</v>
      </c>
      <c r="O48" s="301" t="str">
        <f t="shared" si="8"/>
        <v xml:space="preserve"> </v>
      </c>
      <c r="P48" s="299" t="s">
        <v>448</v>
      </c>
      <c r="Q48" s="301" t="str">
        <f t="shared" ref="Q48" si="269">IFERROR(P48/$G48," ")</f>
        <v xml:space="preserve"> </v>
      </c>
      <c r="R48" s="299" t="s">
        <v>448</v>
      </c>
      <c r="S48" s="301" t="str">
        <f t="shared" ref="S48" si="270">IFERROR(R48/$G48," ")</f>
        <v xml:space="preserve"> </v>
      </c>
      <c r="T48" s="299" t="s">
        <v>448</v>
      </c>
      <c r="U48" s="301" t="str">
        <f t="shared" ref="U48" si="271">IFERROR(T48/$G48," ")</f>
        <v xml:space="preserve"> </v>
      </c>
      <c r="V48" s="299" t="s">
        <v>448</v>
      </c>
      <c r="W48" s="301" t="str">
        <f t="shared" ref="W48" si="272">IFERROR(V48/$G48," ")</f>
        <v xml:space="preserve"> </v>
      </c>
      <c r="X48" s="299" t="s">
        <v>448</v>
      </c>
      <c r="Y48" s="301" t="str">
        <f t="shared" ref="Y48" si="273">IFERROR(X48/$G48," ")</f>
        <v xml:space="preserve"> </v>
      </c>
      <c r="Z48" s="299" t="s">
        <v>448</v>
      </c>
      <c r="AA48" s="301" t="str">
        <f t="shared" ref="AA48" si="274">IFERROR(Z48/$G48," ")</f>
        <v xml:space="preserve"> </v>
      </c>
      <c r="AB48" s="292"/>
      <c r="AC48" s="279" t="str">
        <f t="shared" si="201"/>
        <v xml:space="preserve"> </v>
      </c>
      <c r="AD48" s="279" t="str">
        <f t="shared" si="202"/>
        <v xml:space="preserve"> </v>
      </c>
      <c r="AE48" s="279" t="str">
        <f t="shared" si="203"/>
        <v xml:space="preserve"> </v>
      </c>
      <c r="AF48" s="279" t="str">
        <f t="shared" si="204"/>
        <v xml:space="preserve"> </v>
      </c>
      <c r="AG48" s="279" t="str">
        <f t="shared" si="205"/>
        <v xml:space="preserve"> </v>
      </c>
      <c r="AH48" s="279" t="str">
        <f t="shared" si="206"/>
        <v xml:space="preserve"> </v>
      </c>
      <c r="AI48" s="279" t="str">
        <f t="shared" si="207"/>
        <v xml:space="preserve"> </v>
      </c>
      <c r="AJ48" s="279" t="str">
        <f t="shared" si="208"/>
        <v xml:space="preserve"> </v>
      </c>
    </row>
    <row r="49" spans="1:36" ht="42.75" x14ac:dyDescent="0.65">
      <c r="A49" s="203">
        <v>38</v>
      </c>
      <c r="B49" s="292">
        <v>4.0999999999999996</v>
      </c>
      <c r="C49" s="276" t="s">
        <v>109</v>
      </c>
      <c r="D49" s="292" t="s">
        <v>54</v>
      </c>
      <c r="E49" s="321">
        <f>IFERROR(VLOOKUP(A49,Estimate!A:Q,17,FALSE)," ")</f>
        <v>40673.820317460311</v>
      </c>
      <c r="F49" s="299">
        <v>19963</v>
      </c>
      <c r="G49" s="299">
        <v>19963</v>
      </c>
      <c r="H49" s="298">
        <v>2.6</v>
      </c>
      <c r="I49" s="298">
        <v>51903.8</v>
      </c>
      <c r="J49" s="298">
        <v>51903.8</v>
      </c>
      <c r="K49" s="298"/>
      <c r="L49" s="299"/>
      <c r="M49" s="301">
        <f t="shared" si="8"/>
        <v>0</v>
      </c>
      <c r="N49" s="299">
        <v>2350</v>
      </c>
      <c r="O49" s="301">
        <f t="shared" si="8"/>
        <v>0.11771777788909482</v>
      </c>
      <c r="P49" s="299">
        <v>6810</v>
      </c>
      <c r="Q49" s="301">
        <f t="shared" ref="Q49" si="275">IFERROR(P49/$G49," ")</f>
        <v>0.34113109252116414</v>
      </c>
      <c r="R49" s="299">
        <v>7950</v>
      </c>
      <c r="S49" s="301">
        <f t="shared" ref="S49" si="276">IFERROR(R49/$G49," ")</f>
        <v>0.39823673796523568</v>
      </c>
      <c r="T49" s="299">
        <v>19963</v>
      </c>
      <c r="U49" s="301">
        <f t="shared" ref="U49" si="277">IFERROR(T49/$G49," ")</f>
        <v>1</v>
      </c>
      <c r="V49" s="299">
        <v>19963</v>
      </c>
      <c r="W49" s="301">
        <f t="shared" ref="W49" si="278">IFERROR(V49/$G49," ")</f>
        <v>1</v>
      </c>
      <c r="X49" s="299">
        <v>19963</v>
      </c>
      <c r="Y49" s="301">
        <f t="shared" ref="Y49" si="279">IFERROR(X49/$G49," ")</f>
        <v>1</v>
      </c>
      <c r="Z49" s="299">
        <v>19963</v>
      </c>
      <c r="AA49" s="301">
        <f t="shared" ref="AA49" si="280">IFERROR(Z49/$G49," ")</f>
        <v>1</v>
      </c>
      <c r="AB49" s="292"/>
      <c r="AC49" s="279">
        <f t="shared" si="201"/>
        <v>0</v>
      </c>
      <c r="AD49" s="279">
        <f t="shared" si="202"/>
        <v>6110</v>
      </c>
      <c r="AE49" s="279">
        <f t="shared" si="203"/>
        <v>17706</v>
      </c>
      <c r="AF49" s="279">
        <f t="shared" si="204"/>
        <v>20670</v>
      </c>
      <c r="AG49" s="279">
        <f t="shared" si="205"/>
        <v>51903.8</v>
      </c>
      <c r="AH49" s="279">
        <f t="shared" si="206"/>
        <v>51903.8</v>
      </c>
      <c r="AI49" s="279">
        <f t="shared" si="207"/>
        <v>51903.8</v>
      </c>
      <c r="AJ49" s="279">
        <f t="shared" si="208"/>
        <v>51903.8</v>
      </c>
    </row>
    <row r="50" spans="1:36" x14ac:dyDescent="0.65">
      <c r="A50" s="203"/>
      <c r="B50" s="292" t="s">
        <v>1069</v>
      </c>
      <c r="C50" s="276" t="s">
        <v>448</v>
      </c>
      <c r="D50" s="292" t="s">
        <v>451</v>
      </c>
      <c r="E50" s="321" t="str">
        <f>IFERROR(VLOOKUP(A50,Estimate!A:Q,17,FALSE)," ")</f>
        <v xml:space="preserve"> </v>
      </c>
      <c r="F50" s="299" t="s">
        <v>448</v>
      </c>
      <c r="G50" s="299" t="s">
        <v>448</v>
      </c>
      <c r="H50" s="298" t="s">
        <v>448</v>
      </c>
      <c r="I50" s="298" t="s">
        <v>448</v>
      </c>
      <c r="J50" s="298" t="s">
        <v>448</v>
      </c>
      <c r="K50" s="298"/>
      <c r="L50" s="299" t="s">
        <v>448</v>
      </c>
      <c r="M50" s="301" t="str">
        <f t="shared" si="8"/>
        <v xml:space="preserve"> </v>
      </c>
      <c r="N50" s="299" t="s">
        <v>448</v>
      </c>
      <c r="O50" s="301" t="str">
        <f t="shared" si="8"/>
        <v xml:space="preserve"> </v>
      </c>
      <c r="P50" s="299" t="s">
        <v>448</v>
      </c>
      <c r="Q50" s="301" t="str">
        <f t="shared" ref="Q50" si="281">IFERROR(P50/$G50," ")</f>
        <v xml:space="preserve"> </v>
      </c>
      <c r="R50" s="299" t="s">
        <v>448</v>
      </c>
      <c r="S50" s="301" t="str">
        <f t="shared" ref="S50" si="282">IFERROR(R50/$G50," ")</f>
        <v xml:space="preserve"> </v>
      </c>
      <c r="T50" s="299" t="s">
        <v>448</v>
      </c>
      <c r="U50" s="301" t="str">
        <f t="shared" ref="U50" si="283">IFERROR(T50/$G50," ")</f>
        <v xml:space="preserve"> </v>
      </c>
      <c r="V50" s="299" t="s">
        <v>448</v>
      </c>
      <c r="W50" s="301" t="str">
        <f t="shared" ref="W50" si="284">IFERROR(V50/$G50," ")</f>
        <v xml:space="preserve"> </v>
      </c>
      <c r="X50" s="299" t="s">
        <v>448</v>
      </c>
      <c r="Y50" s="301" t="str">
        <f t="shared" ref="Y50" si="285">IFERROR(X50/$G50," ")</f>
        <v xml:space="preserve"> </v>
      </c>
      <c r="Z50" s="299" t="s">
        <v>448</v>
      </c>
      <c r="AA50" s="301" t="str">
        <f t="shared" ref="AA50" si="286">IFERROR(Z50/$G50," ")</f>
        <v xml:space="preserve"> </v>
      </c>
      <c r="AB50" s="292"/>
      <c r="AC50" s="279" t="str">
        <f t="shared" si="201"/>
        <v xml:space="preserve"> </v>
      </c>
      <c r="AD50" s="279" t="str">
        <f t="shared" si="202"/>
        <v xml:space="preserve"> </v>
      </c>
      <c r="AE50" s="279" t="str">
        <f t="shared" si="203"/>
        <v xml:space="preserve"> </v>
      </c>
      <c r="AF50" s="279" t="str">
        <f t="shared" si="204"/>
        <v xml:space="preserve"> </v>
      </c>
      <c r="AG50" s="279" t="str">
        <f t="shared" si="205"/>
        <v xml:space="preserve"> </v>
      </c>
      <c r="AH50" s="279" t="str">
        <f t="shared" si="206"/>
        <v xml:space="preserve"> </v>
      </c>
      <c r="AI50" s="279" t="str">
        <f t="shared" si="207"/>
        <v xml:space="preserve"> </v>
      </c>
      <c r="AJ50" s="279" t="str">
        <f t="shared" si="208"/>
        <v xml:space="preserve"> </v>
      </c>
    </row>
    <row r="51" spans="1:36" x14ac:dyDescent="0.65">
      <c r="A51" s="203"/>
      <c r="B51" s="292">
        <v>4.2</v>
      </c>
      <c r="C51" s="276" t="s">
        <v>1096</v>
      </c>
      <c r="D51" s="292" t="s">
        <v>451</v>
      </c>
      <c r="E51" s="321" t="str">
        <f>IFERROR(VLOOKUP(A51,Estimate!A:Q,17,FALSE)," ")</f>
        <v xml:space="preserve"> </v>
      </c>
      <c r="F51" s="299" t="s">
        <v>448</v>
      </c>
      <c r="G51" s="299" t="s">
        <v>448</v>
      </c>
      <c r="H51" s="298" t="s">
        <v>448</v>
      </c>
      <c r="I51" s="298" t="s">
        <v>448</v>
      </c>
      <c r="J51" s="298" t="s">
        <v>448</v>
      </c>
      <c r="K51" s="298"/>
      <c r="L51" s="299" t="s">
        <v>448</v>
      </c>
      <c r="M51" s="301" t="str">
        <f t="shared" si="8"/>
        <v xml:space="preserve"> </v>
      </c>
      <c r="N51" s="299" t="s">
        <v>448</v>
      </c>
      <c r="O51" s="301" t="str">
        <f t="shared" si="8"/>
        <v xml:space="preserve"> </v>
      </c>
      <c r="P51" s="299" t="s">
        <v>448</v>
      </c>
      <c r="Q51" s="301" t="str">
        <f t="shared" ref="Q51" si="287">IFERROR(P51/$G51," ")</f>
        <v xml:space="preserve"> </v>
      </c>
      <c r="R51" s="299" t="s">
        <v>448</v>
      </c>
      <c r="S51" s="301" t="str">
        <f t="shared" ref="S51" si="288">IFERROR(R51/$G51," ")</f>
        <v xml:space="preserve"> </v>
      </c>
      <c r="T51" s="299" t="s">
        <v>448</v>
      </c>
      <c r="U51" s="301" t="str">
        <f t="shared" ref="U51" si="289">IFERROR(T51/$G51," ")</f>
        <v xml:space="preserve"> </v>
      </c>
      <c r="V51" s="299" t="s">
        <v>448</v>
      </c>
      <c r="W51" s="301" t="str">
        <f t="shared" ref="W51" si="290">IFERROR(V51/$G51," ")</f>
        <v xml:space="preserve"> </v>
      </c>
      <c r="X51" s="299" t="s">
        <v>448</v>
      </c>
      <c r="Y51" s="301" t="str">
        <f t="shared" ref="Y51" si="291">IFERROR(X51/$G51," ")</f>
        <v xml:space="preserve"> </v>
      </c>
      <c r="Z51" s="299" t="s">
        <v>448</v>
      </c>
      <c r="AA51" s="301" t="str">
        <f t="shared" ref="AA51" si="292">IFERROR(Z51/$G51," ")</f>
        <v xml:space="preserve"> </v>
      </c>
      <c r="AB51" s="292"/>
      <c r="AC51" s="279" t="str">
        <f t="shared" si="201"/>
        <v xml:space="preserve"> </v>
      </c>
      <c r="AD51" s="279" t="str">
        <f t="shared" si="202"/>
        <v xml:space="preserve"> </v>
      </c>
      <c r="AE51" s="279" t="str">
        <f t="shared" si="203"/>
        <v xml:space="preserve"> </v>
      </c>
      <c r="AF51" s="279" t="str">
        <f t="shared" si="204"/>
        <v xml:space="preserve"> </v>
      </c>
      <c r="AG51" s="279" t="str">
        <f t="shared" si="205"/>
        <v xml:space="preserve"> </v>
      </c>
      <c r="AH51" s="279" t="str">
        <f t="shared" si="206"/>
        <v xml:space="preserve"> </v>
      </c>
      <c r="AI51" s="279" t="str">
        <f t="shared" si="207"/>
        <v xml:space="preserve"> </v>
      </c>
      <c r="AJ51" s="279" t="str">
        <f t="shared" si="208"/>
        <v xml:space="preserve"> </v>
      </c>
    </row>
    <row r="52" spans="1:36" ht="42.75" x14ac:dyDescent="0.65">
      <c r="A52" s="203"/>
      <c r="B52" s="292" t="s">
        <v>1069</v>
      </c>
      <c r="C52" s="276" t="s">
        <v>1097</v>
      </c>
      <c r="D52" s="292" t="s">
        <v>451</v>
      </c>
      <c r="E52" s="321" t="str">
        <f>IFERROR(VLOOKUP(A52,Estimate!A:Q,17,FALSE)," ")</f>
        <v xml:space="preserve"> </v>
      </c>
      <c r="F52" s="299" t="s">
        <v>448</v>
      </c>
      <c r="G52" s="299" t="s">
        <v>448</v>
      </c>
      <c r="H52" s="298" t="s">
        <v>448</v>
      </c>
      <c r="I52" s="298" t="s">
        <v>448</v>
      </c>
      <c r="J52" s="298" t="s">
        <v>448</v>
      </c>
      <c r="K52" s="298"/>
      <c r="L52" s="299" t="s">
        <v>448</v>
      </c>
      <c r="M52" s="301" t="str">
        <f t="shared" si="8"/>
        <v xml:space="preserve"> </v>
      </c>
      <c r="N52" s="299" t="s">
        <v>448</v>
      </c>
      <c r="O52" s="301" t="str">
        <f t="shared" si="8"/>
        <v xml:space="preserve"> </v>
      </c>
      <c r="P52" s="299" t="s">
        <v>448</v>
      </c>
      <c r="Q52" s="301" t="str">
        <f t="shared" ref="Q52" si="293">IFERROR(P52/$G52," ")</f>
        <v xml:space="preserve"> </v>
      </c>
      <c r="R52" s="299" t="s">
        <v>448</v>
      </c>
      <c r="S52" s="301" t="str">
        <f t="shared" ref="S52" si="294">IFERROR(R52/$G52," ")</f>
        <v xml:space="preserve"> </v>
      </c>
      <c r="T52" s="299" t="s">
        <v>448</v>
      </c>
      <c r="U52" s="301" t="str">
        <f t="shared" ref="U52" si="295">IFERROR(T52/$G52," ")</f>
        <v xml:space="preserve"> </v>
      </c>
      <c r="V52" s="299" t="s">
        <v>448</v>
      </c>
      <c r="W52" s="301" t="str">
        <f t="shared" ref="W52" si="296">IFERROR(V52/$G52," ")</f>
        <v xml:space="preserve"> </v>
      </c>
      <c r="X52" s="299" t="s">
        <v>448</v>
      </c>
      <c r="Y52" s="301" t="str">
        <f t="shared" ref="Y52" si="297">IFERROR(X52/$G52," ")</f>
        <v xml:space="preserve"> </v>
      </c>
      <c r="Z52" s="299" t="s">
        <v>448</v>
      </c>
      <c r="AA52" s="301" t="str">
        <f t="shared" ref="AA52" si="298">IFERROR(Z52/$G52," ")</f>
        <v xml:space="preserve"> </v>
      </c>
      <c r="AB52" s="292"/>
      <c r="AC52" s="279" t="str">
        <f t="shared" si="201"/>
        <v xml:space="preserve"> </v>
      </c>
      <c r="AD52" s="279" t="str">
        <f t="shared" si="202"/>
        <v xml:space="preserve"> </v>
      </c>
      <c r="AE52" s="279" t="str">
        <f t="shared" si="203"/>
        <v xml:space="preserve"> </v>
      </c>
      <c r="AF52" s="279" t="str">
        <f t="shared" si="204"/>
        <v xml:space="preserve"> </v>
      </c>
      <c r="AG52" s="279" t="str">
        <f t="shared" si="205"/>
        <v xml:space="preserve"> </v>
      </c>
      <c r="AH52" s="279" t="str">
        <f t="shared" si="206"/>
        <v xml:space="preserve"> </v>
      </c>
      <c r="AI52" s="279" t="str">
        <f t="shared" si="207"/>
        <v xml:space="preserve"> </v>
      </c>
      <c r="AJ52" s="279" t="str">
        <f t="shared" si="208"/>
        <v xml:space="preserve"> </v>
      </c>
    </row>
    <row r="53" spans="1:36" x14ac:dyDescent="0.65">
      <c r="A53" s="203">
        <v>39</v>
      </c>
      <c r="B53" s="292" t="s">
        <v>1098</v>
      </c>
      <c r="C53" s="276" t="s">
        <v>621</v>
      </c>
      <c r="D53" s="292" t="s">
        <v>451</v>
      </c>
      <c r="E53" s="321"/>
      <c r="F53" s="299" t="s">
        <v>448</v>
      </c>
      <c r="G53" s="299" t="s">
        <v>448</v>
      </c>
      <c r="H53" s="298" t="s">
        <v>448</v>
      </c>
      <c r="I53" s="298" t="s">
        <v>448</v>
      </c>
      <c r="J53" s="298" t="s">
        <v>448</v>
      </c>
      <c r="K53" s="298"/>
      <c r="L53" s="299" t="s">
        <v>448</v>
      </c>
      <c r="M53" s="301" t="str">
        <f t="shared" si="8"/>
        <v xml:space="preserve"> </v>
      </c>
      <c r="N53" s="299" t="s">
        <v>448</v>
      </c>
      <c r="O53" s="301" t="str">
        <f t="shared" si="8"/>
        <v xml:space="preserve"> </v>
      </c>
      <c r="P53" s="299" t="s">
        <v>448</v>
      </c>
      <c r="Q53" s="301" t="str">
        <f t="shared" ref="Q53" si="299">IFERROR(P53/$G53," ")</f>
        <v xml:space="preserve"> </v>
      </c>
      <c r="R53" s="299" t="s">
        <v>448</v>
      </c>
      <c r="S53" s="301" t="str">
        <f t="shared" ref="S53" si="300">IFERROR(R53/$G53," ")</f>
        <v xml:space="preserve"> </v>
      </c>
      <c r="T53" s="299" t="s">
        <v>448</v>
      </c>
      <c r="U53" s="301" t="str">
        <f t="shared" ref="U53" si="301">IFERROR(T53/$G53," ")</f>
        <v xml:space="preserve"> </v>
      </c>
      <c r="V53" s="299" t="s">
        <v>448</v>
      </c>
      <c r="W53" s="301" t="str">
        <f t="shared" ref="W53" si="302">IFERROR(V53/$G53," ")</f>
        <v xml:space="preserve"> </v>
      </c>
      <c r="X53" s="299" t="s">
        <v>448</v>
      </c>
      <c r="Y53" s="301" t="str">
        <f t="shared" ref="Y53" si="303">IFERROR(X53/$G53," ")</f>
        <v xml:space="preserve"> </v>
      </c>
      <c r="Z53" s="299" t="s">
        <v>448</v>
      </c>
      <c r="AA53" s="301" t="str">
        <f t="shared" ref="AA53" si="304">IFERROR(Z53/$G53," ")</f>
        <v xml:space="preserve"> </v>
      </c>
      <c r="AB53" s="292"/>
      <c r="AC53" s="279" t="str">
        <f t="shared" si="201"/>
        <v xml:space="preserve"> </v>
      </c>
      <c r="AD53" s="279" t="str">
        <f t="shared" si="202"/>
        <v xml:space="preserve"> </v>
      </c>
      <c r="AE53" s="279" t="str">
        <f t="shared" si="203"/>
        <v xml:space="preserve"> </v>
      </c>
      <c r="AF53" s="279" t="str">
        <f t="shared" si="204"/>
        <v xml:space="preserve"> </v>
      </c>
      <c r="AG53" s="279" t="str">
        <f t="shared" si="205"/>
        <v xml:space="preserve"> </v>
      </c>
      <c r="AH53" s="279" t="str">
        <f t="shared" si="206"/>
        <v xml:space="preserve"> </v>
      </c>
      <c r="AI53" s="279" t="str">
        <f t="shared" si="207"/>
        <v xml:space="preserve"> </v>
      </c>
      <c r="AJ53" s="279" t="str">
        <f t="shared" si="208"/>
        <v xml:space="preserve"> </v>
      </c>
    </row>
    <row r="54" spans="1:36" x14ac:dyDescent="0.65">
      <c r="A54" s="203">
        <v>40</v>
      </c>
      <c r="B54" s="292" t="s">
        <v>1099</v>
      </c>
      <c r="C54" s="276" t="s">
        <v>112</v>
      </c>
      <c r="D54" s="292" t="s">
        <v>88</v>
      </c>
      <c r="E54" s="321">
        <f>IFERROR(VLOOKUP(A54,Estimate!A:Q,17,FALSE)," ")</f>
        <v>34918.480024985642</v>
      </c>
      <c r="F54" s="299">
        <v>555</v>
      </c>
      <c r="G54" s="299">
        <v>555</v>
      </c>
      <c r="H54" s="298">
        <v>80.17</v>
      </c>
      <c r="I54" s="298">
        <v>44494.35</v>
      </c>
      <c r="J54" s="298">
        <v>44494.35</v>
      </c>
      <c r="K54" s="298"/>
      <c r="L54" s="299"/>
      <c r="M54" s="301">
        <f t="shared" si="8"/>
        <v>0</v>
      </c>
      <c r="N54" s="299"/>
      <c r="O54" s="301">
        <f t="shared" si="8"/>
        <v>0</v>
      </c>
      <c r="P54" s="299"/>
      <c r="Q54" s="301">
        <f t="shared" ref="Q54" si="305">IFERROR(P54/$G54," ")</f>
        <v>0</v>
      </c>
      <c r="R54" s="299">
        <v>399</v>
      </c>
      <c r="S54" s="301">
        <f t="shared" ref="S54" si="306">IFERROR(R54/$G54," ")</f>
        <v>0.7189189189189189</v>
      </c>
      <c r="T54" s="299">
        <v>555</v>
      </c>
      <c r="U54" s="301">
        <f t="shared" ref="U54" si="307">IFERROR(T54/$G54," ")</f>
        <v>1</v>
      </c>
      <c r="V54" s="299">
        <v>555</v>
      </c>
      <c r="W54" s="301">
        <f t="shared" ref="W54" si="308">IFERROR(V54/$G54," ")</f>
        <v>1</v>
      </c>
      <c r="X54" s="299">
        <v>555</v>
      </c>
      <c r="Y54" s="301">
        <f t="shared" ref="Y54" si="309">IFERROR(X54/$G54," ")</f>
        <v>1</v>
      </c>
      <c r="Z54" s="299">
        <v>555</v>
      </c>
      <c r="AA54" s="301">
        <f t="shared" ref="AA54" si="310">IFERROR(Z54/$G54," ")</f>
        <v>1</v>
      </c>
      <c r="AB54" s="292"/>
      <c r="AC54" s="279">
        <f t="shared" si="201"/>
        <v>0</v>
      </c>
      <c r="AD54" s="279">
        <f t="shared" si="202"/>
        <v>0</v>
      </c>
      <c r="AE54" s="279">
        <f t="shared" si="203"/>
        <v>0</v>
      </c>
      <c r="AF54" s="279">
        <f t="shared" si="204"/>
        <v>31987.829999999998</v>
      </c>
      <c r="AG54" s="279">
        <f t="shared" si="205"/>
        <v>44494.35</v>
      </c>
      <c r="AH54" s="279">
        <f t="shared" si="206"/>
        <v>44494.35</v>
      </c>
      <c r="AI54" s="279">
        <f t="shared" si="207"/>
        <v>44494.35</v>
      </c>
      <c r="AJ54" s="279">
        <f t="shared" si="208"/>
        <v>44494.35</v>
      </c>
    </row>
    <row r="55" spans="1:36" x14ac:dyDescent="0.65">
      <c r="A55" s="203">
        <v>41</v>
      </c>
      <c r="B55" s="292" t="s">
        <v>1100</v>
      </c>
      <c r="C55" s="276" t="s">
        <v>114</v>
      </c>
      <c r="D55" s="292" t="s">
        <v>88</v>
      </c>
      <c r="E55" s="321">
        <f>IFERROR(VLOOKUP(A55,Estimate!A:Q,17,FALSE)," ")</f>
        <v>27152.234019988515</v>
      </c>
      <c r="F55" s="299">
        <v>444</v>
      </c>
      <c r="G55" s="299">
        <v>444</v>
      </c>
      <c r="H55" s="298">
        <v>77.92</v>
      </c>
      <c r="I55" s="298">
        <v>34596.480000000003</v>
      </c>
      <c r="J55" s="298">
        <v>34596.480000000003</v>
      </c>
      <c r="K55" s="298"/>
      <c r="L55" s="299"/>
      <c r="M55" s="301">
        <f t="shared" si="8"/>
        <v>0</v>
      </c>
      <c r="N55" s="299"/>
      <c r="O55" s="301">
        <f t="shared" si="8"/>
        <v>0</v>
      </c>
      <c r="P55" s="299">
        <v>193</v>
      </c>
      <c r="Q55" s="301">
        <f t="shared" ref="Q55" si="311">IFERROR(P55/$G55," ")</f>
        <v>0.43468468468468469</v>
      </c>
      <c r="R55" s="299">
        <v>319</v>
      </c>
      <c r="S55" s="301">
        <f t="shared" ref="S55" si="312">IFERROR(R55/$G55," ")</f>
        <v>0.71846846846846846</v>
      </c>
      <c r="T55" s="299">
        <v>444</v>
      </c>
      <c r="U55" s="301">
        <f t="shared" ref="U55" si="313">IFERROR(T55/$G55," ")</f>
        <v>1</v>
      </c>
      <c r="V55" s="299">
        <v>444</v>
      </c>
      <c r="W55" s="301">
        <f t="shared" ref="W55" si="314">IFERROR(V55/$G55," ")</f>
        <v>1</v>
      </c>
      <c r="X55" s="299">
        <v>444</v>
      </c>
      <c r="Y55" s="301">
        <f t="shared" ref="Y55" si="315">IFERROR(X55/$G55," ")</f>
        <v>1</v>
      </c>
      <c r="Z55" s="299">
        <v>444</v>
      </c>
      <c r="AA55" s="301">
        <f t="shared" ref="AA55" si="316">IFERROR(Z55/$G55," ")</f>
        <v>1</v>
      </c>
      <c r="AB55" s="292"/>
      <c r="AC55" s="279">
        <f t="shared" si="201"/>
        <v>0</v>
      </c>
      <c r="AD55" s="279">
        <f t="shared" si="202"/>
        <v>0</v>
      </c>
      <c r="AE55" s="279">
        <f t="shared" si="203"/>
        <v>15038.560000000001</v>
      </c>
      <c r="AF55" s="279">
        <f t="shared" si="204"/>
        <v>24856.480000000003</v>
      </c>
      <c r="AG55" s="279">
        <f t="shared" si="205"/>
        <v>34596.480000000003</v>
      </c>
      <c r="AH55" s="279">
        <f t="shared" si="206"/>
        <v>34596.480000000003</v>
      </c>
      <c r="AI55" s="279">
        <f t="shared" si="207"/>
        <v>34596.480000000003</v>
      </c>
      <c r="AJ55" s="279">
        <f t="shared" si="208"/>
        <v>34596.480000000003</v>
      </c>
    </row>
    <row r="56" spans="1:36" x14ac:dyDescent="0.65">
      <c r="A56" s="203">
        <v>42</v>
      </c>
      <c r="B56" s="292" t="s">
        <v>1101</v>
      </c>
      <c r="C56" s="276" t="s">
        <v>622</v>
      </c>
      <c r="D56" s="292" t="s">
        <v>451</v>
      </c>
      <c r="E56" s="321"/>
      <c r="F56" s="299" t="s">
        <v>448</v>
      </c>
      <c r="G56" s="299" t="s">
        <v>448</v>
      </c>
      <c r="H56" s="298" t="s">
        <v>448</v>
      </c>
      <c r="I56" s="298" t="s">
        <v>448</v>
      </c>
      <c r="J56" s="298" t="s">
        <v>448</v>
      </c>
      <c r="K56" s="298"/>
      <c r="L56" s="299" t="s">
        <v>448</v>
      </c>
      <c r="M56" s="301" t="str">
        <f t="shared" si="8"/>
        <v xml:space="preserve"> </v>
      </c>
      <c r="N56" s="299" t="s">
        <v>448</v>
      </c>
      <c r="O56" s="301" t="str">
        <f t="shared" si="8"/>
        <v xml:space="preserve"> </v>
      </c>
      <c r="P56" s="299" t="s">
        <v>448</v>
      </c>
      <c r="Q56" s="301" t="str">
        <f t="shared" ref="Q56" si="317">IFERROR(P56/$G56," ")</f>
        <v xml:space="preserve"> </v>
      </c>
      <c r="R56" s="299" t="s">
        <v>448</v>
      </c>
      <c r="S56" s="301" t="str">
        <f t="shared" ref="S56" si="318">IFERROR(R56/$G56," ")</f>
        <v xml:space="preserve"> </v>
      </c>
      <c r="T56" s="299" t="s">
        <v>448</v>
      </c>
      <c r="U56" s="301" t="str">
        <f t="shared" ref="U56" si="319">IFERROR(T56/$G56," ")</f>
        <v xml:space="preserve"> </v>
      </c>
      <c r="V56" s="299" t="s">
        <v>448</v>
      </c>
      <c r="W56" s="301" t="str">
        <f t="shared" ref="W56" si="320">IFERROR(V56/$G56," ")</f>
        <v xml:space="preserve"> </v>
      </c>
      <c r="X56" s="299" t="s">
        <v>448</v>
      </c>
      <c r="Y56" s="301" t="str">
        <f t="shared" ref="Y56" si="321">IFERROR(X56/$G56," ")</f>
        <v xml:space="preserve"> </v>
      </c>
      <c r="Z56" s="299" t="s">
        <v>448</v>
      </c>
      <c r="AA56" s="301" t="str">
        <f t="shared" ref="AA56" si="322">IFERROR(Z56/$G56," ")</f>
        <v xml:space="preserve"> </v>
      </c>
      <c r="AB56" s="292"/>
      <c r="AC56" s="279" t="str">
        <f t="shared" si="201"/>
        <v xml:space="preserve"> </v>
      </c>
      <c r="AD56" s="279" t="str">
        <f t="shared" si="202"/>
        <v xml:space="preserve"> </v>
      </c>
      <c r="AE56" s="279" t="str">
        <f t="shared" si="203"/>
        <v xml:space="preserve"> </v>
      </c>
      <c r="AF56" s="279" t="str">
        <f t="shared" si="204"/>
        <v xml:space="preserve"> </v>
      </c>
      <c r="AG56" s="279" t="str">
        <f t="shared" si="205"/>
        <v xml:space="preserve"> </v>
      </c>
      <c r="AH56" s="279" t="str">
        <f t="shared" si="206"/>
        <v xml:space="preserve"> </v>
      </c>
      <c r="AI56" s="279" t="str">
        <f t="shared" si="207"/>
        <v xml:space="preserve"> </v>
      </c>
      <c r="AJ56" s="279" t="str">
        <f t="shared" si="208"/>
        <v xml:space="preserve"> </v>
      </c>
    </row>
    <row r="57" spans="1:36" x14ac:dyDescent="0.65">
      <c r="A57" s="203">
        <v>43</v>
      </c>
      <c r="B57" s="292" t="s">
        <v>1102</v>
      </c>
      <c r="C57" s="276" t="s">
        <v>112</v>
      </c>
      <c r="D57" s="292" t="s">
        <v>88</v>
      </c>
      <c r="E57" s="321">
        <f>IFERROR(VLOOKUP(A57,Estimate!A:Q,17,FALSE)," ")</f>
        <v>2390.8148485575757</v>
      </c>
      <c r="F57" s="299">
        <v>38</v>
      </c>
      <c r="G57" s="299">
        <v>38</v>
      </c>
      <c r="H57" s="298">
        <v>80.17</v>
      </c>
      <c r="I57" s="298">
        <v>3046.46</v>
      </c>
      <c r="J57" s="298">
        <v>3046.46</v>
      </c>
      <c r="K57" s="298"/>
      <c r="L57" s="299"/>
      <c r="M57" s="301">
        <f t="shared" si="8"/>
        <v>0</v>
      </c>
      <c r="N57" s="299"/>
      <c r="O57" s="301">
        <f t="shared" si="8"/>
        <v>0</v>
      </c>
      <c r="P57" s="299"/>
      <c r="Q57" s="301">
        <f t="shared" ref="Q57" si="323">IFERROR(P57/$G57," ")</f>
        <v>0</v>
      </c>
      <c r="R57" s="299">
        <v>38</v>
      </c>
      <c r="S57" s="301">
        <f t="shared" ref="S57" si="324">IFERROR(R57/$G57," ")</f>
        <v>1</v>
      </c>
      <c r="T57" s="299">
        <v>38</v>
      </c>
      <c r="U57" s="301">
        <f t="shared" ref="U57" si="325">IFERROR(T57/$G57," ")</f>
        <v>1</v>
      </c>
      <c r="V57" s="299">
        <v>38</v>
      </c>
      <c r="W57" s="301">
        <f t="shared" ref="W57" si="326">IFERROR(V57/$G57," ")</f>
        <v>1</v>
      </c>
      <c r="X57" s="299">
        <v>38</v>
      </c>
      <c r="Y57" s="301">
        <f t="shared" ref="Y57" si="327">IFERROR(X57/$G57," ")</f>
        <v>1</v>
      </c>
      <c r="Z57" s="299">
        <v>38</v>
      </c>
      <c r="AA57" s="301">
        <f t="shared" ref="AA57" si="328">IFERROR(Z57/$G57," ")</f>
        <v>1</v>
      </c>
      <c r="AB57" s="292"/>
      <c r="AC57" s="279">
        <f t="shared" si="201"/>
        <v>0</v>
      </c>
      <c r="AD57" s="279">
        <f t="shared" si="202"/>
        <v>0</v>
      </c>
      <c r="AE57" s="279">
        <f t="shared" si="203"/>
        <v>0</v>
      </c>
      <c r="AF57" s="279">
        <f t="shared" si="204"/>
        <v>3046.46</v>
      </c>
      <c r="AG57" s="279">
        <f t="shared" si="205"/>
        <v>3046.46</v>
      </c>
      <c r="AH57" s="279">
        <f t="shared" si="206"/>
        <v>3046.46</v>
      </c>
      <c r="AI57" s="279">
        <f t="shared" si="207"/>
        <v>3046.46</v>
      </c>
      <c r="AJ57" s="279">
        <f t="shared" si="208"/>
        <v>3046.46</v>
      </c>
    </row>
    <row r="58" spans="1:36" x14ac:dyDescent="0.65">
      <c r="A58" s="203">
        <v>44</v>
      </c>
      <c r="B58" s="292" t="s">
        <v>1103</v>
      </c>
      <c r="C58" s="276" t="s">
        <v>114</v>
      </c>
      <c r="D58" s="292" t="s">
        <v>88</v>
      </c>
      <c r="E58" s="321">
        <f>IFERROR(VLOOKUP(A58,Estimate!A:Q,17,FALSE)," ")</f>
        <v>1895.7640869811803</v>
      </c>
      <c r="F58" s="299">
        <v>31</v>
      </c>
      <c r="G58" s="299">
        <v>31</v>
      </c>
      <c r="H58" s="298">
        <v>77.92</v>
      </c>
      <c r="I58" s="298">
        <v>2415.52</v>
      </c>
      <c r="J58" s="298">
        <v>2415.52</v>
      </c>
      <c r="K58" s="298"/>
      <c r="L58" s="299"/>
      <c r="M58" s="301">
        <f t="shared" si="8"/>
        <v>0</v>
      </c>
      <c r="N58" s="299"/>
      <c r="O58" s="301">
        <f t="shared" si="8"/>
        <v>0</v>
      </c>
      <c r="P58" s="299"/>
      <c r="Q58" s="301">
        <f t="shared" ref="Q58" si="329">IFERROR(P58/$G58," ")</f>
        <v>0</v>
      </c>
      <c r="R58" s="299">
        <v>31</v>
      </c>
      <c r="S58" s="301">
        <f t="shared" ref="S58" si="330">IFERROR(R58/$G58," ")</f>
        <v>1</v>
      </c>
      <c r="T58" s="299">
        <v>31</v>
      </c>
      <c r="U58" s="301">
        <f t="shared" ref="U58" si="331">IFERROR(T58/$G58," ")</f>
        <v>1</v>
      </c>
      <c r="V58" s="299">
        <v>31</v>
      </c>
      <c r="W58" s="301">
        <f t="shared" ref="W58" si="332">IFERROR(V58/$G58," ")</f>
        <v>1</v>
      </c>
      <c r="X58" s="299">
        <v>31</v>
      </c>
      <c r="Y58" s="301">
        <f t="shared" ref="Y58" si="333">IFERROR(X58/$G58," ")</f>
        <v>1</v>
      </c>
      <c r="Z58" s="299">
        <v>31</v>
      </c>
      <c r="AA58" s="301">
        <f t="shared" ref="AA58" si="334">IFERROR(Z58/$G58," ")</f>
        <v>1</v>
      </c>
      <c r="AB58" s="292"/>
      <c r="AC58" s="279">
        <f t="shared" si="201"/>
        <v>0</v>
      </c>
      <c r="AD58" s="279">
        <f t="shared" si="202"/>
        <v>0</v>
      </c>
      <c r="AE58" s="279">
        <f t="shared" si="203"/>
        <v>0</v>
      </c>
      <c r="AF58" s="279">
        <f t="shared" si="204"/>
        <v>2415.52</v>
      </c>
      <c r="AG58" s="279">
        <f t="shared" si="205"/>
        <v>2415.52</v>
      </c>
      <c r="AH58" s="279">
        <f t="shared" si="206"/>
        <v>2415.52</v>
      </c>
      <c r="AI58" s="279">
        <f t="shared" si="207"/>
        <v>2415.52</v>
      </c>
      <c r="AJ58" s="279">
        <f t="shared" si="208"/>
        <v>2415.52</v>
      </c>
    </row>
    <row r="59" spans="1:36" x14ac:dyDescent="0.65">
      <c r="A59" s="203">
        <v>45</v>
      </c>
      <c r="B59" s="292" t="s">
        <v>1104</v>
      </c>
      <c r="C59" s="276" t="s">
        <v>1105</v>
      </c>
      <c r="D59" s="292" t="s">
        <v>451</v>
      </c>
      <c r="E59" s="321"/>
      <c r="F59" s="299" t="s">
        <v>448</v>
      </c>
      <c r="G59" s="299" t="s">
        <v>448</v>
      </c>
      <c r="H59" s="298" t="s">
        <v>448</v>
      </c>
      <c r="I59" s="298" t="s">
        <v>448</v>
      </c>
      <c r="J59" s="298" t="s">
        <v>448</v>
      </c>
      <c r="K59" s="298"/>
      <c r="L59" s="299" t="s">
        <v>448</v>
      </c>
      <c r="M59" s="301" t="str">
        <f t="shared" si="8"/>
        <v xml:space="preserve"> </v>
      </c>
      <c r="N59" s="299" t="s">
        <v>448</v>
      </c>
      <c r="O59" s="301" t="str">
        <f t="shared" si="8"/>
        <v xml:space="preserve"> </v>
      </c>
      <c r="P59" s="299" t="s">
        <v>448</v>
      </c>
      <c r="Q59" s="301" t="str">
        <f t="shared" ref="Q59" si="335">IFERROR(P59/$G59," ")</f>
        <v xml:space="preserve"> </v>
      </c>
      <c r="R59" s="299" t="s">
        <v>448</v>
      </c>
      <c r="S59" s="301" t="str">
        <f t="shared" ref="S59" si="336">IFERROR(R59/$G59," ")</f>
        <v xml:space="preserve"> </v>
      </c>
      <c r="T59" s="299" t="s">
        <v>448</v>
      </c>
      <c r="U59" s="301" t="str">
        <f t="shared" ref="U59" si="337">IFERROR(T59/$G59," ")</f>
        <v xml:space="preserve"> </v>
      </c>
      <c r="V59" s="299" t="s">
        <v>448</v>
      </c>
      <c r="W59" s="301" t="str">
        <f t="shared" ref="W59" si="338">IFERROR(V59/$G59," ")</f>
        <v xml:space="preserve"> </v>
      </c>
      <c r="X59" s="299" t="s">
        <v>448</v>
      </c>
      <c r="Y59" s="301" t="str">
        <f t="shared" ref="Y59" si="339">IFERROR(X59/$G59," ")</f>
        <v xml:space="preserve"> </v>
      </c>
      <c r="Z59" s="299" t="s">
        <v>448</v>
      </c>
      <c r="AA59" s="301" t="str">
        <f t="shared" ref="AA59" si="340">IFERROR(Z59/$G59," ")</f>
        <v xml:space="preserve"> </v>
      </c>
      <c r="AB59" s="292"/>
      <c r="AC59" s="279" t="str">
        <f t="shared" si="201"/>
        <v xml:space="preserve"> </v>
      </c>
      <c r="AD59" s="279" t="str">
        <f t="shared" si="202"/>
        <v xml:space="preserve"> </v>
      </c>
      <c r="AE59" s="279" t="str">
        <f t="shared" si="203"/>
        <v xml:space="preserve"> </v>
      </c>
      <c r="AF59" s="279" t="str">
        <f t="shared" si="204"/>
        <v xml:space="preserve"> </v>
      </c>
      <c r="AG59" s="279" t="str">
        <f t="shared" si="205"/>
        <v xml:space="preserve"> </v>
      </c>
      <c r="AH59" s="279" t="str">
        <f t="shared" si="206"/>
        <v xml:space="preserve"> </v>
      </c>
      <c r="AI59" s="279" t="str">
        <f t="shared" si="207"/>
        <v xml:space="preserve"> </v>
      </c>
      <c r="AJ59" s="279" t="str">
        <f t="shared" si="208"/>
        <v xml:space="preserve"> </v>
      </c>
    </row>
    <row r="60" spans="1:36" x14ac:dyDescent="0.65">
      <c r="A60" s="203">
        <v>46</v>
      </c>
      <c r="B60" s="292" t="s">
        <v>1106</v>
      </c>
      <c r="C60" s="276" t="s">
        <v>112</v>
      </c>
      <c r="D60" s="292" t="s">
        <v>88</v>
      </c>
      <c r="E60" s="321">
        <f>IFERROR(VLOOKUP(A60,Estimate!A:Q,17,FALSE)," ")</f>
        <v>21643.165997468575</v>
      </c>
      <c r="F60" s="299">
        <v>344</v>
      </c>
      <c r="G60" s="299">
        <v>344</v>
      </c>
      <c r="H60" s="298">
        <v>80.17</v>
      </c>
      <c r="I60" s="298">
        <v>27578.48</v>
      </c>
      <c r="J60" s="298">
        <v>27578.48</v>
      </c>
      <c r="K60" s="298"/>
      <c r="L60" s="299"/>
      <c r="M60" s="301">
        <f t="shared" si="8"/>
        <v>0</v>
      </c>
      <c r="N60" s="299">
        <v>344</v>
      </c>
      <c r="O60" s="301">
        <f t="shared" si="8"/>
        <v>1</v>
      </c>
      <c r="P60" s="299">
        <v>344</v>
      </c>
      <c r="Q60" s="301">
        <f t="shared" ref="Q60" si="341">IFERROR(P60/$G60," ")</f>
        <v>1</v>
      </c>
      <c r="R60" s="299">
        <v>344</v>
      </c>
      <c r="S60" s="301">
        <f t="shared" ref="S60" si="342">IFERROR(R60/$G60," ")</f>
        <v>1</v>
      </c>
      <c r="T60" s="299">
        <v>344</v>
      </c>
      <c r="U60" s="301">
        <f t="shared" ref="U60" si="343">IFERROR(T60/$G60," ")</f>
        <v>1</v>
      </c>
      <c r="V60" s="299">
        <v>344</v>
      </c>
      <c r="W60" s="301">
        <f t="shared" ref="W60" si="344">IFERROR(V60/$G60," ")</f>
        <v>1</v>
      </c>
      <c r="X60" s="299">
        <v>344</v>
      </c>
      <c r="Y60" s="301">
        <f t="shared" ref="Y60" si="345">IFERROR(X60/$G60," ")</f>
        <v>1</v>
      </c>
      <c r="Z60" s="299">
        <v>344</v>
      </c>
      <c r="AA60" s="301">
        <f t="shared" ref="AA60" si="346">IFERROR(Z60/$G60," ")</f>
        <v>1</v>
      </c>
      <c r="AB60" s="292"/>
      <c r="AC60" s="279">
        <f t="shared" si="201"/>
        <v>0</v>
      </c>
      <c r="AD60" s="279">
        <f t="shared" si="202"/>
        <v>27578.48</v>
      </c>
      <c r="AE60" s="279">
        <f t="shared" si="203"/>
        <v>27578.48</v>
      </c>
      <c r="AF60" s="279">
        <f t="shared" si="204"/>
        <v>27578.48</v>
      </c>
      <c r="AG60" s="279">
        <f t="shared" si="205"/>
        <v>27578.48</v>
      </c>
      <c r="AH60" s="279">
        <f t="shared" si="206"/>
        <v>27578.48</v>
      </c>
      <c r="AI60" s="279">
        <f t="shared" si="207"/>
        <v>27578.48</v>
      </c>
      <c r="AJ60" s="279">
        <f t="shared" si="208"/>
        <v>27578.48</v>
      </c>
    </row>
    <row r="61" spans="1:36" x14ac:dyDescent="0.65">
      <c r="A61" s="203">
        <v>47</v>
      </c>
      <c r="B61" s="292" t="s">
        <v>1107</v>
      </c>
      <c r="C61" s="276" t="s">
        <v>120</v>
      </c>
      <c r="D61" s="292" t="s">
        <v>88</v>
      </c>
      <c r="E61" s="321">
        <f>IFERROR(VLOOKUP(A61,Estimate!A:Q,17,FALSE)," ")</f>
        <v>16817.262061929821</v>
      </c>
      <c r="F61" s="299">
        <v>275</v>
      </c>
      <c r="G61" s="299">
        <v>275</v>
      </c>
      <c r="H61" s="298">
        <v>77.92</v>
      </c>
      <c r="I61" s="298">
        <v>21428</v>
      </c>
      <c r="J61" s="298">
        <v>21428</v>
      </c>
      <c r="K61" s="298"/>
      <c r="L61" s="299"/>
      <c r="M61" s="301">
        <f t="shared" si="8"/>
        <v>0</v>
      </c>
      <c r="N61" s="299">
        <v>275</v>
      </c>
      <c r="O61" s="301">
        <f t="shared" si="8"/>
        <v>1</v>
      </c>
      <c r="P61" s="299">
        <v>275</v>
      </c>
      <c r="Q61" s="301">
        <f t="shared" ref="Q61" si="347">IFERROR(P61/$G61," ")</f>
        <v>1</v>
      </c>
      <c r="R61" s="299">
        <v>275</v>
      </c>
      <c r="S61" s="301">
        <f t="shared" ref="S61" si="348">IFERROR(R61/$G61," ")</f>
        <v>1</v>
      </c>
      <c r="T61" s="299">
        <v>275</v>
      </c>
      <c r="U61" s="301">
        <f t="shared" ref="U61" si="349">IFERROR(T61/$G61," ")</f>
        <v>1</v>
      </c>
      <c r="V61" s="299">
        <v>275</v>
      </c>
      <c r="W61" s="301">
        <f t="shared" ref="W61" si="350">IFERROR(V61/$G61," ")</f>
        <v>1</v>
      </c>
      <c r="X61" s="299">
        <v>275</v>
      </c>
      <c r="Y61" s="301">
        <f t="shared" ref="Y61" si="351">IFERROR(X61/$G61," ")</f>
        <v>1</v>
      </c>
      <c r="Z61" s="299">
        <v>275</v>
      </c>
      <c r="AA61" s="301">
        <f t="shared" ref="AA61" si="352">IFERROR(Z61/$G61," ")</f>
        <v>1</v>
      </c>
      <c r="AB61" s="292"/>
      <c r="AC61" s="279">
        <f t="shared" si="201"/>
        <v>0</v>
      </c>
      <c r="AD61" s="279">
        <f t="shared" si="202"/>
        <v>21428</v>
      </c>
      <c r="AE61" s="279">
        <f t="shared" si="203"/>
        <v>21428</v>
      </c>
      <c r="AF61" s="279">
        <f t="shared" si="204"/>
        <v>21428</v>
      </c>
      <c r="AG61" s="279">
        <f t="shared" si="205"/>
        <v>21428</v>
      </c>
      <c r="AH61" s="279">
        <f t="shared" si="206"/>
        <v>21428</v>
      </c>
      <c r="AI61" s="279">
        <f t="shared" si="207"/>
        <v>21428</v>
      </c>
      <c r="AJ61" s="279">
        <f t="shared" si="208"/>
        <v>21428</v>
      </c>
    </row>
    <row r="62" spans="1:36" x14ac:dyDescent="0.65">
      <c r="A62" s="203">
        <v>48</v>
      </c>
      <c r="B62" s="292" t="s">
        <v>1108</v>
      </c>
      <c r="C62" s="276" t="s">
        <v>624</v>
      </c>
      <c r="D62" s="292" t="s">
        <v>451</v>
      </c>
      <c r="E62" s="321"/>
      <c r="F62" s="299" t="s">
        <v>448</v>
      </c>
      <c r="G62" s="299" t="s">
        <v>448</v>
      </c>
      <c r="H62" s="298" t="s">
        <v>448</v>
      </c>
      <c r="I62" s="298" t="s">
        <v>448</v>
      </c>
      <c r="J62" s="298" t="s">
        <v>448</v>
      </c>
      <c r="K62" s="298"/>
      <c r="L62" s="299" t="s">
        <v>448</v>
      </c>
      <c r="M62" s="301" t="str">
        <f t="shared" si="8"/>
        <v xml:space="preserve"> </v>
      </c>
      <c r="N62" s="299" t="s">
        <v>448</v>
      </c>
      <c r="O62" s="301" t="str">
        <f t="shared" si="8"/>
        <v xml:space="preserve"> </v>
      </c>
      <c r="P62" s="299" t="s">
        <v>448</v>
      </c>
      <c r="Q62" s="301" t="str">
        <f t="shared" ref="Q62" si="353">IFERROR(P62/$G62," ")</f>
        <v xml:space="preserve"> </v>
      </c>
      <c r="R62" s="299" t="s">
        <v>448</v>
      </c>
      <c r="S62" s="301" t="str">
        <f t="shared" ref="S62" si="354">IFERROR(R62/$G62," ")</f>
        <v xml:space="preserve"> </v>
      </c>
      <c r="T62" s="299" t="s">
        <v>448</v>
      </c>
      <c r="U62" s="301" t="str">
        <f t="shared" ref="U62" si="355">IFERROR(T62/$G62," ")</f>
        <v xml:space="preserve"> </v>
      </c>
      <c r="V62" s="299" t="s">
        <v>448</v>
      </c>
      <c r="W62" s="301" t="str">
        <f t="shared" ref="W62" si="356">IFERROR(V62/$G62," ")</f>
        <v xml:space="preserve"> </v>
      </c>
      <c r="X62" s="299" t="s">
        <v>448</v>
      </c>
      <c r="Y62" s="301" t="str">
        <f t="shared" ref="Y62" si="357">IFERROR(X62/$G62," ")</f>
        <v xml:space="preserve"> </v>
      </c>
      <c r="Z62" s="299" t="s">
        <v>448</v>
      </c>
      <c r="AA62" s="301" t="str">
        <f t="shared" ref="AA62" si="358">IFERROR(Z62/$G62," ")</f>
        <v xml:space="preserve"> </v>
      </c>
      <c r="AB62" s="292"/>
      <c r="AC62" s="279" t="str">
        <f t="shared" si="201"/>
        <v xml:space="preserve"> </v>
      </c>
      <c r="AD62" s="279" t="str">
        <f t="shared" si="202"/>
        <v xml:space="preserve"> </v>
      </c>
      <c r="AE62" s="279" t="str">
        <f t="shared" si="203"/>
        <v xml:space="preserve"> </v>
      </c>
      <c r="AF62" s="279" t="str">
        <f t="shared" si="204"/>
        <v xml:space="preserve"> </v>
      </c>
      <c r="AG62" s="279" t="str">
        <f t="shared" si="205"/>
        <v xml:space="preserve"> </v>
      </c>
      <c r="AH62" s="279" t="str">
        <f t="shared" si="206"/>
        <v xml:space="preserve"> </v>
      </c>
      <c r="AI62" s="279" t="str">
        <f t="shared" si="207"/>
        <v xml:space="preserve"> </v>
      </c>
      <c r="AJ62" s="279" t="str">
        <f t="shared" si="208"/>
        <v xml:space="preserve"> </v>
      </c>
    </row>
    <row r="63" spans="1:36" x14ac:dyDescent="0.65">
      <c r="A63" s="203">
        <v>49</v>
      </c>
      <c r="B63" s="292" t="s">
        <v>1109</v>
      </c>
      <c r="C63" s="276" t="s">
        <v>122</v>
      </c>
      <c r="D63" s="292" t="s">
        <v>88</v>
      </c>
      <c r="E63" s="321">
        <f>IFERROR(VLOOKUP(A63,Estimate!A:Q,17,FALSE)," ")</f>
        <v>4844.5458773403507</v>
      </c>
      <c r="F63" s="299">
        <v>77</v>
      </c>
      <c r="G63" s="299">
        <v>77</v>
      </c>
      <c r="H63" s="298">
        <v>80.17</v>
      </c>
      <c r="I63" s="298">
        <v>6173.09</v>
      </c>
      <c r="J63" s="298">
        <v>6173.09</v>
      </c>
      <c r="K63" s="298"/>
      <c r="L63" s="299"/>
      <c r="M63" s="301">
        <f t="shared" si="8"/>
        <v>0</v>
      </c>
      <c r="N63" s="299"/>
      <c r="O63" s="301">
        <f t="shared" si="8"/>
        <v>0</v>
      </c>
      <c r="P63" s="299"/>
      <c r="Q63" s="301">
        <f t="shared" ref="Q63" si="359">IFERROR(P63/$G63," ")</f>
        <v>0</v>
      </c>
      <c r="R63" s="299"/>
      <c r="S63" s="301">
        <f t="shared" ref="S63" si="360">IFERROR(R63/$G63," ")</f>
        <v>0</v>
      </c>
      <c r="T63" s="299">
        <v>77</v>
      </c>
      <c r="U63" s="301">
        <f t="shared" ref="U63" si="361">IFERROR(T63/$G63," ")</f>
        <v>1</v>
      </c>
      <c r="V63" s="299">
        <v>77</v>
      </c>
      <c r="W63" s="301">
        <f t="shared" ref="W63" si="362">IFERROR(V63/$G63," ")</f>
        <v>1</v>
      </c>
      <c r="X63" s="299">
        <v>77</v>
      </c>
      <c r="Y63" s="301">
        <f t="shared" ref="Y63" si="363">IFERROR(X63/$G63," ")</f>
        <v>1</v>
      </c>
      <c r="Z63" s="299">
        <v>77</v>
      </c>
      <c r="AA63" s="301">
        <f t="shared" ref="AA63" si="364">IFERROR(Z63/$G63," ")</f>
        <v>1</v>
      </c>
      <c r="AB63" s="292"/>
      <c r="AC63" s="279">
        <f t="shared" si="201"/>
        <v>0</v>
      </c>
      <c r="AD63" s="279">
        <f t="shared" si="202"/>
        <v>0</v>
      </c>
      <c r="AE63" s="279">
        <f t="shared" si="203"/>
        <v>0</v>
      </c>
      <c r="AF63" s="279">
        <f t="shared" si="204"/>
        <v>0</v>
      </c>
      <c r="AG63" s="279">
        <f t="shared" si="205"/>
        <v>6173.09</v>
      </c>
      <c r="AH63" s="279">
        <f t="shared" si="206"/>
        <v>6173.09</v>
      </c>
      <c r="AI63" s="279">
        <f t="shared" si="207"/>
        <v>6173.09</v>
      </c>
      <c r="AJ63" s="279">
        <f t="shared" si="208"/>
        <v>6173.09</v>
      </c>
    </row>
    <row r="64" spans="1:36" x14ac:dyDescent="0.65">
      <c r="A64" s="203">
        <v>50</v>
      </c>
      <c r="B64" s="292" t="s">
        <v>1110</v>
      </c>
      <c r="C64" s="276" t="s">
        <v>124</v>
      </c>
      <c r="D64" s="292" t="s">
        <v>88</v>
      </c>
      <c r="E64" s="321">
        <f>IFERROR(VLOOKUP(A64,Estimate!A:Q,17,FALSE)," ")</f>
        <v>4708.8333773403501</v>
      </c>
      <c r="F64" s="299">
        <v>77</v>
      </c>
      <c r="G64" s="299">
        <v>77</v>
      </c>
      <c r="H64" s="298">
        <v>77.92</v>
      </c>
      <c r="I64" s="298">
        <v>5999.84</v>
      </c>
      <c r="J64" s="298">
        <v>5999.84</v>
      </c>
      <c r="K64" s="298"/>
      <c r="L64" s="299"/>
      <c r="M64" s="301">
        <f t="shared" si="8"/>
        <v>0</v>
      </c>
      <c r="N64" s="299"/>
      <c r="O64" s="301">
        <f t="shared" si="8"/>
        <v>0</v>
      </c>
      <c r="P64" s="299"/>
      <c r="Q64" s="301">
        <f t="shared" ref="Q64" si="365">IFERROR(P64/$G64," ")</f>
        <v>0</v>
      </c>
      <c r="R64" s="299"/>
      <c r="S64" s="301">
        <f t="shared" ref="S64" si="366">IFERROR(R64/$G64," ")</f>
        <v>0</v>
      </c>
      <c r="T64" s="299">
        <v>77</v>
      </c>
      <c r="U64" s="301">
        <f t="shared" ref="U64" si="367">IFERROR(T64/$G64," ")</f>
        <v>1</v>
      </c>
      <c r="V64" s="299">
        <v>77</v>
      </c>
      <c r="W64" s="301">
        <f t="shared" ref="W64" si="368">IFERROR(V64/$G64," ")</f>
        <v>1</v>
      </c>
      <c r="X64" s="299">
        <v>77</v>
      </c>
      <c r="Y64" s="301">
        <f t="shared" ref="Y64" si="369">IFERROR(X64/$G64," ")</f>
        <v>1</v>
      </c>
      <c r="Z64" s="299">
        <v>77</v>
      </c>
      <c r="AA64" s="301">
        <f t="shared" ref="AA64" si="370">IFERROR(Z64/$G64," ")</f>
        <v>1</v>
      </c>
      <c r="AB64" s="292"/>
      <c r="AC64" s="279">
        <f t="shared" si="201"/>
        <v>0</v>
      </c>
      <c r="AD64" s="279">
        <f t="shared" si="202"/>
        <v>0</v>
      </c>
      <c r="AE64" s="279">
        <f t="shared" si="203"/>
        <v>0</v>
      </c>
      <c r="AF64" s="279">
        <f t="shared" si="204"/>
        <v>0</v>
      </c>
      <c r="AG64" s="279">
        <f t="shared" si="205"/>
        <v>5999.84</v>
      </c>
      <c r="AH64" s="279">
        <f t="shared" si="206"/>
        <v>5999.84</v>
      </c>
      <c r="AI64" s="279">
        <f t="shared" si="207"/>
        <v>5999.84</v>
      </c>
      <c r="AJ64" s="279">
        <f t="shared" si="208"/>
        <v>5999.84</v>
      </c>
    </row>
    <row r="65" spans="1:36" x14ac:dyDescent="0.65">
      <c r="A65" s="203">
        <v>51</v>
      </c>
      <c r="B65" s="292" t="s">
        <v>1111</v>
      </c>
      <c r="C65" s="276" t="s">
        <v>126</v>
      </c>
      <c r="D65" s="292" t="s">
        <v>88</v>
      </c>
      <c r="E65" s="321">
        <f>IFERROR(VLOOKUP(A65,Estimate!A:Q,17,FALSE)," ")</f>
        <v>4708.8333773403501</v>
      </c>
      <c r="F65" s="299">
        <v>77</v>
      </c>
      <c r="G65" s="299">
        <v>77</v>
      </c>
      <c r="H65" s="298">
        <v>77.92</v>
      </c>
      <c r="I65" s="298">
        <v>5999.84</v>
      </c>
      <c r="J65" s="298">
        <v>5999.84</v>
      </c>
      <c r="K65" s="298"/>
      <c r="L65" s="299"/>
      <c r="M65" s="301">
        <f t="shared" si="8"/>
        <v>0</v>
      </c>
      <c r="N65" s="299"/>
      <c r="O65" s="301">
        <f t="shared" si="8"/>
        <v>0</v>
      </c>
      <c r="P65" s="299"/>
      <c r="Q65" s="301">
        <f t="shared" ref="Q65" si="371">IFERROR(P65/$G65," ")</f>
        <v>0</v>
      </c>
      <c r="R65" s="299"/>
      <c r="S65" s="301">
        <f t="shared" ref="S65" si="372">IFERROR(R65/$G65," ")</f>
        <v>0</v>
      </c>
      <c r="T65" s="299">
        <v>77</v>
      </c>
      <c r="U65" s="301">
        <f t="shared" ref="U65" si="373">IFERROR(T65/$G65," ")</f>
        <v>1</v>
      </c>
      <c r="V65" s="299">
        <v>77</v>
      </c>
      <c r="W65" s="301">
        <f t="shared" ref="W65" si="374">IFERROR(V65/$G65," ")</f>
        <v>1</v>
      </c>
      <c r="X65" s="299">
        <v>77</v>
      </c>
      <c r="Y65" s="301">
        <f t="shared" ref="Y65" si="375">IFERROR(X65/$G65," ")</f>
        <v>1</v>
      </c>
      <c r="Z65" s="299">
        <v>77</v>
      </c>
      <c r="AA65" s="301">
        <f t="shared" ref="AA65" si="376">IFERROR(Z65/$G65," ")</f>
        <v>1</v>
      </c>
      <c r="AB65" s="292"/>
      <c r="AC65" s="279">
        <f t="shared" si="201"/>
        <v>0</v>
      </c>
      <c r="AD65" s="279">
        <f t="shared" si="202"/>
        <v>0</v>
      </c>
      <c r="AE65" s="279">
        <f t="shared" si="203"/>
        <v>0</v>
      </c>
      <c r="AF65" s="279">
        <f t="shared" si="204"/>
        <v>0</v>
      </c>
      <c r="AG65" s="279">
        <f t="shared" si="205"/>
        <v>5999.84</v>
      </c>
      <c r="AH65" s="279">
        <f t="shared" si="206"/>
        <v>5999.84</v>
      </c>
      <c r="AI65" s="279">
        <f t="shared" si="207"/>
        <v>5999.84</v>
      </c>
      <c r="AJ65" s="279">
        <f t="shared" si="208"/>
        <v>5999.84</v>
      </c>
    </row>
    <row r="66" spans="1:36" x14ac:dyDescent="0.65">
      <c r="A66" s="203">
        <v>52</v>
      </c>
      <c r="B66" s="292" t="s">
        <v>1112</v>
      </c>
      <c r="C66" s="276" t="s">
        <v>1113</v>
      </c>
      <c r="D66" s="292" t="s">
        <v>451</v>
      </c>
      <c r="E66" s="321"/>
      <c r="F66" s="299" t="s">
        <v>448</v>
      </c>
      <c r="G66" s="299" t="s">
        <v>448</v>
      </c>
      <c r="H66" s="298" t="s">
        <v>448</v>
      </c>
      <c r="I66" s="298" t="s">
        <v>448</v>
      </c>
      <c r="J66" s="298" t="s">
        <v>448</v>
      </c>
      <c r="K66" s="298"/>
      <c r="L66" s="299" t="s">
        <v>448</v>
      </c>
      <c r="M66" s="301" t="str">
        <f t="shared" si="8"/>
        <v xml:space="preserve"> </v>
      </c>
      <c r="N66" s="299" t="s">
        <v>448</v>
      </c>
      <c r="O66" s="301" t="str">
        <f t="shared" si="8"/>
        <v xml:space="preserve"> </v>
      </c>
      <c r="P66" s="299" t="s">
        <v>448</v>
      </c>
      <c r="Q66" s="301" t="str">
        <f t="shared" ref="Q66" si="377">IFERROR(P66/$G66," ")</f>
        <v xml:space="preserve"> </v>
      </c>
      <c r="R66" s="299" t="s">
        <v>448</v>
      </c>
      <c r="S66" s="301" t="str">
        <f t="shared" ref="S66" si="378">IFERROR(R66/$G66," ")</f>
        <v xml:space="preserve"> </v>
      </c>
      <c r="T66" s="299" t="s">
        <v>448</v>
      </c>
      <c r="U66" s="301" t="str">
        <f t="shared" ref="U66" si="379">IFERROR(T66/$G66," ")</f>
        <v xml:space="preserve"> </v>
      </c>
      <c r="V66" s="299" t="s">
        <v>448</v>
      </c>
      <c r="W66" s="301" t="str">
        <f t="shared" ref="W66" si="380">IFERROR(V66/$G66," ")</f>
        <v xml:space="preserve"> </v>
      </c>
      <c r="X66" s="299" t="s">
        <v>448</v>
      </c>
      <c r="Y66" s="301" t="str">
        <f t="shared" ref="Y66" si="381">IFERROR(X66/$G66," ")</f>
        <v xml:space="preserve"> </v>
      </c>
      <c r="Z66" s="299" t="s">
        <v>448</v>
      </c>
      <c r="AA66" s="301" t="str">
        <f t="shared" ref="AA66" si="382">IFERROR(Z66/$G66," ")</f>
        <v xml:space="preserve"> </v>
      </c>
      <c r="AB66" s="292"/>
      <c r="AC66" s="279" t="str">
        <f t="shared" si="201"/>
        <v xml:space="preserve"> </v>
      </c>
      <c r="AD66" s="279" t="str">
        <f t="shared" si="202"/>
        <v xml:space="preserve"> </v>
      </c>
      <c r="AE66" s="279" t="str">
        <f t="shared" si="203"/>
        <v xml:space="preserve"> </v>
      </c>
      <c r="AF66" s="279" t="str">
        <f t="shared" si="204"/>
        <v xml:space="preserve"> </v>
      </c>
      <c r="AG66" s="279" t="str">
        <f t="shared" si="205"/>
        <v xml:space="preserve"> </v>
      </c>
      <c r="AH66" s="279" t="str">
        <f t="shared" si="206"/>
        <v xml:space="preserve"> </v>
      </c>
      <c r="AI66" s="279" t="str">
        <f t="shared" si="207"/>
        <v xml:space="preserve"> </v>
      </c>
      <c r="AJ66" s="279" t="str">
        <f t="shared" si="208"/>
        <v xml:space="preserve"> </v>
      </c>
    </row>
    <row r="67" spans="1:36" x14ac:dyDescent="0.65">
      <c r="A67" s="203">
        <v>53</v>
      </c>
      <c r="B67" s="292" t="s">
        <v>1114</v>
      </c>
      <c r="C67" s="276" t="s">
        <v>122</v>
      </c>
      <c r="D67" s="292" t="s">
        <v>88</v>
      </c>
      <c r="E67" s="321">
        <f>IFERROR(VLOOKUP(A67,Estimate!A:Q,17,FALSE)," ")</f>
        <v>21139.836555666985</v>
      </c>
      <c r="F67" s="299">
        <v>336</v>
      </c>
      <c r="G67" s="299">
        <v>336</v>
      </c>
      <c r="H67" s="298">
        <v>80.17</v>
      </c>
      <c r="I67" s="298">
        <v>26937.119999999999</v>
      </c>
      <c r="J67" s="298">
        <v>26937.119999999999</v>
      </c>
      <c r="K67" s="298"/>
      <c r="L67" s="299"/>
      <c r="M67" s="301">
        <f t="shared" si="8"/>
        <v>0</v>
      </c>
      <c r="N67" s="299"/>
      <c r="O67" s="301">
        <f t="shared" si="8"/>
        <v>0</v>
      </c>
      <c r="P67" s="299"/>
      <c r="Q67" s="301">
        <f t="shared" ref="Q67" si="383">IFERROR(P67/$G67," ")</f>
        <v>0</v>
      </c>
      <c r="R67" s="299">
        <v>156</v>
      </c>
      <c r="S67" s="301">
        <f t="shared" ref="S67" si="384">IFERROR(R67/$G67," ")</f>
        <v>0.4642857142857143</v>
      </c>
      <c r="T67" s="299">
        <v>336</v>
      </c>
      <c r="U67" s="301">
        <f t="shared" ref="U67" si="385">IFERROR(T67/$G67," ")</f>
        <v>1</v>
      </c>
      <c r="V67" s="299">
        <v>336</v>
      </c>
      <c r="W67" s="301">
        <f t="shared" ref="W67" si="386">IFERROR(V67/$G67," ")</f>
        <v>1</v>
      </c>
      <c r="X67" s="299">
        <v>336</v>
      </c>
      <c r="Y67" s="301">
        <f t="shared" ref="Y67" si="387">IFERROR(X67/$G67," ")</f>
        <v>1</v>
      </c>
      <c r="Z67" s="299">
        <v>336</v>
      </c>
      <c r="AA67" s="301">
        <f t="shared" ref="AA67" si="388">IFERROR(Z67/$G67," ")</f>
        <v>1</v>
      </c>
      <c r="AB67" s="292"/>
      <c r="AC67" s="279">
        <f t="shared" si="201"/>
        <v>0</v>
      </c>
      <c r="AD67" s="279">
        <f t="shared" si="202"/>
        <v>0</v>
      </c>
      <c r="AE67" s="279">
        <f t="shared" si="203"/>
        <v>0</v>
      </c>
      <c r="AF67" s="279">
        <f t="shared" si="204"/>
        <v>12506.52</v>
      </c>
      <c r="AG67" s="279">
        <f t="shared" si="205"/>
        <v>26937.119999999999</v>
      </c>
      <c r="AH67" s="279">
        <f t="shared" si="206"/>
        <v>26937.119999999999</v>
      </c>
      <c r="AI67" s="279">
        <f t="shared" si="207"/>
        <v>26937.119999999999</v>
      </c>
      <c r="AJ67" s="279">
        <f t="shared" si="208"/>
        <v>26937.119999999999</v>
      </c>
    </row>
    <row r="68" spans="1:36" x14ac:dyDescent="0.65">
      <c r="A68" s="203">
        <v>54</v>
      </c>
      <c r="B68" s="292" t="s">
        <v>1115</v>
      </c>
      <c r="C68" s="276" t="s">
        <v>129</v>
      </c>
      <c r="D68" s="292" t="s">
        <v>88</v>
      </c>
      <c r="E68" s="321">
        <f>IFERROR(VLOOKUP(A68,Estimate!A:Q,17,FALSE)," ")</f>
        <v>20547.636555666984</v>
      </c>
      <c r="F68" s="299">
        <v>336</v>
      </c>
      <c r="G68" s="299">
        <v>336</v>
      </c>
      <c r="H68" s="298">
        <v>77.92</v>
      </c>
      <c r="I68" s="298">
        <v>26181.119999999999</v>
      </c>
      <c r="J68" s="298">
        <v>26181.119999999999</v>
      </c>
      <c r="K68" s="298"/>
      <c r="L68" s="299"/>
      <c r="M68" s="301">
        <f t="shared" si="8"/>
        <v>0</v>
      </c>
      <c r="N68" s="299"/>
      <c r="O68" s="301">
        <f t="shared" si="8"/>
        <v>0</v>
      </c>
      <c r="P68" s="299"/>
      <c r="Q68" s="301">
        <f t="shared" ref="Q68" si="389">IFERROR(P68/$G68," ")</f>
        <v>0</v>
      </c>
      <c r="R68" s="299">
        <v>125</v>
      </c>
      <c r="S68" s="301">
        <f t="shared" ref="S68" si="390">IFERROR(R68/$G68," ")</f>
        <v>0.37202380952380953</v>
      </c>
      <c r="T68" s="299">
        <v>336</v>
      </c>
      <c r="U68" s="301">
        <f t="shared" ref="U68" si="391">IFERROR(T68/$G68," ")</f>
        <v>1</v>
      </c>
      <c r="V68" s="299">
        <v>336</v>
      </c>
      <c r="W68" s="301">
        <f t="shared" ref="W68" si="392">IFERROR(V68/$G68," ")</f>
        <v>1</v>
      </c>
      <c r="X68" s="299">
        <v>336</v>
      </c>
      <c r="Y68" s="301">
        <f t="shared" ref="Y68" si="393">IFERROR(X68/$G68," ")</f>
        <v>1</v>
      </c>
      <c r="Z68" s="299">
        <v>336</v>
      </c>
      <c r="AA68" s="301">
        <f t="shared" ref="AA68" si="394">IFERROR(Z68/$G68," ")</f>
        <v>1</v>
      </c>
      <c r="AB68" s="292"/>
      <c r="AC68" s="279">
        <f t="shared" si="201"/>
        <v>0</v>
      </c>
      <c r="AD68" s="279">
        <f t="shared" si="202"/>
        <v>0</v>
      </c>
      <c r="AE68" s="279">
        <f t="shared" si="203"/>
        <v>0</v>
      </c>
      <c r="AF68" s="279">
        <f t="shared" si="204"/>
        <v>9740</v>
      </c>
      <c r="AG68" s="279">
        <f t="shared" si="205"/>
        <v>26181.119999999999</v>
      </c>
      <c r="AH68" s="279">
        <f t="shared" si="206"/>
        <v>26181.119999999999</v>
      </c>
      <c r="AI68" s="279">
        <f t="shared" si="207"/>
        <v>26181.119999999999</v>
      </c>
      <c r="AJ68" s="279">
        <f t="shared" si="208"/>
        <v>26181.119999999999</v>
      </c>
    </row>
    <row r="69" spans="1:36" x14ac:dyDescent="0.65">
      <c r="A69" s="203">
        <v>55</v>
      </c>
      <c r="B69" s="292" t="s">
        <v>1116</v>
      </c>
      <c r="C69" s="276" t="s">
        <v>131</v>
      </c>
      <c r="D69" s="292" t="s">
        <v>88</v>
      </c>
      <c r="E69" s="321">
        <f>IFERROR(VLOOKUP(A69,Estimate!A:Q,17,FALSE)," ")</f>
        <v>20547.636555666984</v>
      </c>
      <c r="F69" s="299">
        <v>336</v>
      </c>
      <c r="G69" s="299">
        <v>336</v>
      </c>
      <c r="H69" s="298">
        <v>77.930000000000007</v>
      </c>
      <c r="I69" s="298">
        <v>26184.48</v>
      </c>
      <c r="J69" s="298">
        <v>26184.48</v>
      </c>
      <c r="K69" s="298"/>
      <c r="L69" s="299"/>
      <c r="M69" s="301">
        <f t="shared" si="8"/>
        <v>0</v>
      </c>
      <c r="N69" s="299"/>
      <c r="O69" s="301">
        <f t="shared" si="8"/>
        <v>0</v>
      </c>
      <c r="P69" s="299"/>
      <c r="Q69" s="301">
        <f t="shared" ref="Q69" si="395">IFERROR(P69/$G69," ")</f>
        <v>0</v>
      </c>
      <c r="R69" s="299"/>
      <c r="S69" s="301">
        <f t="shared" ref="S69" si="396">IFERROR(R69/$G69," ")</f>
        <v>0</v>
      </c>
      <c r="T69" s="299">
        <v>336</v>
      </c>
      <c r="U69" s="301">
        <f t="shared" ref="U69" si="397">IFERROR(T69/$G69," ")</f>
        <v>1</v>
      </c>
      <c r="V69" s="299">
        <v>336</v>
      </c>
      <c r="W69" s="301">
        <f t="shared" ref="W69" si="398">IFERROR(V69/$G69," ")</f>
        <v>1</v>
      </c>
      <c r="X69" s="299">
        <v>336</v>
      </c>
      <c r="Y69" s="301">
        <f t="shared" ref="Y69" si="399">IFERROR(X69/$G69," ")</f>
        <v>1</v>
      </c>
      <c r="Z69" s="299">
        <v>336</v>
      </c>
      <c r="AA69" s="301">
        <f t="shared" ref="AA69" si="400">IFERROR(Z69/$G69," ")</f>
        <v>1</v>
      </c>
      <c r="AB69" s="292"/>
      <c r="AC69" s="279">
        <f t="shared" ref="AC69:AC100" si="401">IFERROR(M69*$I69," ")</f>
        <v>0</v>
      </c>
      <c r="AD69" s="279">
        <f t="shared" ref="AD69:AD100" si="402">IFERROR(O69*$I69," ")</f>
        <v>0</v>
      </c>
      <c r="AE69" s="279">
        <f t="shared" ref="AE69:AE100" si="403">IFERROR(Q69*$I69," ")</f>
        <v>0</v>
      </c>
      <c r="AF69" s="279">
        <f t="shared" ref="AF69:AF100" si="404">IFERROR(S69*$I69," ")</f>
        <v>0</v>
      </c>
      <c r="AG69" s="279">
        <f t="shared" ref="AG69:AG100" si="405">IFERROR(U69*$I69," ")</f>
        <v>26184.48</v>
      </c>
      <c r="AH69" s="279">
        <f t="shared" ref="AH69:AH100" si="406">IFERROR(W69*$I69," ")</f>
        <v>26184.48</v>
      </c>
      <c r="AI69" s="279">
        <f t="shared" ref="AI69:AI100" si="407">IFERROR(Y69*$I69," ")</f>
        <v>26184.48</v>
      </c>
      <c r="AJ69" s="279">
        <f t="shared" ref="AJ69:AJ100" si="408">IFERROR(AA69*$I69," ")</f>
        <v>26184.48</v>
      </c>
    </row>
    <row r="70" spans="1:36" x14ac:dyDescent="0.65">
      <c r="A70" s="203">
        <v>56</v>
      </c>
      <c r="B70" s="292">
        <v>4.3</v>
      </c>
      <c r="C70" s="276" t="s">
        <v>133</v>
      </c>
      <c r="D70" s="292" t="s">
        <v>54</v>
      </c>
      <c r="E70" s="321">
        <f>IFERROR(VLOOKUP(A70,Estimate!A:Q,17,FALSE)," ")</f>
        <v>40742.391111111108</v>
      </c>
      <c r="F70" s="299">
        <v>16547</v>
      </c>
      <c r="G70" s="299">
        <v>16547</v>
      </c>
      <c r="H70" s="298">
        <v>3.14</v>
      </c>
      <c r="I70" s="298">
        <v>51957.58</v>
      </c>
      <c r="J70" s="298">
        <v>51957.58</v>
      </c>
      <c r="K70" s="298"/>
      <c r="L70" s="299"/>
      <c r="M70" s="301">
        <f t="shared" ref="M70:O133" si="409">IFERROR(L70/$G70," ")</f>
        <v>0</v>
      </c>
      <c r="N70" s="299"/>
      <c r="O70" s="301">
        <f t="shared" si="409"/>
        <v>0</v>
      </c>
      <c r="P70" s="299">
        <v>3200</v>
      </c>
      <c r="Q70" s="301">
        <f t="shared" ref="Q70" si="410">IFERROR(P70/$G70," ")</f>
        <v>0.19338852964283557</v>
      </c>
      <c r="R70" s="299">
        <v>7950</v>
      </c>
      <c r="S70" s="301">
        <f t="shared" ref="S70" si="411">IFERROR(R70/$G70," ")</f>
        <v>0.48044962833141958</v>
      </c>
      <c r="T70" s="299">
        <v>16547</v>
      </c>
      <c r="U70" s="301">
        <f t="shared" ref="U70" si="412">IFERROR(T70/$G70," ")</f>
        <v>1</v>
      </c>
      <c r="V70" s="299">
        <v>16547</v>
      </c>
      <c r="W70" s="301">
        <f t="shared" ref="W70" si="413">IFERROR(V70/$G70," ")</f>
        <v>1</v>
      </c>
      <c r="X70" s="299">
        <v>16547</v>
      </c>
      <c r="Y70" s="301">
        <f t="shared" ref="Y70" si="414">IFERROR(X70/$G70," ")</f>
        <v>1</v>
      </c>
      <c r="Z70" s="299">
        <v>16547</v>
      </c>
      <c r="AA70" s="301">
        <f t="shared" ref="AA70" si="415">IFERROR(Z70/$G70," ")</f>
        <v>1</v>
      </c>
      <c r="AB70" s="292"/>
      <c r="AC70" s="279">
        <f t="shared" si="401"/>
        <v>0</v>
      </c>
      <c r="AD70" s="279">
        <f t="shared" si="402"/>
        <v>0</v>
      </c>
      <c r="AE70" s="279">
        <f t="shared" si="403"/>
        <v>10048</v>
      </c>
      <c r="AF70" s="279">
        <f t="shared" si="404"/>
        <v>24963</v>
      </c>
      <c r="AG70" s="279">
        <f t="shared" si="405"/>
        <v>51957.58</v>
      </c>
      <c r="AH70" s="279">
        <f t="shared" si="406"/>
        <v>51957.58</v>
      </c>
      <c r="AI70" s="279">
        <f t="shared" si="407"/>
        <v>51957.58</v>
      </c>
      <c r="AJ70" s="279">
        <f t="shared" si="408"/>
        <v>51957.58</v>
      </c>
    </row>
    <row r="71" spans="1:36" x14ac:dyDescent="0.65">
      <c r="A71" s="203"/>
      <c r="B71" s="292" t="s">
        <v>1069</v>
      </c>
      <c r="C71" s="276" t="s">
        <v>448</v>
      </c>
      <c r="D71" s="292" t="s">
        <v>451</v>
      </c>
      <c r="E71" s="321" t="str">
        <f>IFERROR(VLOOKUP(A71,Estimate!A:Q,17,FALSE)," ")</f>
        <v xml:space="preserve"> </v>
      </c>
      <c r="F71" s="299" t="s">
        <v>448</v>
      </c>
      <c r="G71" s="299" t="s">
        <v>448</v>
      </c>
      <c r="H71" s="298" t="s">
        <v>448</v>
      </c>
      <c r="I71" s="298" t="s">
        <v>448</v>
      </c>
      <c r="J71" s="298" t="s">
        <v>448</v>
      </c>
      <c r="K71" s="298"/>
      <c r="L71" s="299" t="s">
        <v>448</v>
      </c>
      <c r="M71" s="301" t="str">
        <f t="shared" si="409"/>
        <v xml:space="preserve"> </v>
      </c>
      <c r="N71" s="299" t="s">
        <v>448</v>
      </c>
      <c r="O71" s="301" t="str">
        <f t="shared" si="409"/>
        <v xml:space="preserve"> </v>
      </c>
      <c r="P71" s="299" t="s">
        <v>448</v>
      </c>
      <c r="Q71" s="301" t="str">
        <f t="shared" ref="Q71" si="416">IFERROR(P71/$G71," ")</f>
        <v xml:space="preserve"> </v>
      </c>
      <c r="R71" s="299" t="s">
        <v>448</v>
      </c>
      <c r="S71" s="301" t="str">
        <f t="shared" ref="S71" si="417">IFERROR(R71/$G71," ")</f>
        <v xml:space="preserve"> </v>
      </c>
      <c r="T71" s="299" t="s">
        <v>448</v>
      </c>
      <c r="U71" s="301" t="str">
        <f t="shared" ref="U71" si="418">IFERROR(T71/$G71," ")</f>
        <v xml:space="preserve"> </v>
      </c>
      <c r="V71" s="299" t="s">
        <v>448</v>
      </c>
      <c r="W71" s="301" t="str">
        <f t="shared" ref="W71" si="419">IFERROR(V71/$G71," ")</f>
        <v xml:space="preserve"> </v>
      </c>
      <c r="X71" s="299" t="s">
        <v>448</v>
      </c>
      <c r="Y71" s="301" t="str">
        <f t="shared" ref="Y71" si="420">IFERROR(X71/$G71," ")</f>
        <v xml:space="preserve"> </v>
      </c>
      <c r="Z71" s="299" t="s">
        <v>448</v>
      </c>
      <c r="AA71" s="301" t="str">
        <f t="shared" ref="AA71" si="421">IFERROR(Z71/$G71," ")</f>
        <v xml:space="preserve"> </v>
      </c>
      <c r="AB71" s="292"/>
      <c r="AC71" s="279" t="str">
        <f t="shared" si="401"/>
        <v xml:space="preserve"> </v>
      </c>
      <c r="AD71" s="279" t="str">
        <f t="shared" si="402"/>
        <v xml:space="preserve"> </v>
      </c>
      <c r="AE71" s="279" t="str">
        <f t="shared" si="403"/>
        <v xml:space="preserve"> </v>
      </c>
      <c r="AF71" s="279" t="str">
        <f t="shared" si="404"/>
        <v xml:space="preserve"> </v>
      </c>
      <c r="AG71" s="279" t="str">
        <f t="shared" si="405"/>
        <v xml:space="preserve"> </v>
      </c>
      <c r="AH71" s="279" t="str">
        <f t="shared" si="406"/>
        <v xml:space="preserve"> </v>
      </c>
      <c r="AI71" s="279" t="str">
        <f t="shared" si="407"/>
        <v xml:space="preserve"> </v>
      </c>
      <c r="AJ71" s="279" t="str">
        <f t="shared" si="408"/>
        <v xml:space="preserve"> </v>
      </c>
    </row>
    <row r="72" spans="1:36" x14ac:dyDescent="0.65">
      <c r="A72" s="203">
        <v>57</v>
      </c>
      <c r="B72" s="292">
        <v>4.4000000000000004</v>
      </c>
      <c r="C72" s="276" t="s">
        <v>626</v>
      </c>
      <c r="D72" s="292" t="s">
        <v>451</v>
      </c>
      <c r="E72" s="321"/>
      <c r="F72" s="299" t="s">
        <v>448</v>
      </c>
      <c r="G72" s="299" t="s">
        <v>448</v>
      </c>
      <c r="H72" s="298" t="s">
        <v>448</v>
      </c>
      <c r="I72" s="298" t="s">
        <v>448</v>
      </c>
      <c r="J72" s="298" t="s">
        <v>448</v>
      </c>
      <c r="K72" s="298"/>
      <c r="L72" s="299" t="s">
        <v>448</v>
      </c>
      <c r="M72" s="301" t="str">
        <f t="shared" si="409"/>
        <v xml:space="preserve"> </v>
      </c>
      <c r="N72" s="299" t="s">
        <v>448</v>
      </c>
      <c r="O72" s="301" t="str">
        <f t="shared" si="409"/>
        <v xml:space="preserve"> </v>
      </c>
      <c r="P72" s="299" t="s">
        <v>448</v>
      </c>
      <c r="Q72" s="301" t="str">
        <f t="shared" ref="Q72" si="422">IFERROR(P72/$G72," ")</f>
        <v xml:space="preserve"> </v>
      </c>
      <c r="R72" s="299" t="s">
        <v>448</v>
      </c>
      <c r="S72" s="301" t="str">
        <f t="shared" ref="S72" si="423">IFERROR(R72/$G72," ")</f>
        <v xml:space="preserve"> </v>
      </c>
      <c r="T72" s="299" t="s">
        <v>448</v>
      </c>
      <c r="U72" s="301" t="str">
        <f t="shared" ref="U72" si="424">IFERROR(T72/$G72," ")</f>
        <v xml:space="preserve"> </v>
      </c>
      <c r="V72" s="299" t="s">
        <v>448</v>
      </c>
      <c r="W72" s="301" t="str">
        <f t="shared" ref="W72" si="425">IFERROR(V72/$G72," ")</f>
        <v xml:space="preserve"> </v>
      </c>
      <c r="X72" s="299" t="s">
        <v>448</v>
      </c>
      <c r="Y72" s="301" t="str">
        <f t="shared" ref="Y72" si="426">IFERROR(X72/$G72," ")</f>
        <v xml:space="preserve"> </v>
      </c>
      <c r="Z72" s="299" t="s">
        <v>448</v>
      </c>
      <c r="AA72" s="301" t="str">
        <f t="shared" ref="AA72" si="427">IFERROR(Z72/$G72," ")</f>
        <v xml:space="preserve"> </v>
      </c>
      <c r="AB72" s="292"/>
      <c r="AC72" s="279" t="str">
        <f t="shared" si="401"/>
        <v xml:space="preserve"> </v>
      </c>
      <c r="AD72" s="279" t="str">
        <f t="shared" si="402"/>
        <v xml:space="preserve"> </v>
      </c>
      <c r="AE72" s="279" t="str">
        <f t="shared" si="403"/>
        <v xml:space="preserve"> </v>
      </c>
      <c r="AF72" s="279" t="str">
        <f t="shared" si="404"/>
        <v xml:space="preserve"> </v>
      </c>
      <c r="AG72" s="279" t="str">
        <f t="shared" si="405"/>
        <v xml:space="preserve"> </v>
      </c>
      <c r="AH72" s="279" t="str">
        <f t="shared" si="406"/>
        <v xml:space="preserve"> </v>
      </c>
      <c r="AI72" s="279" t="str">
        <f t="shared" si="407"/>
        <v xml:space="preserve"> </v>
      </c>
      <c r="AJ72" s="279" t="str">
        <f t="shared" si="408"/>
        <v xml:space="preserve"> </v>
      </c>
    </row>
    <row r="73" spans="1:36" ht="28.5" x14ac:dyDescent="0.65">
      <c r="A73" s="203"/>
      <c r="B73" s="292" t="s">
        <v>1069</v>
      </c>
      <c r="C73" s="276" t="s">
        <v>1117</v>
      </c>
      <c r="D73" s="292" t="s">
        <v>451</v>
      </c>
      <c r="E73" s="321" t="str">
        <f>IFERROR(VLOOKUP(A73,Estimate!A:Q,17,FALSE)," ")</f>
        <v xml:space="preserve"> </v>
      </c>
      <c r="F73" s="299" t="s">
        <v>448</v>
      </c>
      <c r="G73" s="299" t="s">
        <v>448</v>
      </c>
      <c r="H73" s="298" t="s">
        <v>448</v>
      </c>
      <c r="I73" s="298" t="s">
        <v>448</v>
      </c>
      <c r="J73" s="298" t="s">
        <v>448</v>
      </c>
      <c r="K73" s="298"/>
      <c r="L73" s="299" t="s">
        <v>448</v>
      </c>
      <c r="M73" s="301" t="str">
        <f t="shared" si="409"/>
        <v xml:space="preserve"> </v>
      </c>
      <c r="N73" s="299" t="s">
        <v>448</v>
      </c>
      <c r="O73" s="301" t="str">
        <f t="shared" si="409"/>
        <v xml:space="preserve"> </v>
      </c>
      <c r="P73" s="299" t="s">
        <v>448</v>
      </c>
      <c r="Q73" s="301" t="str">
        <f t="shared" ref="Q73" si="428">IFERROR(P73/$G73," ")</f>
        <v xml:space="preserve"> </v>
      </c>
      <c r="R73" s="299" t="s">
        <v>448</v>
      </c>
      <c r="S73" s="301" t="str">
        <f t="shared" ref="S73" si="429">IFERROR(R73/$G73," ")</f>
        <v xml:space="preserve"> </v>
      </c>
      <c r="T73" s="299" t="s">
        <v>448</v>
      </c>
      <c r="U73" s="301" t="str">
        <f t="shared" ref="U73" si="430">IFERROR(T73/$G73," ")</f>
        <v xml:space="preserve"> </v>
      </c>
      <c r="V73" s="299" t="s">
        <v>448</v>
      </c>
      <c r="W73" s="301" t="str">
        <f t="shared" ref="W73" si="431">IFERROR(V73/$G73," ")</f>
        <v xml:space="preserve"> </v>
      </c>
      <c r="X73" s="299" t="s">
        <v>448</v>
      </c>
      <c r="Y73" s="301" t="str">
        <f t="shared" ref="Y73" si="432">IFERROR(X73/$G73," ")</f>
        <v xml:space="preserve"> </v>
      </c>
      <c r="Z73" s="299" t="s">
        <v>448</v>
      </c>
      <c r="AA73" s="301" t="str">
        <f t="shared" ref="AA73" si="433">IFERROR(Z73/$G73," ")</f>
        <v xml:space="preserve"> </v>
      </c>
      <c r="AB73" s="292"/>
      <c r="AC73" s="279" t="str">
        <f t="shared" si="401"/>
        <v xml:space="preserve"> </v>
      </c>
      <c r="AD73" s="279" t="str">
        <f t="shared" si="402"/>
        <v xml:space="preserve"> </v>
      </c>
      <c r="AE73" s="279" t="str">
        <f t="shared" si="403"/>
        <v xml:space="preserve"> </v>
      </c>
      <c r="AF73" s="279" t="str">
        <f t="shared" si="404"/>
        <v xml:space="preserve"> </v>
      </c>
      <c r="AG73" s="279" t="str">
        <f t="shared" si="405"/>
        <v xml:space="preserve"> </v>
      </c>
      <c r="AH73" s="279" t="str">
        <f t="shared" si="406"/>
        <v xml:space="preserve"> </v>
      </c>
      <c r="AI73" s="279" t="str">
        <f t="shared" si="407"/>
        <v xml:space="preserve"> </v>
      </c>
      <c r="AJ73" s="279" t="str">
        <f t="shared" si="408"/>
        <v xml:space="preserve"> </v>
      </c>
    </row>
    <row r="74" spans="1:36" ht="42.75" x14ac:dyDescent="0.65">
      <c r="A74" s="203">
        <v>58</v>
      </c>
      <c r="B74" s="292" t="s">
        <v>1118</v>
      </c>
      <c r="C74" s="276" t="s">
        <v>1119</v>
      </c>
      <c r="D74" s="292" t="s">
        <v>451</v>
      </c>
      <c r="E74" s="321"/>
      <c r="F74" s="299" t="s">
        <v>448</v>
      </c>
      <c r="G74" s="299" t="s">
        <v>448</v>
      </c>
      <c r="H74" s="298" t="s">
        <v>448</v>
      </c>
      <c r="I74" s="298" t="s">
        <v>448</v>
      </c>
      <c r="J74" s="298" t="s">
        <v>448</v>
      </c>
      <c r="K74" s="298"/>
      <c r="L74" s="299" t="s">
        <v>448</v>
      </c>
      <c r="M74" s="301" t="str">
        <f t="shared" si="409"/>
        <v xml:space="preserve"> </v>
      </c>
      <c r="N74" s="299" t="s">
        <v>448</v>
      </c>
      <c r="O74" s="301" t="str">
        <f t="shared" si="409"/>
        <v xml:space="preserve"> </v>
      </c>
      <c r="P74" s="299" t="s">
        <v>448</v>
      </c>
      <c r="Q74" s="301" t="str">
        <f t="shared" ref="Q74" si="434">IFERROR(P74/$G74," ")</f>
        <v xml:space="preserve"> </v>
      </c>
      <c r="R74" s="299" t="s">
        <v>448</v>
      </c>
      <c r="S74" s="301" t="str">
        <f t="shared" ref="S74" si="435">IFERROR(R74/$G74," ")</f>
        <v xml:space="preserve"> </v>
      </c>
      <c r="T74" s="299" t="s">
        <v>448</v>
      </c>
      <c r="U74" s="301" t="str">
        <f t="shared" ref="U74" si="436">IFERROR(T74/$G74," ")</f>
        <v xml:space="preserve"> </v>
      </c>
      <c r="V74" s="299" t="s">
        <v>448</v>
      </c>
      <c r="W74" s="301" t="str">
        <f t="shared" ref="W74" si="437">IFERROR(V74/$G74," ")</f>
        <v xml:space="preserve"> </v>
      </c>
      <c r="X74" s="299" t="s">
        <v>448</v>
      </c>
      <c r="Y74" s="301" t="str">
        <f t="shared" ref="Y74" si="438">IFERROR(X74/$G74," ")</f>
        <v xml:space="preserve"> </v>
      </c>
      <c r="Z74" s="299" t="s">
        <v>448</v>
      </c>
      <c r="AA74" s="301" t="str">
        <f t="shared" ref="AA74" si="439">IFERROR(Z74/$G74," ")</f>
        <v xml:space="preserve"> </v>
      </c>
      <c r="AB74" s="292"/>
      <c r="AC74" s="279" t="str">
        <f t="shared" si="401"/>
        <v xml:space="preserve"> </v>
      </c>
      <c r="AD74" s="279" t="str">
        <f t="shared" si="402"/>
        <v xml:space="preserve"> </v>
      </c>
      <c r="AE74" s="279" t="str">
        <f t="shared" si="403"/>
        <v xml:space="preserve"> </v>
      </c>
      <c r="AF74" s="279" t="str">
        <f t="shared" si="404"/>
        <v xml:space="preserve"> </v>
      </c>
      <c r="AG74" s="279" t="str">
        <f t="shared" si="405"/>
        <v xml:space="preserve"> </v>
      </c>
      <c r="AH74" s="279" t="str">
        <f t="shared" si="406"/>
        <v xml:space="preserve"> </v>
      </c>
      <c r="AI74" s="279" t="str">
        <f t="shared" si="407"/>
        <v xml:space="preserve"> </v>
      </c>
      <c r="AJ74" s="279" t="str">
        <f t="shared" si="408"/>
        <v xml:space="preserve"> </v>
      </c>
    </row>
    <row r="75" spans="1:36" x14ac:dyDescent="0.65">
      <c r="A75" s="203">
        <v>59</v>
      </c>
      <c r="B75" s="292" t="s">
        <v>1120</v>
      </c>
      <c r="C75" s="276" t="s">
        <v>135</v>
      </c>
      <c r="D75" s="292" t="s">
        <v>25</v>
      </c>
      <c r="E75" s="321">
        <f>IFERROR(VLOOKUP(A75,Estimate!A:Q,17,FALSE)," ")</f>
        <v>27475.512559599953</v>
      </c>
      <c r="F75" s="299">
        <v>670</v>
      </c>
      <c r="G75" s="299">
        <v>670</v>
      </c>
      <c r="H75" s="298">
        <v>52.25</v>
      </c>
      <c r="I75" s="298">
        <v>35007.5</v>
      </c>
      <c r="J75" s="298">
        <v>35007.5</v>
      </c>
      <c r="K75" s="298"/>
      <c r="L75" s="299"/>
      <c r="M75" s="301">
        <f t="shared" si="409"/>
        <v>0</v>
      </c>
      <c r="N75" s="299"/>
      <c r="O75" s="301">
        <f t="shared" si="409"/>
        <v>0</v>
      </c>
      <c r="P75" s="299">
        <v>310</v>
      </c>
      <c r="Q75" s="301">
        <f t="shared" ref="Q75" si="440">IFERROR(P75/$G75," ")</f>
        <v>0.46268656716417911</v>
      </c>
      <c r="R75" s="299">
        <v>318</v>
      </c>
      <c r="S75" s="301">
        <f t="shared" ref="S75" si="441">IFERROR(R75/$G75," ")</f>
        <v>0.47462686567164181</v>
      </c>
      <c r="T75" s="299">
        <v>670</v>
      </c>
      <c r="U75" s="301">
        <f t="shared" ref="U75" si="442">IFERROR(T75/$G75," ")</f>
        <v>1</v>
      </c>
      <c r="V75" s="299">
        <v>670</v>
      </c>
      <c r="W75" s="301">
        <f t="shared" ref="W75" si="443">IFERROR(V75/$G75," ")</f>
        <v>1</v>
      </c>
      <c r="X75" s="299">
        <v>670</v>
      </c>
      <c r="Y75" s="301">
        <f t="shared" ref="Y75" si="444">IFERROR(X75/$G75," ")</f>
        <v>1</v>
      </c>
      <c r="Z75" s="299">
        <v>670</v>
      </c>
      <c r="AA75" s="301">
        <f t="shared" ref="AA75" si="445">IFERROR(Z75/$G75," ")</f>
        <v>1</v>
      </c>
      <c r="AB75" s="292"/>
      <c r="AC75" s="279">
        <f t="shared" si="401"/>
        <v>0</v>
      </c>
      <c r="AD75" s="279">
        <f t="shared" si="402"/>
        <v>0</v>
      </c>
      <c r="AE75" s="279">
        <f t="shared" si="403"/>
        <v>16197.5</v>
      </c>
      <c r="AF75" s="279">
        <f t="shared" si="404"/>
        <v>16615.5</v>
      </c>
      <c r="AG75" s="279">
        <f t="shared" si="405"/>
        <v>35007.5</v>
      </c>
      <c r="AH75" s="279">
        <f t="shared" si="406"/>
        <v>35007.5</v>
      </c>
      <c r="AI75" s="279">
        <f t="shared" si="407"/>
        <v>35007.5</v>
      </c>
      <c r="AJ75" s="279">
        <f t="shared" si="408"/>
        <v>35007.5</v>
      </c>
    </row>
    <row r="76" spans="1:36" x14ac:dyDescent="0.65">
      <c r="A76" s="203">
        <v>60</v>
      </c>
      <c r="B76" s="292" t="s">
        <v>1121</v>
      </c>
      <c r="C76" s="276" t="s">
        <v>139</v>
      </c>
      <c r="D76" s="292" t="s">
        <v>25</v>
      </c>
      <c r="E76" s="321">
        <f>IFERROR(VLOOKUP(A76,Estimate!A:Q,17,FALSE)," ")</f>
        <v>10820.390464874497</v>
      </c>
      <c r="F76" s="299">
        <v>372</v>
      </c>
      <c r="G76" s="299">
        <v>372</v>
      </c>
      <c r="H76" s="298">
        <v>37.06</v>
      </c>
      <c r="I76" s="298">
        <v>13786.32</v>
      </c>
      <c r="J76" s="298">
        <v>13786.32</v>
      </c>
      <c r="K76" s="298"/>
      <c r="L76" s="299"/>
      <c r="M76" s="301">
        <f t="shared" si="409"/>
        <v>0</v>
      </c>
      <c r="N76" s="299"/>
      <c r="O76" s="301">
        <f t="shared" si="409"/>
        <v>0</v>
      </c>
      <c r="P76" s="299"/>
      <c r="Q76" s="301">
        <f t="shared" ref="Q76" si="446">IFERROR(P76/$G76," ")</f>
        <v>0</v>
      </c>
      <c r="R76" s="299"/>
      <c r="S76" s="301">
        <f t="shared" ref="S76" si="447">IFERROR(R76/$G76," ")</f>
        <v>0</v>
      </c>
      <c r="T76" s="299">
        <v>372</v>
      </c>
      <c r="U76" s="301">
        <f t="shared" ref="U76" si="448">IFERROR(T76/$G76," ")</f>
        <v>1</v>
      </c>
      <c r="V76" s="299">
        <v>372</v>
      </c>
      <c r="W76" s="301">
        <f t="shared" ref="W76" si="449">IFERROR(V76/$G76," ")</f>
        <v>1</v>
      </c>
      <c r="X76" s="299">
        <v>372</v>
      </c>
      <c r="Y76" s="301">
        <f t="shared" ref="Y76" si="450">IFERROR(X76/$G76," ")</f>
        <v>1</v>
      </c>
      <c r="Z76" s="299">
        <v>372</v>
      </c>
      <c r="AA76" s="301">
        <f t="shared" ref="AA76" si="451">IFERROR(Z76/$G76," ")</f>
        <v>1</v>
      </c>
      <c r="AB76" s="292"/>
      <c r="AC76" s="279">
        <f t="shared" si="401"/>
        <v>0</v>
      </c>
      <c r="AD76" s="279">
        <f t="shared" si="402"/>
        <v>0</v>
      </c>
      <c r="AE76" s="279">
        <f t="shared" si="403"/>
        <v>0</v>
      </c>
      <c r="AF76" s="279">
        <f t="shared" si="404"/>
        <v>0</v>
      </c>
      <c r="AG76" s="279">
        <f t="shared" si="405"/>
        <v>13786.32</v>
      </c>
      <c r="AH76" s="279">
        <f t="shared" si="406"/>
        <v>13786.32</v>
      </c>
      <c r="AI76" s="279">
        <f t="shared" si="407"/>
        <v>13786.32</v>
      </c>
      <c r="AJ76" s="279">
        <f t="shared" si="408"/>
        <v>13786.32</v>
      </c>
    </row>
    <row r="77" spans="1:36" x14ac:dyDescent="0.65">
      <c r="A77" s="203">
        <v>61</v>
      </c>
      <c r="B77" s="292" t="s">
        <v>1122</v>
      </c>
      <c r="C77" s="276" t="s">
        <v>141</v>
      </c>
      <c r="D77" s="292" t="s">
        <v>25</v>
      </c>
      <c r="E77" s="321">
        <f>IFERROR(VLOOKUP(A77,Estimate!A:Q,17,FALSE)," ")</f>
        <v>858.40305416503713</v>
      </c>
      <c r="F77" s="299">
        <v>207</v>
      </c>
      <c r="G77" s="299">
        <v>207</v>
      </c>
      <c r="H77" s="298">
        <v>31</v>
      </c>
      <c r="I77" s="298">
        <v>6417</v>
      </c>
      <c r="J77" s="298">
        <v>6417</v>
      </c>
      <c r="K77" s="298"/>
      <c r="L77" s="299"/>
      <c r="M77" s="301">
        <f t="shared" si="409"/>
        <v>0</v>
      </c>
      <c r="N77" s="299"/>
      <c r="O77" s="301">
        <f t="shared" si="409"/>
        <v>0</v>
      </c>
      <c r="P77" s="299">
        <v>90</v>
      </c>
      <c r="Q77" s="301">
        <f t="shared" ref="Q77" si="452">IFERROR(P77/$G77," ")</f>
        <v>0.43478260869565216</v>
      </c>
      <c r="R77" s="299">
        <v>90</v>
      </c>
      <c r="S77" s="301">
        <f t="shared" ref="S77" si="453">IFERROR(R77/$G77," ")</f>
        <v>0.43478260869565216</v>
      </c>
      <c r="T77" s="299">
        <v>165</v>
      </c>
      <c r="U77" s="301">
        <f t="shared" ref="U77" si="454">IFERROR(T77/$G77," ")</f>
        <v>0.79710144927536231</v>
      </c>
      <c r="V77" s="299">
        <v>197</v>
      </c>
      <c r="W77" s="301">
        <f t="shared" ref="W77" si="455">IFERROR(V77/$G77," ")</f>
        <v>0.95169082125603865</v>
      </c>
      <c r="X77" s="299">
        <v>197</v>
      </c>
      <c r="Y77" s="301">
        <f t="shared" ref="Y77" si="456">IFERROR(X77/$G77," ")</f>
        <v>0.95169082125603865</v>
      </c>
      <c r="Z77" s="299">
        <v>207</v>
      </c>
      <c r="AA77" s="301">
        <f t="shared" ref="AA77" si="457">IFERROR(Z77/$G77," ")</f>
        <v>1</v>
      </c>
      <c r="AB77" s="292"/>
      <c r="AC77" s="279">
        <f t="shared" si="401"/>
        <v>0</v>
      </c>
      <c r="AD77" s="279">
        <f t="shared" si="402"/>
        <v>0</v>
      </c>
      <c r="AE77" s="279">
        <f t="shared" si="403"/>
        <v>2790</v>
      </c>
      <c r="AF77" s="279">
        <f t="shared" si="404"/>
        <v>2790</v>
      </c>
      <c r="AG77" s="279">
        <f t="shared" si="405"/>
        <v>5115</v>
      </c>
      <c r="AH77" s="279">
        <f t="shared" si="406"/>
        <v>6107</v>
      </c>
      <c r="AI77" s="279">
        <f t="shared" si="407"/>
        <v>6107</v>
      </c>
      <c r="AJ77" s="279">
        <f t="shared" si="408"/>
        <v>6417</v>
      </c>
    </row>
    <row r="78" spans="1:36" x14ac:dyDescent="0.65">
      <c r="A78" s="203">
        <v>62</v>
      </c>
      <c r="B78" s="292" t="s">
        <v>1123</v>
      </c>
      <c r="C78" s="276" t="s">
        <v>143</v>
      </c>
      <c r="D78" s="292" t="s">
        <v>144</v>
      </c>
      <c r="E78" s="321">
        <f>IFERROR(VLOOKUP(A78,Estimate!A:Q,17,FALSE)," ")</f>
        <v>2291</v>
      </c>
      <c r="F78" s="299">
        <v>5</v>
      </c>
      <c r="G78" s="299">
        <v>5</v>
      </c>
      <c r="H78" s="298">
        <v>583.86</v>
      </c>
      <c r="I78" s="298">
        <v>2919.3</v>
      </c>
      <c r="J78" s="298">
        <v>2919.3</v>
      </c>
      <c r="K78" s="298"/>
      <c r="L78" s="299"/>
      <c r="M78" s="301">
        <f t="shared" si="409"/>
        <v>0</v>
      </c>
      <c r="N78" s="299"/>
      <c r="O78" s="301">
        <f t="shared" si="409"/>
        <v>0</v>
      </c>
      <c r="P78" s="299"/>
      <c r="Q78" s="301">
        <f t="shared" ref="Q78" si="458">IFERROR(P78/$G78," ")</f>
        <v>0</v>
      </c>
      <c r="R78" s="299">
        <v>3</v>
      </c>
      <c r="S78" s="301">
        <f t="shared" ref="S78" si="459">IFERROR(R78/$G78," ")</f>
        <v>0.6</v>
      </c>
      <c r="T78" s="299">
        <v>5</v>
      </c>
      <c r="U78" s="301">
        <f t="shared" ref="U78" si="460">IFERROR(T78/$G78," ")</f>
        <v>1</v>
      </c>
      <c r="V78" s="299">
        <v>5</v>
      </c>
      <c r="W78" s="301">
        <f t="shared" ref="W78" si="461">IFERROR(V78/$G78," ")</f>
        <v>1</v>
      </c>
      <c r="X78" s="299">
        <v>5</v>
      </c>
      <c r="Y78" s="301">
        <f t="shared" ref="Y78" si="462">IFERROR(X78/$G78," ")</f>
        <v>1</v>
      </c>
      <c r="Z78" s="299">
        <v>5</v>
      </c>
      <c r="AA78" s="301">
        <f t="shared" ref="AA78" si="463">IFERROR(Z78/$G78," ")</f>
        <v>1</v>
      </c>
      <c r="AB78" s="292"/>
      <c r="AC78" s="279">
        <f t="shared" si="401"/>
        <v>0</v>
      </c>
      <c r="AD78" s="279">
        <f t="shared" si="402"/>
        <v>0</v>
      </c>
      <c r="AE78" s="279">
        <f t="shared" si="403"/>
        <v>0</v>
      </c>
      <c r="AF78" s="279">
        <f t="shared" si="404"/>
        <v>1751.5800000000002</v>
      </c>
      <c r="AG78" s="279">
        <f t="shared" si="405"/>
        <v>2919.3</v>
      </c>
      <c r="AH78" s="279">
        <f t="shared" si="406"/>
        <v>2919.3</v>
      </c>
      <c r="AI78" s="279">
        <f t="shared" si="407"/>
        <v>2919.3</v>
      </c>
      <c r="AJ78" s="279">
        <f t="shared" si="408"/>
        <v>2919.3</v>
      </c>
    </row>
    <row r="79" spans="1:36" x14ac:dyDescent="0.65">
      <c r="A79" s="203">
        <v>63</v>
      </c>
      <c r="B79" s="292" t="s">
        <v>1124</v>
      </c>
      <c r="C79" s="276" t="s">
        <v>147</v>
      </c>
      <c r="D79" s="292" t="s">
        <v>54</v>
      </c>
      <c r="E79" s="321">
        <f>IFERROR(VLOOKUP(A79,Estimate!A:Q,17,FALSE)," ")</f>
        <v>11276.462122155623</v>
      </c>
      <c r="F79" s="299">
        <v>161</v>
      </c>
      <c r="G79" s="299">
        <v>161</v>
      </c>
      <c r="H79" s="298">
        <v>89.25</v>
      </c>
      <c r="I79" s="298">
        <v>14369.25</v>
      </c>
      <c r="J79" s="298">
        <v>14369.25</v>
      </c>
      <c r="K79" s="298"/>
      <c r="L79" s="299"/>
      <c r="M79" s="301">
        <f t="shared" si="409"/>
        <v>0</v>
      </c>
      <c r="N79" s="299"/>
      <c r="O79" s="301">
        <f t="shared" si="409"/>
        <v>0</v>
      </c>
      <c r="P79" s="299"/>
      <c r="Q79" s="301">
        <f t="shared" ref="Q79" si="464">IFERROR(P79/$G79," ")</f>
        <v>0</v>
      </c>
      <c r="R79" s="299"/>
      <c r="S79" s="301">
        <f t="shared" ref="S79" si="465">IFERROR(R79/$G79," ")</f>
        <v>0</v>
      </c>
      <c r="T79" s="299">
        <v>161</v>
      </c>
      <c r="U79" s="301">
        <f t="shared" ref="U79" si="466">IFERROR(T79/$G79," ")</f>
        <v>1</v>
      </c>
      <c r="V79" s="299">
        <v>161</v>
      </c>
      <c r="W79" s="301">
        <f t="shared" ref="W79" si="467">IFERROR(V79/$G79," ")</f>
        <v>1</v>
      </c>
      <c r="X79" s="299">
        <v>161</v>
      </c>
      <c r="Y79" s="301">
        <f t="shared" ref="Y79" si="468">IFERROR(X79/$G79," ")</f>
        <v>1</v>
      </c>
      <c r="Z79" s="299">
        <v>161</v>
      </c>
      <c r="AA79" s="301">
        <f t="shared" ref="AA79" si="469">IFERROR(Z79/$G79," ")</f>
        <v>1</v>
      </c>
      <c r="AB79" s="292"/>
      <c r="AC79" s="279">
        <f t="shared" si="401"/>
        <v>0</v>
      </c>
      <c r="AD79" s="279">
        <f t="shared" si="402"/>
        <v>0</v>
      </c>
      <c r="AE79" s="279">
        <f t="shared" si="403"/>
        <v>0</v>
      </c>
      <c r="AF79" s="279">
        <f t="shared" si="404"/>
        <v>0</v>
      </c>
      <c r="AG79" s="279">
        <f t="shared" si="405"/>
        <v>14369.25</v>
      </c>
      <c r="AH79" s="279">
        <f t="shared" si="406"/>
        <v>14369.25</v>
      </c>
      <c r="AI79" s="279">
        <f t="shared" si="407"/>
        <v>14369.25</v>
      </c>
      <c r="AJ79" s="279">
        <f t="shared" si="408"/>
        <v>14369.25</v>
      </c>
    </row>
    <row r="80" spans="1:36" x14ac:dyDescent="0.65">
      <c r="A80" s="203"/>
      <c r="B80" s="292" t="s">
        <v>1069</v>
      </c>
      <c r="C80" s="276" t="s">
        <v>448</v>
      </c>
      <c r="D80" s="292" t="s">
        <v>451</v>
      </c>
      <c r="E80" s="321" t="str">
        <f>IFERROR(VLOOKUP(A80,Estimate!A:Q,17,FALSE)," ")</f>
        <v xml:space="preserve"> </v>
      </c>
      <c r="F80" s="299" t="s">
        <v>448</v>
      </c>
      <c r="G80" s="299" t="s">
        <v>448</v>
      </c>
      <c r="H80" s="298" t="s">
        <v>448</v>
      </c>
      <c r="I80" s="298" t="s">
        <v>448</v>
      </c>
      <c r="J80" s="298" t="s">
        <v>448</v>
      </c>
      <c r="K80" s="298"/>
      <c r="L80" s="299" t="s">
        <v>448</v>
      </c>
      <c r="M80" s="301" t="str">
        <f t="shared" si="409"/>
        <v xml:space="preserve"> </v>
      </c>
      <c r="N80" s="299" t="s">
        <v>448</v>
      </c>
      <c r="O80" s="301" t="str">
        <f t="shared" si="409"/>
        <v xml:space="preserve"> </v>
      </c>
      <c r="P80" s="299" t="s">
        <v>448</v>
      </c>
      <c r="Q80" s="301" t="str">
        <f t="shared" ref="Q80" si="470">IFERROR(P80/$G80," ")</f>
        <v xml:space="preserve"> </v>
      </c>
      <c r="R80" s="299" t="s">
        <v>448</v>
      </c>
      <c r="S80" s="301" t="str">
        <f t="shared" ref="S80" si="471">IFERROR(R80/$G80," ")</f>
        <v xml:space="preserve"> </v>
      </c>
      <c r="T80" s="299" t="s">
        <v>448</v>
      </c>
      <c r="U80" s="301" t="str">
        <f t="shared" ref="U80" si="472">IFERROR(T80/$G80," ")</f>
        <v xml:space="preserve"> </v>
      </c>
      <c r="V80" s="299" t="s">
        <v>448</v>
      </c>
      <c r="W80" s="301" t="str">
        <f t="shared" ref="W80" si="473">IFERROR(V80/$G80," ")</f>
        <v xml:space="preserve"> </v>
      </c>
      <c r="X80" s="299" t="s">
        <v>448</v>
      </c>
      <c r="Y80" s="301" t="str">
        <f t="shared" ref="Y80" si="474">IFERROR(X80/$G80," ")</f>
        <v xml:space="preserve"> </v>
      </c>
      <c r="Z80" s="299" t="s">
        <v>448</v>
      </c>
      <c r="AA80" s="301" t="str">
        <f t="shared" ref="AA80" si="475">IFERROR(Z80/$G80," ")</f>
        <v xml:space="preserve"> </v>
      </c>
      <c r="AB80" s="292"/>
      <c r="AC80" s="279" t="str">
        <f t="shared" si="401"/>
        <v xml:space="preserve"> </v>
      </c>
      <c r="AD80" s="279" t="str">
        <f t="shared" si="402"/>
        <v xml:space="preserve"> </v>
      </c>
      <c r="AE80" s="279" t="str">
        <f t="shared" si="403"/>
        <v xml:space="preserve"> </v>
      </c>
      <c r="AF80" s="279" t="str">
        <f t="shared" si="404"/>
        <v xml:space="preserve"> </v>
      </c>
      <c r="AG80" s="279" t="str">
        <f t="shared" si="405"/>
        <v xml:space="preserve"> </v>
      </c>
      <c r="AH80" s="279" t="str">
        <f t="shared" si="406"/>
        <v xml:space="preserve"> </v>
      </c>
      <c r="AI80" s="279" t="str">
        <f t="shared" si="407"/>
        <v xml:space="preserve"> </v>
      </c>
      <c r="AJ80" s="279" t="str">
        <f t="shared" si="408"/>
        <v xml:space="preserve"> </v>
      </c>
    </row>
    <row r="81" spans="1:36" x14ac:dyDescent="0.65">
      <c r="A81" s="203">
        <v>64</v>
      </c>
      <c r="B81" s="292" t="s">
        <v>1125</v>
      </c>
      <c r="C81" s="276" t="s">
        <v>1126</v>
      </c>
      <c r="D81" s="292" t="s">
        <v>451</v>
      </c>
      <c r="E81" s="321"/>
      <c r="F81" s="299" t="s">
        <v>448</v>
      </c>
      <c r="G81" s="299" t="s">
        <v>448</v>
      </c>
      <c r="H81" s="298" t="s">
        <v>448</v>
      </c>
      <c r="I81" s="298" t="s">
        <v>448</v>
      </c>
      <c r="J81" s="298" t="s">
        <v>448</v>
      </c>
      <c r="K81" s="298"/>
      <c r="L81" s="299" t="s">
        <v>448</v>
      </c>
      <c r="M81" s="301" t="str">
        <f t="shared" si="409"/>
        <v xml:space="preserve"> </v>
      </c>
      <c r="N81" s="299" t="s">
        <v>448</v>
      </c>
      <c r="O81" s="301" t="str">
        <f t="shared" si="409"/>
        <v xml:space="preserve"> </v>
      </c>
      <c r="P81" s="299" t="s">
        <v>448</v>
      </c>
      <c r="Q81" s="301" t="str">
        <f t="shared" ref="Q81" si="476">IFERROR(P81/$G81," ")</f>
        <v xml:space="preserve"> </v>
      </c>
      <c r="R81" s="299" t="s">
        <v>448</v>
      </c>
      <c r="S81" s="301" t="str">
        <f t="shared" ref="S81" si="477">IFERROR(R81/$G81," ")</f>
        <v xml:space="preserve"> </v>
      </c>
      <c r="T81" s="299" t="s">
        <v>448</v>
      </c>
      <c r="U81" s="301" t="str">
        <f t="shared" ref="U81" si="478">IFERROR(T81/$G81," ")</f>
        <v xml:space="preserve"> </v>
      </c>
      <c r="V81" s="299" t="s">
        <v>448</v>
      </c>
      <c r="W81" s="301" t="str">
        <f t="shared" ref="W81" si="479">IFERROR(V81/$G81," ")</f>
        <v xml:space="preserve"> </v>
      </c>
      <c r="X81" s="299" t="s">
        <v>448</v>
      </c>
      <c r="Y81" s="301" t="str">
        <f t="shared" ref="Y81" si="480">IFERROR(X81/$G81," ")</f>
        <v xml:space="preserve"> </v>
      </c>
      <c r="Z81" s="299" t="s">
        <v>448</v>
      </c>
      <c r="AA81" s="301" t="str">
        <f t="shared" ref="AA81" si="481">IFERROR(Z81/$G81," ")</f>
        <v xml:space="preserve"> </v>
      </c>
      <c r="AB81" s="292"/>
      <c r="AC81" s="279" t="str">
        <f t="shared" si="401"/>
        <v xml:space="preserve"> </v>
      </c>
      <c r="AD81" s="279" t="str">
        <f t="shared" si="402"/>
        <v xml:space="preserve"> </v>
      </c>
      <c r="AE81" s="279" t="str">
        <f t="shared" si="403"/>
        <v xml:space="preserve"> </v>
      </c>
      <c r="AF81" s="279" t="str">
        <f t="shared" si="404"/>
        <v xml:space="preserve"> </v>
      </c>
      <c r="AG81" s="279" t="str">
        <f t="shared" si="405"/>
        <v xml:space="preserve"> </v>
      </c>
      <c r="AH81" s="279" t="str">
        <f t="shared" si="406"/>
        <v xml:space="preserve"> </v>
      </c>
      <c r="AI81" s="279" t="str">
        <f t="shared" si="407"/>
        <v xml:space="preserve"> </v>
      </c>
      <c r="AJ81" s="279" t="str">
        <f t="shared" si="408"/>
        <v xml:space="preserve"> </v>
      </c>
    </row>
    <row r="82" spans="1:36" x14ac:dyDescent="0.65">
      <c r="A82" s="203">
        <v>65</v>
      </c>
      <c r="B82" s="292" t="s">
        <v>1127</v>
      </c>
      <c r="C82" s="276" t="s">
        <v>153</v>
      </c>
      <c r="D82" s="292" t="s">
        <v>54</v>
      </c>
      <c r="E82" s="321">
        <f>IFERROR(VLOOKUP(A82,Estimate!A:Q,17,FALSE)," ")</f>
        <v>10775.038603013971</v>
      </c>
      <c r="F82" s="299">
        <v>195</v>
      </c>
      <c r="G82" s="299">
        <v>195</v>
      </c>
      <c r="H82" s="298">
        <v>70.41</v>
      </c>
      <c r="I82" s="298">
        <v>13729.95</v>
      </c>
      <c r="J82" s="298">
        <v>13729.95</v>
      </c>
      <c r="K82" s="298"/>
      <c r="L82" s="299"/>
      <c r="M82" s="301">
        <f t="shared" si="409"/>
        <v>0</v>
      </c>
      <c r="N82" s="299"/>
      <c r="O82" s="301">
        <f t="shared" si="409"/>
        <v>0</v>
      </c>
      <c r="P82" s="299"/>
      <c r="Q82" s="301">
        <f t="shared" ref="Q82" si="482">IFERROR(P82/$G82," ")</f>
        <v>0</v>
      </c>
      <c r="R82" s="299"/>
      <c r="S82" s="301">
        <f t="shared" ref="S82" si="483">IFERROR(R82/$G82," ")</f>
        <v>0</v>
      </c>
      <c r="T82" s="299">
        <v>195</v>
      </c>
      <c r="U82" s="301">
        <f t="shared" ref="U82" si="484">IFERROR(T82/$G82," ")</f>
        <v>1</v>
      </c>
      <c r="V82" s="299">
        <v>195</v>
      </c>
      <c r="W82" s="301">
        <f t="shared" ref="W82" si="485">IFERROR(V82/$G82," ")</f>
        <v>1</v>
      </c>
      <c r="X82" s="299">
        <v>195</v>
      </c>
      <c r="Y82" s="301">
        <f t="shared" ref="Y82" si="486">IFERROR(X82/$G82," ")</f>
        <v>1</v>
      </c>
      <c r="Z82" s="299">
        <v>195</v>
      </c>
      <c r="AA82" s="301">
        <f t="shared" ref="AA82" si="487">IFERROR(Z82/$G82," ")</f>
        <v>1</v>
      </c>
      <c r="AB82" s="292"/>
      <c r="AC82" s="279">
        <f t="shared" si="401"/>
        <v>0</v>
      </c>
      <c r="AD82" s="279">
        <f t="shared" si="402"/>
        <v>0</v>
      </c>
      <c r="AE82" s="279">
        <f t="shared" si="403"/>
        <v>0</v>
      </c>
      <c r="AF82" s="279">
        <f t="shared" si="404"/>
        <v>0</v>
      </c>
      <c r="AG82" s="279">
        <f t="shared" si="405"/>
        <v>13729.95</v>
      </c>
      <c r="AH82" s="279">
        <f t="shared" si="406"/>
        <v>13729.95</v>
      </c>
      <c r="AI82" s="279">
        <f t="shared" si="407"/>
        <v>13729.95</v>
      </c>
      <c r="AJ82" s="279">
        <f t="shared" si="408"/>
        <v>13729.95</v>
      </c>
    </row>
    <row r="83" spans="1:36" x14ac:dyDescent="0.65">
      <c r="A83" s="203">
        <v>66</v>
      </c>
      <c r="B83" s="292" t="s">
        <v>1128</v>
      </c>
      <c r="C83" s="276" t="s">
        <v>155</v>
      </c>
      <c r="D83" s="292" t="s">
        <v>54</v>
      </c>
      <c r="E83" s="321">
        <f>IFERROR(VLOOKUP(A83,Estimate!A:Q,17,FALSE)," ")</f>
        <v>1270.9019890734426</v>
      </c>
      <c r="F83" s="299">
        <v>23</v>
      </c>
      <c r="G83" s="299">
        <v>23</v>
      </c>
      <c r="H83" s="298">
        <v>70.41</v>
      </c>
      <c r="I83" s="298">
        <v>1619.43</v>
      </c>
      <c r="J83" s="298">
        <v>1619.43</v>
      </c>
      <c r="K83" s="298"/>
      <c r="L83" s="299"/>
      <c r="M83" s="301">
        <f t="shared" si="409"/>
        <v>0</v>
      </c>
      <c r="N83" s="299"/>
      <c r="O83" s="301">
        <f t="shared" si="409"/>
        <v>0</v>
      </c>
      <c r="P83" s="299"/>
      <c r="Q83" s="301">
        <f t="shared" ref="Q83" si="488">IFERROR(P83/$G83," ")</f>
        <v>0</v>
      </c>
      <c r="R83" s="299">
        <v>23</v>
      </c>
      <c r="S83" s="301">
        <f t="shared" ref="S83" si="489">IFERROR(R83/$G83," ")</f>
        <v>1</v>
      </c>
      <c r="T83" s="299">
        <v>23</v>
      </c>
      <c r="U83" s="301">
        <f t="shared" ref="U83" si="490">IFERROR(T83/$G83," ")</f>
        <v>1</v>
      </c>
      <c r="V83" s="299">
        <v>23</v>
      </c>
      <c r="W83" s="301">
        <f t="shared" ref="W83" si="491">IFERROR(V83/$G83," ")</f>
        <v>1</v>
      </c>
      <c r="X83" s="299">
        <v>23</v>
      </c>
      <c r="Y83" s="301">
        <f t="shared" ref="Y83" si="492">IFERROR(X83/$G83," ")</f>
        <v>1</v>
      </c>
      <c r="Z83" s="299">
        <v>23</v>
      </c>
      <c r="AA83" s="301">
        <f t="shared" ref="AA83" si="493">IFERROR(Z83/$G83," ")</f>
        <v>1</v>
      </c>
      <c r="AB83" s="292"/>
      <c r="AC83" s="279">
        <f t="shared" si="401"/>
        <v>0</v>
      </c>
      <c r="AD83" s="279">
        <f t="shared" si="402"/>
        <v>0</v>
      </c>
      <c r="AE83" s="279">
        <f t="shared" si="403"/>
        <v>0</v>
      </c>
      <c r="AF83" s="279">
        <f t="shared" si="404"/>
        <v>1619.43</v>
      </c>
      <c r="AG83" s="279">
        <f t="shared" si="405"/>
        <v>1619.43</v>
      </c>
      <c r="AH83" s="279">
        <f t="shared" si="406"/>
        <v>1619.43</v>
      </c>
      <c r="AI83" s="279">
        <f t="shared" si="407"/>
        <v>1619.43</v>
      </c>
      <c r="AJ83" s="279">
        <f t="shared" si="408"/>
        <v>1619.43</v>
      </c>
    </row>
    <row r="84" spans="1:36" x14ac:dyDescent="0.65">
      <c r="A84" s="203">
        <v>67</v>
      </c>
      <c r="B84" s="292" t="s">
        <v>1129</v>
      </c>
      <c r="C84" s="276" t="s">
        <v>157</v>
      </c>
      <c r="D84" s="292" t="s">
        <v>54</v>
      </c>
      <c r="E84" s="321">
        <f>IFERROR(VLOOKUP(A84,Estimate!A:Q,17,FALSE)," ")</f>
        <v>16575.151008836576</v>
      </c>
      <c r="F84" s="299">
        <v>439</v>
      </c>
      <c r="G84" s="299">
        <v>439</v>
      </c>
      <c r="H84" s="298">
        <v>70.41</v>
      </c>
      <c r="I84" s="298">
        <v>30909.99</v>
      </c>
      <c r="J84" s="298">
        <v>30909.99</v>
      </c>
      <c r="K84" s="298"/>
      <c r="L84" s="299"/>
      <c r="M84" s="301">
        <f t="shared" si="409"/>
        <v>0</v>
      </c>
      <c r="N84" s="299"/>
      <c r="O84" s="301">
        <f t="shared" si="409"/>
        <v>0</v>
      </c>
      <c r="P84" s="299"/>
      <c r="Q84" s="301">
        <f t="shared" ref="Q84" si="494">IFERROR(P84/$G84," ")</f>
        <v>0</v>
      </c>
      <c r="R84" s="299">
        <v>403.5</v>
      </c>
      <c r="S84" s="301">
        <f t="shared" ref="S84" si="495">IFERROR(R84/$G84," ")</f>
        <v>0.9191343963553531</v>
      </c>
      <c r="T84" s="299">
        <v>403.5</v>
      </c>
      <c r="U84" s="301">
        <f t="shared" ref="U84" si="496">IFERROR(T84/$G84," ")</f>
        <v>0.9191343963553531</v>
      </c>
      <c r="V84" s="299">
        <v>439</v>
      </c>
      <c r="W84" s="301">
        <f t="shared" ref="W84" si="497">IFERROR(V84/$G84," ")</f>
        <v>1</v>
      </c>
      <c r="X84" s="299">
        <v>439</v>
      </c>
      <c r="Y84" s="301">
        <f t="shared" ref="Y84" si="498">IFERROR(X84/$G84," ")</f>
        <v>1</v>
      </c>
      <c r="Z84" s="299">
        <v>439</v>
      </c>
      <c r="AA84" s="301">
        <f t="shared" ref="AA84" si="499">IFERROR(Z84/$G84," ")</f>
        <v>1</v>
      </c>
      <c r="AB84" s="292"/>
      <c r="AC84" s="279">
        <f t="shared" si="401"/>
        <v>0</v>
      </c>
      <c r="AD84" s="279">
        <f t="shared" si="402"/>
        <v>0</v>
      </c>
      <c r="AE84" s="279">
        <f t="shared" si="403"/>
        <v>0</v>
      </c>
      <c r="AF84" s="279">
        <f t="shared" si="404"/>
        <v>28410.435000000001</v>
      </c>
      <c r="AG84" s="279">
        <f t="shared" si="405"/>
        <v>28410.435000000001</v>
      </c>
      <c r="AH84" s="279">
        <f t="shared" si="406"/>
        <v>30909.99</v>
      </c>
      <c r="AI84" s="279">
        <f t="shared" si="407"/>
        <v>30909.99</v>
      </c>
      <c r="AJ84" s="279">
        <f t="shared" si="408"/>
        <v>30909.99</v>
      </c>
    </row>
    <row r="85" spans="1:36" ht="28.5" x14ac:dyDescent="0.65">
      <c r="A85" s="203">
        <v>68</v>
      </c>
      <c r="B85" s="292" t="s">
        <v>1130</v>
      </c>
      <c r="C85" s="276" t="s">
        <v>159</v>
      </c>
      <c r="D85" s="292" t="s">
        <v>54</v>
      </c>
      <c r="E85" s="321">
        <f>IFERROR(VLOOKUP(A85,Estimate!A:Q,17,FALSE)," ")</f>
        <v>3766.1740384996151</v>
      </c>
      <c r="F85" s="299">
        <v>102</v>
      </c>
      <c r="G85" s="299">
        <v>102</v>
      </c>
      <c r="H85" s="298">
        <v>69.349999999999994</v>
      </c>
      <c r="I85" s="298">
        <v>7073.7</v>
      </c>
      <c r="J85" s="298">
        <v>7073.7</v>
      </c>
      <c r="K85" s="298"/>
      <c r="L85" s="299"/>
      <c r="M85" s="301">
        <f t="shared" si="409"/>
        <v>0</v>
      </c>
      <c r="N85" s="299"/>
      <c r="O85" s="301">
        <f t="shared" si="409"/>
        <v>0</v>
      </c>
      <c r="P85" s="299"/>
      <c r="Q85" s="301">
        <f t="shared" ref="Q85" si="500">IFERROR(P85/$G85," ")</f>
        <v>0</v>
      </c>
      <c r="R85" s="299"/>
      <c r="S85" s="301">
        <f t="shared" ref="S85" si="501">IFERROR(R85/$G85," ")</f>
        <v>0</v>
      </c>
      <c r="T85" s="299"/>
      <c r="U85" s="301">
        <f t="shared" ref="U85" si="502">IFERROR(T85/$G85," ")</f>
        <v>0</v>
      </c>
      <c r="V85" s="299"/>
      <c r="W85" s="301">
        <f t="shared" ref="W85" si="503">IFERROR(V85/$G85," ")</f>
        <v>0</v>
      </c>
      <c r="X85" s="299">
        <v>102</v>
      </c>
      <c r="Y85" s="301">
        <f t="shared" ref="Y85" si="504">IFERROR(X85/$G85," ")</f>
        <v>1</v>
      </c>
      <c r="Z85" s="299">
        <v>102</v>
      </c>
      <c r="AA85" s="301">
        <f t="shared" ref="AA85" si="505">IFERROR(Z85/$G85," ")</f>
        <v>1</v>
      </c>
      <c r="AB85" s="292"/>
      <c r="AC85" s="279">
        <f t="shared" si="401"/>
        <v>0</v>
      </c>
      <c r="AD85" s="279">
        <f t="shared" si="402"/>
        <v>0</v>
      </c>
      <c r="AE85" s="279">
        <f t="shared" si="403"/>
        <v>0</v>
      </c>
      <c r="AF85" s="279">
        <f t="shared" si="404"/>
        <v>0</v>
      </c>
      <c r="AG85" s="279">
        <f t="shared" si="405"/>
        <v>0</v>
      </c>
      <c r="AH85" s="279">
        <f t="shared" si="406"/>
        <v>0</v>
      </c>
      <c r="AI85" s="279">
        <f t="shared" si="407"/>
        <v>7073.7</v>
      </c>
      <c r="AJ85" s="279">
        <f t="shared" si="408"/>
        <v>7073.7</v>
      </c>
    </row>
    <row r="86" spans="1:36" ht="28.5" x14ac:dyDescent="0.65">
      <c r="A86" s="203">
        <v>69</v>
      </c>
      <c r="B86" s="292" t="s">
        <v>1131</v>
      </c>
      <c r="C86" s="276" t="s">
        <v>161</v>
      </c>
      <c r="D86" s="292" t="s">
        <v>144</v>
      </c>
      <c r="E86" s="321">
        <f>IFERROR(VLOOKUP(A86,Estimate!A:Q,17,FALSE)," ")</f>
        <v>13301.333333333334</v>
      </c>
      <c r="F86" s="299">
        <v>86</v>
      </c>
      <c r="G86" s="299">
        <v>86</v>
      </c>
      <c r="H86" s="298">
        <v>197.08</v>
      </c>
      <c r="I86" s="298">
        <v>16948.88</v>
      </c>
      <c r="J86" s="298">
        <v>16948.88</v>
      </c>
      <c r="K86" s="298"/>
      <c r="L86" s="299"/>
      <c r="M86" s="301">
        <f t="shared" si="409"/>
        <v>0</v>
      </c>
      <c r="N86" s="299"/>
      <c r="O86" s="301">
        <f t="shared" si="409"/>
        <v>0</v>
      </c>
      <c r="P86" s="299"/>
      <c r="Q86" s="301">
        <f t="shared" ref="Q86" si="506">IFERROR(P86/$G86," ")</f>
        <v>0</v>
      </c>
      <c r="R86" s="299"/>
      <c r="S86" s="301">
        <f t="shared" ref="S86" si="507">IFERROR(R86/$G86," ")</f>
        <v>0</v>
      </c>
      <c r="T86" s="299"/>
      <c r="U86" s="301">
        <f t="shared" ref="U86" si="508">IFERROR(T86/$G86," ")</f>
        <v>0</v>
      </c>
      <c r="V86" s="299"/>
      <c r="W86" s="301">
        <f t="shared" ref="W86" si="509">IFERROR(V86/$G86," ")</f>
        <v>0</v>
      </c>
      <c r="X86" s="299">
        <v>86</v>
      </c>
      <c r="Y86" s="301">
        <f t="shared" ref="Y86" si="510">IFERROR(X86/$G86," ")</f>
        <v>1</v>
      </c>
      <c r="Z86" s="299">
        <v>86</v>
      </c>
      <c r="AA86" s="301">
        <f t="shared" ref="AA86" si="511">IFERROR(Z86/$G86," ")</f>
        <v>1</v>
      </c>
      <c r="AB86" s="292"/>
      <c r="AC86" s="279">
        <f t="shared" si="401"/>
        <v>0</v>
      </c>
      <c r="AD86" s="279">
        <f t="shared" si="402"/>
        <v>0</v>
      </c>
      <c r="AE86" s="279">
        <f t="shared" si="403"/>
        <v>0</v>
      </c>
      <c r="AF86" s="279">
        <f t="shared" si="404"/>
        <v>0</v>
      </c>
      <c r="AG86" s="279">
        <f t="shared" si="405"/>
        <v>0</v>
      </c>
      <c r="AH86" s="279">
        <f t="shared" si="406"/>
        <v>0</v>
      </c>
      <c r="AI86" s="279">
        <f t="shared" si="407"/>
        <v>16948.88</v>
      </c>
      <c r="AJ86" s="279">
        <f t="shared" si="408"/>
        <v>16948.88</v>
      </c>
    </row>
    <row r="87" spans="1:36" x14ac:dyDescent="0.65">
      <c r="A87" s="203"/>
      <c r="B87" s="292" t="s">
        <v>1069</v>
      </c>
      <c r="C87" s="276" t="s">
        <v>448</v>
      </c>
      <c r="D87" s="292" t="s">
        <v>451</v>
      </c>
      <c r="E87" s="321" t="str">
        <f>IFERROR(VLOOKUP(A87,Estimate!A:Q,17,FALSE)," ")</f>
        <v xml:space="preserve"> </v>
      </c>
      <c r="F87" s="299" t="s">
        <v>448</v>
      </c>
      <c r="G87" s="299" t="s">
        <v>448</v>
      </c>
      <c r="H87" s="298" t="s">
        <v>448</v>
      </c>
      <c r="I87" s="298" t="s">
        <v>448</v>
      </c>
      <c r="J87" s="298" t="s">
        <v>448</v>
      </c>
      <c r="K87" s="298"/>
      <c r="L87" s="299" t="s">
        <v>448</v>
      </c>
      <c r="M87" s="301" t="str">
        <f t="shared" si="409"/>
        <v xml:space="preserve"> </v>
      </c>
      <c r="N87" s="299" t="s">
        <v>448</v>
      </c>
      <c r="O87" s="301" t="str">
        <f t="shared" si="409"/>
        <v xml:space="preserve"> </v>
      </c>
      <c r="P87" s="299" t="s">
        <v>448</v>
      </c>
      <c r="Q87" s="301" t="str">
        <f t="shared" ref="Q87" si="512">IFERROR(P87/$G87," ")</f>
        <v xml:space="preserve"> </v>
      </c>
      <c r="R87" s="299" t="s">
        <v>448</v>
      </c>
      <c r="S87" s="301" t="str">
        <f t="shared" ref="S87" si="513">IFERROR(R87/$G87," ")</f>
        <v xml:space="preserve"> </v>
      </c>
      <c r="T87" s="299" t="s">
        <v>448</v>
      </c>
      <c r="U87" s="301" t="str">
        <f t="shared" ref="U87" si="514">IFERROR(T87/$G87," ")</f>
        <v xml:space="preserve"> </v>
      </c>
      <c r="V87" s="299" t="s">
        <v>448</v>
      </c>
      <c r="W87" s="301" t="str">
        <f t="shared" ref="W87" si="515">IFERROR(V87/$G87," ")</f>
        <v xml:space="preserve"> </v>
      </c>
      <c r="X87" s="299" t="s">
        <v>448</v>
      </c>
      <c r="Y87" s="301" t="str">
        <f t="shared" ref="Y87" si="516">IFERROR(X87/$G87," ")</f>
        <v xml:space="preserve"> </v>
      </c>
      <c r="Z87" s="299" t="s">
        <v>448</v>
      </c>
      <c r="AA87" s="301" t="str">
        <f t="shared" ref="AA87" si="517">IFERROR(Z87/$G87," ")</f>
        <v xml:space="preserve"> </v>
      </c>
      <c r="AB87" s="292"/>
      <c r="AC87" s="279" t="str">
        <f t="shared" si="401"/>
        <v xml:space="preserve"> </v>
      </c>
      <c r="AD87" s="279" t="str">
        <f t="shared" si="402"/>
        <v xml:space="preserve"> </v>
      </c>
      <c r="AE87" s="279" t="str">
        <f t="shared" si="403"/>
        <v xml:space="preserve"> </v>
      </c>
      <c r="AF87" s="279" t="str">
        <f t="shared" si="404"/>
        <v xml:space="preserve"> </v>
      </c>
      <c r="AG87" s="279" t="str">
        <f t="shared" si="405"/>
        <v xml:space="preserve"> </v>
      </c>
      <c r="AH87" s="279" t="str">
        <f t="shared" si="406"/>
        <v xml:space="preserve"> </v>
      </c>
      <c r="AI87" s="279" t="str">
        <f t="shared" si="407"/>
        <v xml:space="preserve"> </v>
      </c>
      <c r="AJ87" s="279" t="str">
        <f t="shared" si="408"/>
        <v xml:space="preserve"> </v>
      </c>
    </row>
    <row r="88" spans="1:36" x14ac:dyDescent="0.65">
      <c r="A88" s="203">
        <v>70</v>
      </c>
      <c r="B88" s="292">
        <v>4.5</v>
      </c>
      <c r="C88" s="276" t="s">
        <v>629</v>
      </c>
      <c r="D88" s="292" t="s">
        <v>451</v>
      </c>
      <c r="E88" s="321"/>
      <c r="F88" s="299" t="s">
        <v>448</v>
      </c>
      <c r="G88" s="299" t="s">
        <v>448</v>
      </c>
      <c r="H88" s="298" t="s">
        <v>448</v>
      </c>
      <c r="I88" s="298" t="s">
        <v>448</v>
      </c>
      <c r="J88" s="298" t="s">
        <v>448</v>
      </c>
      <c r="K88" s="298"/>
      <c r="L88" s="299" t="s">
        <v>448</v>
      </c>
      <c r="M88" s="301" t="str">
        <f t="shared" si="409"/>
        <v xml:space="preserve"> </v>
      </c>
      <c r="N88" s="299" t="s">
        <v>448</v>
      </c>
      <c r="O88" s="301" t="str">
        <f t="shared" si="409"/>
        <v xml:space="preserve"> </v>
      </c>
      <c r="P88" s="299" t="s">
        <v>448</v>
      </c>
      <c r="Q88" s="301" t="str">
        <f t="shared" ref="Q88" si="518">IFERROR(P88/$G88," ")</f>
        <v xml:space="preserve"> </v>
      </c>
      <c r="R88" s="299" t="s">
        <v>448</v>
      </c>
      <c r="S88" s="301" t="str">
        <f t="shared" ref="S88" si="519">IFERROR(R88/$G88," ")</f>
        <v xml:space="preserve"> </v>
      </c>
      <c r="T88" s="299" t="s">
        <v>448</v>
      </c>
      <c r="U88" s="301" t="str">
        <f t="shared" ref="U88" si="520">IFERROR(T88/$G88," ")</f>
        <v xml:space="preserve"> </v>
      </c>
      <c r="V88" s="299" t="s">
        <v>448</v>
      </c>
      <c r="W88" s="301" t="str">
        <f t="shared" ref="W88" si="521">IFERROR(V88/$G88," ")</f>
        <v xml:space="preserve"> </v>
      </c>
      <c r="X88" s="299" t="s">
        <v>448</v>
      </c>
      <c r="Y88" s="301" t="str">
        <f t="shared" ref="Y88" si="522">IFERROR(X88/$G88," ")</f>
        <v xml:space="preserve"> </v>
      </c>
      <c r="Z88" s="299" t="s">
        <v>448</v>
      </c>
      <c r="AA88" s="301" t="str">
        <f t="shared" ref="AA88" si="523">IFERROR(Z88/$G88," ")</f>
        <v xml:space="preserve"> </v>
      </c>
      <c r="AB88" s="292"/>
      <c r="AC88" s="279" t="str">
        <f t="shared" si="401"/>
        <v xml:space="preserve"> </v>
      </c>
      <c r="AD88" s="279" t="str">
        <f t="shared" si="402"/>
        <v xml:space="preserve"> </v>
      </c>
      <c r="AE88" s="279" t="str">
        <f t="shared" si="403"/>
        <v xml:space="preserve"> </v>
      </c>
      <c r="AF88" s="279" t="str">
        <f t="shared" si="404"/>
        <v xml:space="preserve"> </v>
      </c>
      <c r="AG88" s="279" t="str">
        <f t="shared" si="405"/>
        <v xml:space="preserve"> </v>
      </c>
      <c r="AH88" s="279" t="str">
        <f t="shared" si="406"/>
        <v xml:space="preserve"> </v>
      </c>
      <c r="AI88" s="279" t="str">
        <f t="shared" si="407"/>
        <v xml:space="preserve"> </v>
      </c>
      <c r="AJ88" s="279" t="str">
        <f t="shared" si="408"/>
        <v xml:space="preserve"> </v>
      </c>
    </row>
    <row r="89" spans="1:36" x14ac:dyDescent="0.65">
      <c r="A89" s="203">
        <v>71</v>
      </c>
      <c r="B89" s="292" t="s">
        <v>1132</v>
      </c>
      <c r="C89" s="276" t="s">
        <v>630</v>
      </c>
      <c r="D89" s="292" t="s">
        <v>451</v>
      </c>
      <c r="E89" s="321"/>
      <c r="F89" s="299" t="s">
        <v>448</v>
      </c>
      <c r="G89" s="299" t="s">
        <v>448</v>
      </c>
      <c r="H89" s="298" t="s">
        <v>448</v>
      </c>
      <c r="I89" s="298" t="s">
        <v>448</v>
      </c>
      <c r="J89" s="298" t="s">
        <v>448</v>
      </c>
      <c r="K89" s="298"/>
      <c r="L89" s="299" t="s">
        <v>448</v>
      </c>
      <c r="M89" s="301" t="str">
        <f t="shared" si="409"/>
        <v xml:space="preserve"> </v>
      </c>
      <c r="N89" s="299" t="s">
        <v>448</v>
      </c>
      <c r="O89" s="301" t="str">
        <f t="shared" si="409"/>
        <v xml:space="preserve"> </v>
      </c>
      <c r="P89" s="299" t="s">
        <v>448</v>
      </c>
      <c r="Q89" s="301" t="str">
        <f t="shared" ref="Q89" si="524">IFERROR(P89/$G89," ")</f>
        <v xml:space="preserve"> </v>
      </c>
      <c r="R89" s="299" t="s">
        <v>448</v>
      </c>
      <c r="S89" s="301" t="str">
        <f t="shared" ref="S89" si="525">IFERROR(R89/$G89," ")</f>
        <v xml:space="preserve"> </v>
      </c>
      <c r="T89" s="299" t="s">
        <v>448</v>
      </c>
      <c r="U89" s="301" t="str">
        <f t="shared" ref="U89" si="526">IFERROR(T89/$G89," ")</f>
        <v xml:space="preserve"> </v>
      </c>
      <c r="V89" s="299" t="s">
        <v>448</v>
      </c>
      <c r="W89" s="301" t="str">
        <f t="shared" ref="W89" si="527">IFERROR(V89/$G89," ")</f>
        <v xml:space="preserve"> </v>
      </c>
      <c r="X89" s="299" t="s">
        <v>448</v>
      </c>
      <c r="Y89" s="301" t="str">
        <f t="shared" ref="Y89" si="528">IFERROR(X89/$G89," ")</f>
        <v xml:space="preserve"> </v>
      </c>
      <c r="Z89" s="299" t="s">
        <v>448</v>
      </c>
      <c r="AA89" s="301" t="str">
        <f t="shared" ref="AA89" si="529">IFERROR(Z89/$G89," ")</f>
        <v xml:space="preserve"> </v>
      </c>
      <c r="AB89" s="292"/>
      <c r="AC89" s="279" t="str">
        <f t="shared" si="401"/>
        <v xml:space="preserve"> </v>
      </c>
      <c r="AD89" s="279" t="str">
        <f t="shared" si="402"/>
        <v xml:space="preserve"> </v>
      </c>
      <c r="AE89" s="279" t="str">
        <f t="shared" si="403"/>
        <v xml:space="preserve"> </v>
      </c>
      <c r="AF89" s="279" t="str">
        <f t="shared" si="404"/>
        <v xml:space="preserve"> </v>
      </c>
      <c r="AG89" s="279" t="str">
        <f t="shared" si="405"/>
        <v xml:space="preserve"> </v>
      </c>
      <c r="AH89" s="279" t="str">
        <f t="shared" si="406"/>
        <v xml:space="preserve"> </v>
      </c>
      <c r="AI89" s="279" t="str">
        <f t="shared" si="407"/>
        <v xml:space="preserve"> </v>
      </c>
      <c r="AJ89" s="279" t="str">
        <f t="shared" si="408"/>
        <v xml:space="preserve"> </v>
      </c>
    </row>
    <row r="90" spans="1:36" x14ac:dyDescent="0.65">
      <c r="A90" s="203">
        <v>72</v>
      </c>
      <c r="B90" s="292" t="s">
        <v>1133</v>
      </c>
      <c r="C90" s="276" t="s">
        <v>164</v>
      </c>
      <c r="D90" s="292" t="s">
        <v>54</v>
      </c>
      <c r="E90" s="321">
        <f>IFERROR(VLOOKUP(A90,Estimate!A:Q,17,FALSE)," ")</f>
        <v>11739.105000000001</v>
      </c>
      <c r="F90" s="299">
        <v>2490</v>
      </c>
      <c r="G90" s="299">
        <v>2490</v>
      </c>
      <c r="H90" s="298">
        <v>6.01</v>
      </c>
      <c r="I90" s="298">
        <v>14964.9</v>
      </c>
      <c r="J90" s="298">
        <v>14964.9</v>
      </c>
      <c r="K90" s="298"/>
      <c r="L90" s="299"/>
      <c r="M90" s="301">
        <f t="shared" si="409"/>
        <v>0</v>
      </c>
      <c r="N90" s="299"/>
      <c r="O90" s="301">
        <f t="shared" si="409"/>
        <v>0</v>
      </c>
      <c r="P90" s="299"/>
      <c r="Q90" s="301">
        <f t="shared" ref="Q90" si="530">IFERROR(P90/$G90," ")</f>
        <v>0</v>
      </c>
      <c r="R90" s="299">
        <v>2490</v>
      </c>
      <c r="S90" s="301">
        <f t="shared" ref="S90" si="531">IFERROR(R90/$G90," ")</f>
        <v>1</v>
      </c>
      <c r="T90" s="299">
        <v>2490</v>
      </c>
      <c r="U90" s="301">
        <f t="shared" ref="U90" si="532">IFERROR(T90/$G90," ")</f>
        <v>1</v>
      </c>
      <c r="V90" s="299">
        <v>2490</v>
      </c>
      <c r="W90" s="301">
        <f t="shared" ref="W90" si="533">IFERROR(V90/$G90," ")</f>
        <v>1</v>
      </c>
      <c r="X90" s="299">
        <v>2490</v>
      </c>
      <c r="Y90" s="301">
        <f t="shared" ref="Y90" si="534">IFERROR(X90/$G90," ")</f>
        <v>1</v>
      </c>
      <c r="Z90" s="299">
        <v>2490</v>
      </c>
      <c r="AA90" s="301">
        <f t="shared" ref="AA90" si="535">IFERROR(Z90/$G90," ")</f>
        <v>1</v>
      </c>
      <c r="AB90" s="292"/>
      <c r="AC90" s="279">
        <f t="shared" si="401"/>
        <v>0</v>
      </c>
      <c r="AD90" s="279">
        <f t="shared" si="402"/>
        <v>0</v>
      </c>
      <c r="AE90" s="279">
        <f t="shared" si="403"/>
        <v>0</v>
      </c>
      <c r="AF90" s="279">
        <f t="shared" si="404"/>
        <v>14964.9</v>
      </c>
      <c r="AG90" s="279">
        <f t="shared" si="405"/>
        <v>14964.9</v>
      </c>
      <c r="AH90" s="279">
        <f t="shared" si="406"/>
        <v>14964.9</v>
      </c>
      <c r="AI90" s="279">
        <f t="shared" si="407"/>
        <v>14964.9</v>
      </c>
      <c r="AJ90" s="279">
        <f t="shared" si="408"/>
        <v>14964.9</v>
      </c>
    </row>
    <row r="91" spans="1:36" ht="42.75" x14ac:dyDescent="0.65">
      <c r="A91" s="203">
        <v>73</v>
      </c>
      <c r="B91" s="292" t="s">
        <v>1134</v>
      </c>
      <c r="C91" s="276" t="s">
        <v>166</v>
      </c>
      <c r="D91" s="292" t="s">
        <v>64</v>
      </c>
      <c r="E91" s="321">
        <f>IFERROR(VLOOKUP(A91,Estimate!A:Q,17,FALSE)," ")</f>
        <v>71463</v>
      </c>
      <c r="F91" s="299">
        <v>249</v>
      </c>
      <c r="G91" s="299">
        <v>249</v>
      </c>
      <c r="H91" s="298">
        <v>294.18</v>
      </c>
      <c r="I91" s="298">
        <v>73250.820000000007</v>
      </c>
      <c r="J91" s="298">
        <v>73250.820000000007</v>
      </c>
      <c r="K91" s="298"/>
      <c r="L91" s="299"/>
      <c r="M91" s="301">
        <f t="shared" si="409"/>
        <v>0</v>
      </c>
      <c r="N91" s="299"/>
      <c r="O91" s="301">
        <f t="shared" si="409"/>
        <v>0</v>
      </c>
      <c r="P91" s="299"/>
      <c r="Q91" s="301">
        <f t="shared" ref="Q91" si="536">IFERROR(P91/$G91," ")</f>
        <v>0</v>
      </c>
      <c r="R91" s="299"/>
      <c r="S91" s="301">
        <f t="shared" ref="S91" si="537">IFERROR(R91/$G91," ")</f>
        <v>0</v>
      </c>
      <c r="T91" s="299">
        <v>249</v>
      </c>
      <c r="U91" s="301">
        <f t="shared" ref="U91" si="538">IFERROR(T91/$G91," ")</f>
        <v>1</v>
      </c>
      <c r="V91" s="299">
        <v>249</v>
      </c>
      <c r="W91" s="301">
        <f t="shared" ref="W91" si="539">IFERROR(V91/$G91," ")</f>
        <v>1</v>
      </c>
      <c r="X91" s="299">
        <v>249</v>
      </c>
      <c r="Y91" s="301">
        <f t="shared" ref="Y91" si="540">IFERROR(X91/$G91," ")</f>
        <v>1</v>
      </c>
      <c r="Z91" s="299">
        <v>249</v>
      </c>
      <c r="AA91" s="301">
        <f t="shared" ref="AA91" si="541">IFERROR(Z91/$G91," ")</f>
        <v>1</v>
      </c>
      <c r="AB91" s="292"/>
      <c r="AC91" s="279">
        <f t="shared" si="401"/>
        <v>0</v>
      </c>
      <c r="AD91" s="279">
        <f t="shared" si="402"/>
        <v>0</v>
      </c>
      <c r="AE91" s="279">
        <f t="shared" si="403"/>
        <v>0</v>
      </c>
      <c r="AF91" s="279">
        <f t="shared" si="404"/>
        <v>0</v>
      </c>
      <c r="AG91" s="279">
        <f t="shared" si="405"/>
        <v>73250.820000000007</v>
      </c>
      <c r="AH91" s="279">
        <f t="shared" si="406"/>
        <v>73250.820000000007</v>
      </c>
      <c r="AI91" s="279">
        <f t="shared" si="407"/>
        <v>73250.820000000007</v>
      </c>
      <c r="AJ91" s="279">
        <f t="shared" si="408"/>
        <v>73250.820000000007</v>
      </c>
    </row>
    <row r="92" spans="1:36" x14ac:dyDescent="0.65">
      <c r="A92" s="203">
        <v>74</v>
      </c>
      <c r="B92" s="292" t="s">
        <v>1135</v>
      </c>
      <c r="C92" s="276" t="s">
        <v>631</v>
      </c>
      <c r="D92" s="292" t="s">
        <v>451</v>
      </c>
      <c r="E92" s="321"/>
      <c r="F92" s="299" t="s">
        <v>448</v>
      </c>
      <c r="G92" s="299" t="s">
        <v>448</v>
      </c>
      <c r="H92" s="298" t="s">
        <v>448</v>
      </c>
      <c r="I92" s="298" t="s">
        <v>448</v>
      </c>
      <c r="J92" s="298" t="s">
        <v>448</v>
      </c>
      <c r="K92" s="298"/>
      <c r="L92" s="299" t="s">
        <v>448</v>
      </c>
      <c r="M92" s="301" t="str">
        <f t="shared" si="409"/>
        <v xml:space="preserve"> </v>
      </c>
      <c r="N92" s="299" t="s">
        <v>448</v>
      </c>
      <c r="O92" s="301" t="str">
        <f t="shared" si="409"/>
        <v xml:space="preserve"> </v>
      </c>
      <c r="P92" s="299" t="s">
        <v>448</v>
      </c>
      <c r="Q92" s="301" t="str">
        <f t="shared" ref="Q92" si="542">IFERROR(P92/$G92," ")</f>
        <v xml:space="preserve"> </v>
      </c>
      <c r="R92" s="299" t="s">
        <v>448</v>
      </c>
      <c r="S92" s="301" t="str">
        <f t="shared" ref="S92" si="543">IFERROR(R92/$G92," ")</f>
        <v xml:space="preserve"> </v>
      </c>
      <c r="T92" s="299" t="s">
        <v>448</v>
      </c>
      <c r="U92" s="301" t="str">
        <f t="shared" ref="U92" si="544">IFERROR(T92/$G92," ")</f>
        <v xml:space="preserve"> </v>
      </c>
      <c r="V92" s="299" t="s">
        <v>448</v>
      </c>
      <c r="W92" s="301" t="str">
        <f t="shared" ref="W92" si="545">IFERROR(V92/$G92," ")</f>
        <v xml:space="preserve"> </v>
      </c>
      <c r="X92" s="299" t="s">
        <v>448</v>
      </c>
      <c r="Y92" s="301" t="str">
        <f t="shared" ref="Y92" si="546">IFERROR(X92/$G92," ")</f>
        <v xml:space="preserve"> </v>
      </c>
      <c r="Z92" s="299" t="s">
        <v>448</v>
      </c>
      <c r="AA92" s="301" t="str">
        <f t="shared" ref="AA92" si="547">IFERROR(Z92/$G92," ")</f>
        <v xml:space="preserve"> </v>
      </c>
      <c r="AB92" s="292"/>
      <c r="AC92" s="279" t="str">
        <f t="shared" si="401"/>
        <v xml:space="preserve"> </v>
      </c>
      <c r="AD92" s="279" t="str">
        <f t="shared" si="402"/>
        <v xml:space="preserve"> </v>
      </c>
      <c r="AE92" s="279" t="str">
        <f t="shared" si="403"/>
        <v xml:space="preserve"> </v>
      </c>
      <c r="AF92" s="279" t="str">
        <f t="shared" si="404"/>
        <v xml:space="preserve"> </v>
      </c>
      <c r="AG92" s="279" t="str">
        <f t="shared" si="405"/>
        <v xml:space="preserve"> </v>
      </c>
      <c r="AH92" s="279" t="str">
        <f t="shared" si="406"/>
        <v xml:space="preserve"> </v>
      </c>
      <c r="AI92" s="279" t="str">
        <f t="shared" si="407"/>
        <v xml:space="preserve"> </v>
      </c>
      <c r="AJ92" s="279" t="str">
        <f t="shared" si="408"/>
        <v xml:space="preserve"> </v>
      </c>
    </row>
    <row r="93" spans="1:36" x14ac:dyDescent="0.65">
      <c r="A93" s="203">
        <v>75</v>
      </c>
      <c r="B93" s="292" t="s">
        <v>1136</v>
      </c>
      <c r="C93" s="276" t="s">
        <v>168</v>
      </c>
      <c r="D93" s="292" t="s">
        <v>54</v>
      </c>
      <c r="E93" s="321">
        <f>IFERROR(VLOOKUP(A93,Estimate!A:Q,17,FALSE)," ")</f>
        <v>48375.484500000006</v>
      </c>
      <c r="F93" s="299">
        <v>10261</v>
      </c>
      <c r="G93" s="299">
        <v>10261</v>
      </c>
      <c r="H93" s="298">
        <v>6.01</v>
      </c>
      <c r="I93" s="298">
        <v>61668.61</v>
      </c>
      <c r="J93" s="298">
        <v>61668.61</v>
      </c>
      <c r="K93" s="298"/>
      <c r="L93" s="299"/>
      <c r="M93" s="301">
        <f t="shared" si="409"/>
        <v>0</v>
      </c>
      <c r="N93" s="299"/>
      <c r="O93" s="301">
        <f t="shared" si="409"/>
        <v>0</v>
      </c>
      <c r="P93" s="299">
        <v>3200</v>
      </c>
      <c r="Q93" s="301">
        <f t="shared" ref="Q93" si="548">IFERROR(P93/$G93," ")</f>
        <v>0.31186044245200273</v>
      </c>
      <c r="R93" s="299">
        <v>7950</v>
      </c>
      <c r="S93" s="301">
        <f t="shared" ref="S93" si="549">IFERROR(R93/$G93," ")</f>
        <v>0.77477828671669424</v>
      </c>
      <c r="T93" s="299">
        <v>10261</v>
      </c>
      <c r="U93" s="301">
        <f t="shared" ref="U93" si="550">IFERROR(T93/$G93," ")</f>
        <v>1</v>
      </c>
      <c r="V93" s="299">
        <v>10261</v>
      </c>
      <c r="W93" s="301">
        <f t="shared" ref="W93" si="551">IFERROR(V93/$G93," ")</f>
        <v>1</v>
      </c>
      <c r="X93" s="299">
        <v>10261</v>
      </c>
      <c r="Y93" s="301">
        <f t="shared" ref="Y93" si="552">IFERROR(X93/$G93," ")</f>
        <v>1</v>
      </c>
      <c r="Z93" s="299">
        <v>10261</v>
      </c>
      <c r="AA93" s="301">
        <f t="shared" ref="AA93" si="553">IFERROR(Z93/$G93," ")</f>
        <v>1</v>
      </c>
      <c r="AB93" s="292"/>
      <c r="AC93" s="279">
        <f t="shared" si="401"/>
        <v>0</v>
      </c>
      <c r="AD93" s="279">
        <f t="shared" si="402"/>
        <v>0</v>
      </c>
      <c r="AE93" s="279">
        <f t="shared" si="403"/>
        <v>19232</v>
      </c>
      <c r="AF93" s="279">
        <f t="shared" si="404"/>
        <v>47779.5</v>
      </c>
      <c r="AG93" s="279">
        <f t="shared" si="405"/>
        <v>61668.61</v>
      </c>
      <c r="AH93" s="279">
        <f t="shared" si="406"/>
        <v>61668.61</v>
      </c>
      <c r="AI93" s="279">
        <f t="shared" si="407"/>
        <v>61668.61</v>
      </c>
      <c r="AJ93" s="279">
        <f t="shared" si="408"/>
        <v>61668.61</v>
      </c>
    </row>
    <row r="94" spans="1:36" ht="42.75" x14ac:dyDescent="0.65">
      <c r="A94" s="203">
        <v>76</v>
      </c>
      <c r="B94" s="292" t="s">
        <v>1137</v>
      </c>
      <c r="C94" s="276" t="s">
        <v>166</v>
      </c>
      <c r="D94" s="292" t="s">
        <v>64</v>
      </c>
      <c r="E94" s="321">
        <f>IFERROR(VLOOKUP(A94,Estimate!A:Q,17,FALSE)," ")</f>
        <v>294462</v>
      </c>
      <c r="F94" s="299">
        <v>1026</v>
      </c>
      <c r="G94" s="299">
        <v>1026</v>
      </c>
      <c r="H94" s="298">
        <v>294.2</v>
      </c>
      <c r="I94" s="298">
        <v>301849.2</v>
      </c>
      <c r="J94" s="298">
        <v>301849.2</v>
      </c>
      <c r="K94" s="298"/>
      <c r="L94" s="299"/>
      <c r="M94" s="301">
        <f t="shared" si="409"/>
        <v>0</v>
      </c>
      <c r="N94" s="299"/>
      <c r="O94" s="301">
        <f t="shared" si="409"/>
        <v>0</v>
      </c>
      <c r="P94" s="299"/>
      <c r="Q94" s="301">
        <f t="shared" ref="Q94" si="554">IFERROR(P94/$G94," ")</f>
        <v>0</v>
      </c>
      <c r="R94" s="299"/>
      <c r="S94" s="301">
        <f t="shared" ref="S94" si="555">IFERROR(R94/$G94," ")</f>
        <v>0</v>
      </c>
      <c r="T94" s="299">
        <v>195</v>
      </c>
      <c r="U94" s="301">
        <f t="shared" ref="U94" si="556">IFERROR(T94/$G94," ")</f>
        <v>0.19005847953216373</v>
      </c>
      <c r="V94" s="299">
        <v>1026</v>
      </c>
      <c r="W94" s="301">
        <f t="shared" ref="W94" si="557">IFERROR(V94/$G94," ")</f>
        <v>1</v>
      </c>
      <c r="X94" s="299">
        <v>1026</v>
      </c>
      <c r="Y94" s="301">
        <f t="shared" ref="Y94" si="558">IFERROR(X94/$G94," ")</f>
        <v>1</v>
      </c>
      <c r="Z94" s="299">
        <v>1026</v>
      </c>
      <c r="AA94" s="301">
        <f t="shared" ref="AA94" si="559">IFERROR(Z94/$G94," ")</f>
        <v>1</v>
      </c>
      <c r="AB94" s="292"/>
      <c r="AC94" s="279">
        <f t="shared" si="401"/>
        <v>0</v>
      </c>
      <c r="AD94" s="279">
        <f t="shared" si="402"/>
        <v>0</v>
      </c>
      <c r="AE94" s="279">
        <f t="shared" si="403"/>
        <v>0</v>
      </c>
      <c r="AF94" s="279">
        <f t="shared" si="404"/>
        <v>0</v>
      </c>
      <c r="AG94" s="279">
        <f t="shared" si="405"/>
        <v>57369</v>
      </c>
      <c r="AH94" s="279">
        <f t="shared" si="406"/>
        <v>301849.2</v>
      </c>
      <c r="AI94" s="279">
        <f t="shared" si="407"/>
        <v>301849.2</v>
      </c>
      <c r="AJ94" s="279">
        <f t="shared" si="408"/>
        <v>301849.2</v>
      </c>
    </row>
    <row r="95" spans="1:36" x14ac:dyDescent="0.65">
      <c r="A95" s="203"/>
      <c r="B95" s="292" t="s">
        <v>1069</v>
      </c>
      <c r="C95" s="276" t="s">
        <v>448</v>
      </c>
      <c r="D95" s="292" t="s">
        <v>451</v>
      </c>
      <c r="E95" s="321" t="str">
        <f>IFERROR(VLOOKUP(A95,Estimate!A:Q,17,FALSE)," ")</f>
        <v xml:space="preserve"> </v>
      </c>
      <c r="F95" s="299" t="s">
        <v>448</v>
      </c>
      <c r="G95" s="299" t="s">
        <v>448</v>
      </c>
      <c r="H95" s="298" t="s">
        <v>448</v>
      </c>
      <c r="I95" s="298" t="s">
        <v>448</v>
      </c>
      <c r="J95" s="298" t="s">
        <v>448</v>
      </c>
      <c r="K95" s="298"/>
      <c r="L95" s="299" t="s">
        <v>448</v>
      </c>
      <c r="M95" s="301" t="str">
        <f t="shared" si="409"/>
        <v xml:space="preserve"> </v>
      </c>
      <c r="N95" s="299" t="s">
        <v>448</v>
      </c>
      <c r="O95" s="301" t="str">
        <f t="shared" si="409"/>
        <v xml:space="preserve"> </v>
      </c>
      <c r="P95" s="299" t="s">
        <v>448</v>
      </c>
      <c r="Q95" s="301" t="str">
        <f t="shared" ref="Q95" si="560">IFERROR(P95/$G95," ")</f>
        <v xml:space="preserve"> </v>
      </c>
      <c r="R95" s="299" t="s">
        <v>448</v>
      </c>
      <c r="S95" s="301" t="str">
        <f t="shared" ref="S95" si="561">IFERROR(R95/$G95," ")</f>
        <v xml:space="preserve"> </v>
      </c>
      <c r="T95" s="299" t="s">
        <v>448</v>
      </c>
      <c r="U95" s="301" t="str">
        <f t="shared" ref="U95" si="562">IFERROR(T95/$G95," ")</f>
        <v xml:space="preserve"> </v>
      </c>
      <c r="V95" s="299" t="s">
        <v>448</v>
      </c>
      <c r="W95" s="301" t="str">
        <f t="shared" ref="W95" si="563">IFERROR(V95/$G95," ")</f>
        <v xml:space="preserve"> </v>
      </c>
      <c r="X95" s="299" t="s">
        <v>448</v>
      </c>
      <c r="Y95" s="301" t="str">
        <f t="shared" ref="Y95" si="564">IFERROR(X95/$G95," ")</f>
        <v xml:space="preserve"> </v>
      </c>
      <c r="Z95" s="299" t="s">
        <v>448</v>
      </c>
      <c r="AA95" s="301" t="str">
        <f t="shared" ref="AA95" si="565">IFERROR(Z95/$G95," ")</f>
        <v xml:space="preserve"> </v>
      </c>
      <c r="AB95" s="292"/>
      <c r="AC95" s="279" t="str">
        <f t="shared" si="401"/>
        <v xml:space="preserve"> </v>
      </c>
      <c r="AD95" s="279" t="str">
        <f t="shared" si="402"/>
        <v xml:space="preserve"> </v>
      </c>
      <c r="AE95" s="279" t="str">
        <f t="shared" si="403"/>
        <v xml:space="preserve"> </v>
      </c>
      <c r="AF95" s="279" t="str">
        <f t="shared" si="404"/>
        <v xml:space="preserve"> </v>
      </c>
      <c r="AG95" s="279" t="str">
        <f t="shared" si="405"/>
        <v xml:space="preserve"> </v>
      </c>
      <c r="AH95" s="279" t="str">
        <f t="shared" si="406"/>
        <v xml:space="preserve"> </v>
      </c>
      <c r="AI95" s="279" t="str">
        <f t="shared" si="407"/>
        <v xml:space="preserve"> </v>
      </c>
      <c r="AJ95" s="279" t="str">
        <f t="shared" si="408"/>
        <v xml:space="preserve"> </v>
      </c>
    </row>
    <row r="96" spans="1:36" x14ac:dyDescent="0.65">
      <c r="A96" s="203">
        <v>77</v>
      </c>
      <c r="B96" s="292">
        <v>4.7</v>
      </c>
      <c r="C96" s="276" t="s">
        <v>632</v>
      </c>
      <c r="D96" s="292" t="s">
        <v>451</v>
      </c>
      <c r="E96" s="321"/>
      <c r="F96" s="299" t="s">
        <v>448</v>
      </c>
      <c r="G96" s="299" t="s">
        <v>448</v>
      </c>
      <c r="H96" s="298" t="s">
        <v>448</v>
      </c>
      <c r="I96" s="298" t="s">
        <v>448</v>
      </c>
      <c r="J96" s="298" t="s">
        <v>448</v>
      </c>
      <c r="K96" s="298"/>
      <c r="L96" s="299" t="s">
        <v>448</v>
      </c>
      <c r="M96" s="301" t="str">
        <f t="shared" si="409"/>
        <v xml:space="preserve"> </v>
      </c>
      <c r="N96" s="299" t="s">
        <v>448</v>
      </c>
      <c r="O96" s="301" t="str">
        <f t="shared" si="409"/>
        <v xml:space="preserve"> </v>
      </c>
      <c r="P96" s="299" t="s">
        <v>448</v>
      </c>
      <c r="Q96" s="301" t="str">
        <f t="shared" ref="Q96" si="566">IFERROR(P96/$G96," ")</f>
        <v xml:space="preserve"> </v>
      </c>
      <c r="R96" s="299" t="s">
        <v>448</v>
      </c>
      <c r="S96" s="301" t="str">
        <f t="shared" ref="S96" si="567">IFERROR(R96/$G96," ")</f>
        <v xml:space="preserve"> </v>
      </c>
      <c r="T96" s="299" t="s">
        <v>448</v>
      </c>
      <c r="U96" s="301" t="str">
        <f t="shared" ref="U96" si="568">IFERROR(T96/$G96," ")</f>
        <v xml:space="preserve"> </v>
      </c>
      <c r="V96" s="299" t="s">
        <v>448</v>
      </c>
      <c r="W96" s="301" t="str">
        <f t="shared" ref="W96" si="569">IFERROR(V96/$G96," ")</f>
        <v xml:space="preserve"> </v>
      </c>
      <c r="X96" s="299" t="s">
        <v>448</v>
      </c>
      <c r="Y96" s="301" t="str">
        <f t="shared" ref="Y96" si="570">IFERROR(X96/$G96," ")</f>
        <v xml:space="preserve"> </v>
      </c>
      <c r="Z96" s="299" t="s">
        <v>448</v>
      </c>
      <c r="AA96" s="301" t="str">
        <f t="shared" ref="AA96" si="571">IFERROR(Z96/$G96," ")</f>
        <v xml:space="preserve"> </v>
      </c>
      <c r="AB96" s="292"/>
      <c r="AC96" s="279" t="str">
        <f t="shared" si="401"/>
        <v xml:space="preserve"> </v>
      </c>
      <c r="AD96" s="279" t="str">
        <f t="shared" si="402"/>
        <v xml:space="preserve"> </v>
      </c>
      <c r="AE96" s="279" t="str">
        <f t="shared" si="403"/>
        <v xml:space="preserve"> </v>
      </c>
      <c r="AF96" s="279" t="str">
        <f t="shared" si="404"/>
        <v xml:space="preserve"> </v>
      </c>
      <c r="AG96" s="279" t="str">
        <f t="shared" si="405"/>
        <v xml:space="preserve"> </v>
      </c>
      <c r="AH96" s="279" t="str">
        <f t="shared" si="406"/>
        <v xml:space="preserve"> </v>
      </c>
      <c r="AI96" s="279" t="str">
        <f t="shared" si="407"/>
        <v xml:space="preserve"> </v>
      </c>
      <c r="AJ96" s="279" t="str">
        <f t="shared" si="408"/>
        <v xml:space="preserve"> </v>
      </c>
    </row>
    <row r="97" spans="1:36" ht="42.75" x14ac:dyDescent="0.65">
      <c r="A97" s="203">
        <v>78</v>
      </c>
      <c r="B97" s="292" t="s">
        <v>1138</v>
      </c>
      <c r="C97" s="276" t="s">
        <v>171</v>
      </c>
      <c r="D97" s="292" t="s">
        <v>14</v>
      </c>
      <c r="E97" s="321">
        <f>IFERROR(VLOOKUP(A97,Estimate!A:Q,17,FALSE)," ")</f>
        <v>7660</v>
      </c>
      <c r="F97" s="299">
        <v>1</v>
      </c>
      <c r="G97" s="299">
        <v>1</v>
      </c>
      <c r="H97" s="298">
        <v>9760.73</v>
      </c>
      <c r="I97" s="298">
        <v>9760.73</v>
      </c>
      <c r="J97" s="298">
        <v>9760.73</v>
      </c>
      <c r="K97" s="298"/>
      <c r="L97" s="299"/>
      <c r="M97" s="301">
        <f t="shared" si="409"/>
        <v>0</v>
      </c>
      <c r="N97" s="299"/>
      <c r="O97" s="301">
        <f t="shared" si="409"/>
        <v>0</v>
      </c>
      <c r="P97" s="299"/>
      <c r="Q97" s="301">
        <f t="shared" ref="Q97" si="572">IFERROR(P97/$G97," ")</f>
        <v>0</v>
      </c>
      <c r="R97" s="299"/>
      <c r="S97" s="301">
        <f t="shared" ref="S97" si="573">IFERROR(R97/$G97," ")</f>
        <v>0</v>
      </c>
      <c r="T97" s="299">
        <v>0.25</v>
      </c>
      <c r="U97" s="301">
        <f t="shared" ref="U97" si="574">IFERROR(T97/$G97," ")</f>
        <v>0.25</v>
      </c>
      <c r="V97" s="299">
        <v>0.25</v>
      </c>
      <c r="W97" s="301">
        <f t="shared" ref="W97" si="575">IFERROR(V97/$G97," ")</f>
        <v>0.25</v>
      </c>
      <c r="X97" s="299">
        <v>1</v>
      </c>
      <c r="Y97" s="301">
        <f t="shared" ref="Y97" si="576">IFERROR(X97/$G97," ")</f>
        <v>1</v>
      </c>
      <c r="Z97" s="299">
        <v>1</v>
      </c>
      <c r="AA97" s="301">
        <f t="shared" ref="AA97" si="577">IFERROR(Z97/$G97," ")</f>
        <v>1</v>
      </c>
      <c r="AB97" s="292"/>
      <c r="AC97" s="279">
        <f t="shared" si="401"/>
        <v>0</v>
      </c>
      <c r="AD97" s="279">
        <f t="shared" si="402"/>
        <v>0</v>
      </c>
      <c r="AE97" s="279">
        <f t="shared" si="403"/>
        <v>0</v>
      </c>
      <c r="AF97" s="279">
        <f t="shared" si="404"/>
        <v>0</v>
      </c>
      <c r="AG97" s="279">
        <f t="shared" si="405"/>
        <v>2440.1824999999999</v>
      </c>
      <c r="AH97" s="279">
        <f t="shared" si="406"/>
        <v>2440.1824999999999</v>
      </c>
      <c r="AI97" s="279">
        <f t="shared" si="407"/>
        <v>9760.73</v>
      </c>
      <c r="AJ97" s="279">
        <f t="shared" si="408"/>
        <v>9760.73</v>
      </c>
    </row>
    <row r="98" spans="1:36" ht="57" x14ac:dyDescent="0.65">
      <c r="A98" s="203">
        <v>79</v>
      </c>
      <c r="B98" s="292" t="s">
        <v>1139</v>
      </c>
      <c r="C98" s="276" t="s">
        <v>174</v>
      </c>
      <c r="D98" s="292" t="s">
        <v>14</v>
      </c>
      <c r="E98" s="321">
        <f>IFERROR(VLOOKUP(A98,Estimate!A:Q,17,FALSE)," ")</f>
        <v>1682.1</v>
      </c>
      <c r="F98" s="299">
        <v>1</v>
      </c>
      <c r="G98" s="299">
        <v>1</v>
      </c>
      <c r="H98" s="298">
        <v>2143.41</v>
      </c>
      <c r="I98" s="298">
        <v>2143.41</v>
      </c>
      <c r="J98" s="298">
        <v>2143.41</v>
      </c>
      <c r="K98" s="298"/>
      <c r="L98" s="299"/>
      <c r="M98" s="301">
        <f t="shared" si="409"/>
        <v>0</v>
      </c>
      <c r="N98" s="299"/>
      <c r="O98" s="301">
        <f t="shared" si="409"/>
        <v>0</v>
      </c>
      <c r="P98" s="299"/>
      <c r="Q98" s="301">
        <f t="shared" ref="Q98" si="578">IFERROR(P98/$G98," ")</f>
        <v>0</v>
      </c>
      <c r="R98" s="299"/>
      <c r="S98" s="301">
        <f t="shared" ref="S98" si="579">IFERROR(R98/$G98," ")</f>
        <v>0</v>
      </c>
      <c r="T98" s="299">
        <v>0.5</v>
      </c>
      <c r="U98" s="301">
        <f t="shared" ref="U98" si="580">IFERROR(T98/$G98," ")</f>
        <v>0.5</v>
      </c>
      <c r="V98" s="299">
        <v>1</v>
      </c>
      <c r="W98" s="301">
        <f t="shared" ref="W98" si="581">IFERROR(V98/$G98," ")</f>
        <v>1</v>
      </c>
      <c r="X98" s="299">
        <v>1</v>
      </c>
      <c r="Y98" s="301">
        <f t="shared" ref="Y98" si="582">IFERROR(X98/$G98," ")</f>
        <v>1</v>
      </c>
      <c r="Z98" s="299">
        <v>1</v>
      </c>
      <c r="AA98" s="301">
        <f t="shared" ref="AA98" si="583">IFERROR(Z98/$G98," ")</f>
        <v>1</v>
      </c>
      <c r="AB98" s="292"/>
      <c r="AC98" s="279">
        <f t="shared" si="401"/>
        <v>0</v>
      </c>
      <c r="AD98" s="279">
        <f t="shared" si="402"/>
        <v>0</v>
      </c>
      <c r="AE98" s="279">
        <f t="shared" si="403"/>
        <v>0</v>
      </c>
      <c r="AF98" s="279">
        <f t="shared" si="404"/>
        <v>0</v>
      </c>
      <c r="AG98" s="279">
        <f t="shared" si="405"/>
        <v>1071.7049999999999</v>
      </c>
      <c r="AH98" s="279">
        <f t="shared" si="406"/>
        <v>2143.41</v>
      </c>
      <c r="AI98" s="279">
        <f t="shared" si="407"/>
        <v>2143.41</v>
      </c>
      <c r="AJ98" s="279">
        <f t="shared" si="408"/>
        <v>2143.41</v>
      </c>
    </row>
    <row r="99" spans="1:36" x14ac:dyDescent="0.65">
      <c r="A99" s="203"/>
      <c r="B99" s="302" t="s">
        <v>1069</v>
      </c>
      <c r="C99" s="303" t="s">
        <v>1140</v>
      </c>
      <c r="D99" s="302" t="s">
        <v>451</v>
      </c>
      <c r="E99" s="326" t="str">
        <f>IFERROR(VLOOKUP(A99,Estimate!A:Q,17,FALSE)," ")</f>
        <v xml:space="preserve"> </v>
      </c>
      <c r="F99" s="305" t="s">
        <v>448</v>
      </c>
      <c r="G99" s="305" t="s">
        <v>448</v>
      </c>
      <c r="H99" s="304" t="s">
        <v>448</v>
      </c>
      <c r="I99" s="304">
        <v>941315.15</v>
      </c>
      <c r="J99" s="304" t="s">
        <v>448</v>
      </c>
      <c r="K99" s="304"/>
      <c r="L99" s="305" t="s">
        <v>448</v>
      </c>
      <c r="M99" s="301" t="str">
        <f t="shared" si="409"/>
        <v xml:space="preserve"> </v>
      </c>
      <c r="N99" s="305" t="s">
        <v>448</v>
      </c>
      <c r="O99" s="301" t="str">
        <f t="shared" si="409"/>
        <v xml:space="preserve"> </v>
      </c>
      <c r="P99" s="305" t="s">
        <v>448</v>
      </c>
      <c r="Q99" s="301" t="str">
        <f t="shared" ref="Q99" si="584">IFERROR(P99/$G99," ")</f>
        <v xml:space="preserve"> </v>
      </c>
      <c r="R99" s="305" t="s">
        <v>448</v>
      </c>
      <c r="S99" s="301" t="str">
        <f t="shared" ref="S99" si="585">IFERROR(R99/$G99," ")</f>
        <v xml:space="preserve"> </v>
      </c>
      <c r="T99" s="305" t="s">
        <v>448</v>
      </c>
      <c r="U99" s="301" t="str">
        <f t="shared" ref="U99" si="586">IFERROR(T99/$G99," ")</f>
        <v xml:space="preserve"> </v>
      </c>
      <c r="V99" s="305" t="s">
        <v>448</v>
      </c>
      <c r="W99" s="301" t="str">
        <f t="shared" ref="W99" si="587">IFERROR(V99/$G99," ")</f>
        <v xml:space="preserve"> </v>
      </c>
      <c r="X99" s="305" t="s">
        <v>448</v>
      </c>
      <c r="Y99" s="301" t="str">
        <f t="shared" ref="Y99" si="588">IFERROR(X99/$G99," ")</f>
        <v xml:space="preserve"> </v>
      </c>
      <c r="Z99" s="305" t="s">
        <v>448</v>
      </c>
      <c r="AA99" s="301" t="str">
        <f t="shared" ref="AA99" si="589">IFERROR(Z99/$G99," ")</f>
        <v xml:space="preserve"> </v>
      </c>
      <c r="AB99" s="292"/>
      <c r="AC99" s="279" t="str">
        <f t="shared" si="401"/>
        <v xml:space="preserve"> </v>
      </c>
      <c r="AD99" s="279" t="str">
        <f t="shared" si="402"/>
        <v xml:space="preserve"> </v>
      </c>
      <c r="AE99" s="279" t="str">
        <f t="shared" si="403"/>
        <v xml:space="preserve"> </v>
      </c>
      <c r="AF99" s="279" t="str">
        <f t="shared" si="404"/>
        <v xml:space="preserve"> </v>
      </c>
      <c r="AG99" s="279" t="str">
        <f t="shared" si="405"/>
        <v xml:space="preserve"> </v>
      </c>
      <c r="AH99" s="279" t="str">
        <f t="shared" si="406"/>
        <v xml:space="preserve"> </v>
      </c>
      <c r="AI99" s="279" t="str">
        <f t="shared" si="407"/>
        <v xml:space="preserve"> </v>
      </c>
      <c r="AJ99" s="279" t="str">
        <f t="shared" si="408"/>
        <v xml:space="preserve"> </v>
      </c>
    </row>
    <row r="100" spans="1:36" x14ac:dyDescent="0.65">
      <c r="A100" s="203"/>
      <c r="B100" s="292" t="s">
        <v>1069</v>
      </c>
      <c r="C100" s="276" t="s">
        <v>448</v>
      </c>
      <c r="D100" s="292" t="s">
        <v>451</v>
      </c>
      <c r="E100" s="321" t="str">
        <f>IFERROR(VLOOKUP(A100,Estimate!A:Q,17,FALSE)," ")</f>
        <v xml:space="preserve"> </v>
      </c>
      <c r="F100" s="299" t="s">
        <v>448</v>
      </c>
      <c r="G100" s="299" t="s">
        <v>448</v>
      </c>
      <c r="H100" s="298" t="s">
        <v>448</v>
      </c>
      <c r="I100" s="298" t="s">
        <v>448</v>
      </c>
      <c r="J100" s="298" t="s">
        <v>448</v>
      </c>
      <c r="K100" s="298"/>
      <c r="L100" s="299" t="s">
        <v>448</v>
      </c>
      <c r="M100" s="301" t="str">
        <f t="shared" si="409"/>
        <v xml:space="preserve"> </v>
      </c>
      <c r="N100" s="299" t="s">
        <v>448</v>
      </c>
      <c r="O100" s="301" t="str">
        <f t="shared" si="409"/>
        <v xml:space="preserve"> </v>
      </c>
      <c r="P100" s="299" t="s">
        <v>448</v>
      </c>
      <c r="Q100" s="301" t="str">
        <f t="shared" ref="Q100" si="590">IFERROR(P100/$G100," ")</f>
        <v xml:space="preserve"> </v>
      </c>
      <c r="R100" s="299" t="s">
        <v>448</v>
      </c>
      <c r="S100" s="301" t="str">
        <f t="shared" ref="S100" si="591">IFERROR(R100/$G100," ")</f>
        <v xml:space="preserve"> </v>
      </c>
      <c r="T100" s="299" t="s">
        <v>448</v>
      </c>
      <c r="U100" s="301" t="str">
        <f t="shared" ref="U100" si="592">IFERROR(T100/$G100," ")</f>
        <v xml:space="preserve"> </v>
      </c>
      <c r="V100" s="299" t="s">
        <v>448</v>
      </c>
      <c r="W100" s="301" t="str">
        <f t="shared" ref="W100" si="593">IFERROR(V100/$G100," ")</f>
        <v xml:space="preserve"> </v>
      </c>
      <c r="X100" s="299" t="s">
        <v>448</v>
      </c>
      <c r="Y100" s="301" t="str">
        <f t="shared" ref="Y100" si="594">IFERROR(X100/$G100," ")</f>
        <v xml:space="preserve"> </v>
      </c>
      <c r="Z100" s="299" t="s">
        <v>448</v>
      </c>
      <c r="AA100" s="301" t="str">
        <f t="shared" ref="AA100" si="595">IFERROR(Z100/$G100," ")</f>
        <v xml:space="preserve"> </v>
      </c>
      <c r="AB100" s="292"/>
      <c r="AC100" s="279" t="str">
        <f t="shared" si="401"/>
        <v xml:space="preserve"> </v>
      </c>
      <c r="AD100" s="279" t="str">
        <f t="shared" si="402"/>
        <v xml:space="preserve"> </v>
      </c>
      <c r="AE100" s="279" t="str">
        <f t="shared" si="403"/>
        <v xml:space="preserve"> </v>
      </c>
      <c r="AF100" s="279" t="str">
        <f t="shared" si="404"/>
        <v xml:space="preserve"> </v>
      </c>
      <c r="AG100" s="279" t="str">
        <f t="shared" si="405"/>
        <v xml:space="preserve"> </v>
      </c>
      <c r="AH100" s="279" t="str">
        <f t="shared" si="406"/>
        <v xml:space="preserve"> </v>
      </c>
      <c r="AI100" s="279" t="str">
        <f t="shared" si="407"/>
        <v xml:space="preserve"> </v>
      </c>
      <c r="AJ100" s="279" t="str">
        <f t="shared" si="408"/>
        <v xml:space="preserve"> </v>
      </c>
    </row>
    <row r="101" spans="1:36" x14ac:dyDescent="0.65">
      <c r="A101" s="203">
        <v>80</v>
      </c>
      <c r="B101" s="292">
        <v>5</v>
      </c>
      <c r="C101" s="276" t="s">
        <v>633</v>
      </c>
      <c r="D101" s="292" t="s">
        <v>451</v>
      </c>
      <c r="E101" s="321"/>
      <c r="F101" s="299" t="s">
        <v>448</v>
      </c>
      <c r="G101" s="299" t="s">
        <v>448</v>
      </c>
      <c r="H101" s="298" t="s">
        <v>448</v>
      </c>
      <c r="I101" s="298" t="s">
        <v>448</v>
      </c>
      <c r="J101" s="298" t="s">
        <v>448</v>
      </c>
      <c r="K101" s="298"/>
      <c r="L101" s="299" t="s">
        <v>448</v>
      </c>
      <c r="M101" s="301" t="str">
        <f t="shared" si="409"/>
        <v xml:space="preserve"> </v>
      </c>
      <c r="N101" s="299" t="s">
        <v>448</v>
      </c>
      <c r="O101" s="301" t="str">
        <f t="shared" si="409"/>
        <v xml:space="preserve"> </v>
      </c>
      <c r="P101" s="299" t="s">
        <v>448</v>
      </c>
      <c r="Q101" s="301" t="str">
        <f t="shared" ref="Q101" si="596">IFERROR(P101/$G101," ")</f>
        <v xml:space="preserve"> </v>
      </c>
      <c r="R101" s="299" t="s">
        <v>448</v>
      </c>
      <c r="S101" s="301" t="str">
        <f t="shared" ref="S101" si="597">IFERROR(R101/$G101," ")</f>
        <v xml:space="preserve"> </v>
      </c>
      <c r="T101" s="299" t="s">
        <v>448</v>
      </c>
      <c r="U101" s="301" t="str">
        <f t="shared" ref="U101" si="598">IFERROR(T101/$G101," ")</f>
        <v xml:space="preserve"> </v>
      </c>
      <c r="V101" s="299" t="s">
        <v>448</v>
      </c>
      <c r="W101" s="301" t="str">
        <f t="shared" ref="W101" si="599">IFERROR(V101/$G101," ")</f>
        <v xml:space="preserve"> </v>
      </c>
      <c r="X101" s="299" t="s">
        <v>448</v>
      </c>
      <c r="Y101" s="301" t="str">
        <f t="shared" ref="Y101" si="600">IFERROR(X101/$G101," ")</f>
        <v xml:space="preserve"> </v>
      </c>
      <c r="Z101" s="299" t="s">
        <v>448</v>
      </c>
      <c r="AA101" s="301" t="str">
        <f t="shared" ref="AA101" si="601">IFERROR(Z101/$G101," ")</f>
        <v xml:space="preserve"> </v>
      </c>
      <c r="AB101" s="292"/>
      <c r="AC101" s="279" t="str">
        <f t="shared" ref="AC101:AC132" si="602">IFERROR(M101*$I101," ")</f>
        <v xml:space="preserve"> </v>
      </c>
      <c r="AD101" s="279" t="str">
        <f t="shared" ref="AD101:AD132" si="603">IFERROR(O101*$I101," ")</f>
        <v xml:space="preserve"> </v>
      </c>
      <c r="AE101" s="279" t="str">
        <f t="shared" ref="AE101:AE132" si="604">IFERROR(Q101*$I101," ")</f>
        <v xml:space="preserve"> </v>
      </c>
      <c r="AF101" s="279" t="str">
        <f t="shared" ref="AF101:AF132" si="605">IFERROR(S101*$I101," ")</f>
        <v xml:space="preserve"> </v>
      </c>
      <c r="AG101" s="279" t="str">
        <f t="shared" ref="AG101:AG132" si="606">IFERROR(U101*$I101," ")</f>
        <v xml:space="preserve"> </v>
      </c>
      <c r="AH101" s="279" t="str">
        <f t="shared" ref="AH101:AH132" si="607">IFERROR(W101*$I101," ")</f>
        <v xml:space="preserve"> </v>
      </c>
      <c r="AI101" s="279" t="str">
        <f t="shared" ref="AI101:AI132" si="608">IFERROR(Y101*$I101," ")</f>
        <v xml:space="preserve"> </v>
      </c>
      <c r="AJ101" s="279" t="str">
        <f t="shared" ref="AJ101:AJ132" si="609">IFERROR(AA101*$I101," ")</f>
        <v xml:space="preserve"> </v>
      </c>
    </row>
    <row r="102" spans="1:36" x14ac:dyDescent="0.65">
      <c r="A102" s="203">
        <v>81</v>
      </c>
      <c r="B102" s="292">
        <v>5.0999999999999996</v>
      </c>
      <c r="C102" s="276" t="s">
        <v>634</v>
      </c>
      <c r="D102" s="292" t="s">
        <v>451</v>
      </c>
      <c r="E102" s="321"/>
      <c r="F102" s="299" t="s">
        <v>448</v>
      </c>
      <c r="G102" s="299" t="s">
        <v>448</v>
      </c>
      <c r="H102" s="298" t="s">
        <v>448</v>
      </c>
      <c r="I102" s="298" t="s">
        <v>448</v>
      </c>
      <c r="J102" s="298" t="s">
        <v>448</v>
      </c>
      <c r="K102" s="298"/>
      <c r="L102" s="299" t="s">
        <v>448</v>
      </c>
      <c r="M102" s="301" t="str">
        <f t="shared" si="409"/>
        <v xml:space="preserve"> </v>
      </c>
      <c r="N102" s="299" t="s">
        <v>448</v>
      </c>
      <c r="O102" s="301" t="str">
        <f t="shared" si="409"/>
        <v xml:space="preserve"> </v>
      </c>
      <c r="P102" s="299" t="s">
        <v>448</v>
      </c>
      <c r="Q102" s="301" t="str">
        <f t="shared" ref="Q102" si="610">IFERROR(P102/$G102," ")</f>
        <v xml:space="preserve"> </v>
      </c>
      <c r="R102" s="299" t="s">
        <v>448</v>
      </c>
      <c r="S102" s="301" t="str">
        <f t="shared" ref="S102" si="611">IFERROR(R102/$G102," ")</f>
        <v xml:space="preserve"> </v>
      </c>
      <c r="T102" s="299" t="s">
        <v>448</v>
      </c>
      <c r="U102" s="301" t="str">
        <f t="shared" ref="U102" si="612">IFERROR(T102/$G102," ")</f>
        <v xml:space="preserve"> </v>
      </c>
      <c r="V102" s="299" t="s">
        <v>448</v>
      </c>
      <c r="W102" s="301" t="str">
        <f t="shared" ref="W102" si="613">IFERROR(V102/$G102," ")</f>
        <v xml:space="preserve"> </v>
      </c>
      <c r="X102" s="299" t="s">
        <v>448</v>
      </c>
      <c r="Y102" s="301" t="str">
        <f t="shared" ref="Y102" si="614">IFERROR(X102/$G102," ")</f>
        <v xml:space="preserve"> </v>
      </c>
      <c r="Z102" s="299" t="s">
        <v>448</v>
      </c>
      <c r="AA102" s="301" t="str">
        <f t="shared" ref="AA102" si="615">IFERROR(Z102/$G102," ")</f>
        <v xml:space="preserve"> </v>
      </c>
      <c r="AB102" s="292"/>
      <c r="AC102" s="279" t="str">
        <f t="shared" si="602"/>
        <v xml:space="preserve"> </v>
      </c>
      <c r="AD102" s="279" t="str">
        <f t="shared" si="603"/>
        <v xml:space="preserve"> </v>
      </c>
      <c r="AE102" s="279" t="str">
        <f t="shared" si="604"/>
        <v xml:space="preserve"> </v>
      </c>
      <c r="AF102" s="279" t="str">
        <f t="shared" si="605"/>
        <v xml:space="preserve"> </v>
      </c>
      <c r="AG102" s="279" t="str">
        <f t="shared" si="606"/>
        <v xml:space="preserve"> </v>
      </c>
      <c r="AH102" s="279" t="str">
        <f t="shared" si="607"/>
        <v xml:space="preserve"> </v>
      </c>
      <c r="AI102" s="279" t="str">
        <f t="shared" si="608"/>
        <v xml:space="preserve"> </v>
      </c>
      <c r="AJ102" s="279" t="str">
        <f t="shared" si="609"/>
        <v xml:space="preserve"> </v>
      </c>
    </row>
    <row r="103" spans="1:36" ht="71.25" x14ac:dyDescent="0.65">
      <c r="A103" s="203"/>
      <c r="B103" s="292" t="s">
        <v>1069</v>
      </c>
      <c r="C103" s="276" t="s">
        <v>1141</v>
      </c>
      <c r="D103" s="292" t="s">
        <v>451</v>
      </c>
      <c r="E103" s="321" t="str">
        <f>IFERROR(VLOOKUP(A103,Estimate!A:Q,17,FALSE)," ")</f>
        <v xml:space="preserve"> </v>
      </c>
      <c r="F103" s="299" t="s">
        <v>448</v>
      </c>
      <c r="G103" s="299" t="s">
        <v>448</v>
      </c>
      <c r="H103" s="298" t="s">
        <v>448</v>
      </c>
      <c r="I103" s="298" t="s">
        <v>448</v>
      </c>
      <c r="J103" s="298" t="s">
        <v>448</v>
      </c>
      <c r="K103" s="298"/>
      <c r="L103" s="299" t="s">
        <v>448</v>
      </c>
      <c r="M103" s="301" t="str">
        <f t="shared" si="409"/>
        <v xml:space="preserve"> </v>
      </c>
      <c r="N103" s="299" t="s">
        <v>448</v>
      </c>
      <c r="O103" s="301" t="str">
        <f t="shared" si="409"/>
        <v xml:space="preserve"> </v>
      </c>
      <c r="P103" s="299" t="s">
        <v>448</v>
      </c>
      <c r="Q103" s="301" t="str">
        <f t="shared" ref="Q103" si="616">IFERROR(P103/$G103," ")</f>
        <v xml:space="preserve"> </v>
      </c>
      <c r="R103" s="299" t="s">
        <v>448</v>
      </c>
      <c r="S103" s="301" t="str">
        <f t="shared" ref="S103" si="617">IFERROR(R103/$G103," ")</f>
        <v xml:space="preserve"> </v>
      </c>
      <c r="T103" s="299" t="s">
        <v>448</v>
      </c>
      <c r="U103" s="301" t="str">
        <f t="shared" ref="U103" si="618">IFERROR(T103/$G103," ")</f>
        <v xml:space="preserve"> </v>
      </c>
      <c r="V103" s="299" t="s">
        <v>448</v>
      </c>
      <c r="W103" s="301" t="str">
        <f t="shared" ref="W103" si="619">IFERROR(V103/$G103," ")</f>
        <v xml:space="preserve"> </v>
      </c>
      <c r="X103" s="299" t="s">
        <v>448</v>
      </c>
      <c r="Y103" s="301" t="str">
        <f t="shared" ref="Y103" si="620">IFERROR(X103/$G103," ")</f>
        <v xml:space="preserve"> </v>
      </c>
      <c r="Z103" s="299" t="s">
        <v>448</v>
      </c>
      <c r="AA103" s="301" t="str">
        <f t="shared" ref="AA103" si="621">IFERROR(Z103/$G103," ")</f>
        <v xml:space="preserve"> </v>
      </c>
      <c r="AB103" s="292"/>
      <c r="AC103" s="279" t="str">
        <f t="shared" si="602"/>
        <v xml:space="preserve"> </v>
      </c>
      <c r="AD103" s="279" t="str">
        <f t="shared" si="603"/>
        <v xml:space="preserve"> </v>
      </c>
      <c r="AE103" s="279" t="str">
        <f t="shared" si="604"/>
        <v xml:space="preserve"> </v>
      </c>
      <c r="AF103" s="279" t="str">
        <f t="shared" si="605"/>
        <v xml:space="preserve"> </v>
      </c>
      <c r="AG103" s="279" t="str">
        <f t="shared" si="606"/>
        <v xml:space="preserve"> </v>
      </c>
      <c r="AH103" s="279" t="str">
        <f t="shared" si="607"/>
        <v xml:space="preserve"> </v>
      </c>
      <c r="AI103" s="279" t="str">
        <f t="shared" si="608"/>
        <v xml:space="preserve"> </v>
      </c>
      <c r="AJ103" s="279" t="str">
        <f t="shared" si="609"/>
        <v xml:space="preserve"> </v>
      </c>
    </row>
    <row r="104" spans="1:36" x14ac:dyDescent="0.65">
      <c r="A104" s="203">
        <v>82</v>
      </c>
      <c r="B104" s="292" t="s">
        <v>1142</v>
      </c>
      <c r="C104" s="276" t="s">
        <v>177</v>
      </c>
      <c r="D104" s="292" t="s">
        <v>25</v>
      </c>
      <c r="E104" s="321">
        <f>IFERROR(VLOOKUP(A104,Estimate!A:Q,17,FALSE)," ")</f>
        <v>10207.420064196789</v>
      </c>
      <c r="F104" s="299">
        <v>82.8</v>
      </c>
      <c r="G104" s="299">
        <v>82.8</v>
      </c>
      <c r="H104" s="298">
        <v>157.09</v>
      </c>
      <c r="I104" s="298">
        <v>13007.05</v>
      </c>
      <c r="J104" s="298">
        <v>13007.052</v>
      </c>
      <c r="K104" s="298"/>
      <c r="L104" s="299"/>
      <c r="M104" s="301">
        <f t="shared" si="409"/>
        <v>0</v>
      </c>
      <c r="N104" s="299">
        <v>48.83</v>
      </c>
      <c r="O104" s="301">
        <f t="shared" si="409"/>
        <v>0.58973429951690826</v>
      </c>
      <c r="P104" s="299">
        <v>66.73</v>
      </c>
      <c r="Q104" s="301">
        <f t="shared" ref="Q104" si="622">IFERROR(P104/$G104," ")</f>
        <v>0.80591787439613538</v>
      </c>
      <c r="R104" s="299">
        <v>66.73</v>
      </c>
      <c r="S104" s="301">
        <f t="shared" ref="S104" si="623">IFERROR(R104/$G104," ")</f>
        <v>0.80591787439613538</v>
      </c>
      <c r="T104" s="299">
        <v>82.8</v>
      </c>
      <c r="U104" s="301">
        <f t="shared" ref="U104" si="624">IFERROR(T104/$G104," ")</f>
        <v>1</v>
      </c>
      <c r="V104" s="299">
        <v>82.8</v>
      </c>
      <c r="W104" s="301">
        <f t="shared" ref="W104" si="625">IFERROR(V104/$G104," ")</f>
        <v>1</v>
      </c>
      <c r="X104" s="299">
        <v>82.8</v>
      </c>
      <c r="Y104" s="301">
        <f t="shared" ref="Y104" si="626">IFERROR(X104/$G104," ")</f>
        <v>1</v>
      </c>
      <c r="Z104" s="299">
        <v>82.8</v>
      </c>
      <c r="AA104" s="301">
        <f t="shared" ref="AA104" si="627">IFERROR(Z104/$G104," ")</f>
        <v>1</v>
      </c>
      <c r="AB104" s="292"/>
      <c r="AC104" s="279">
        <f t="shared" si="602"/>
        <v>0</v>
      </c>
      <c r="AD104" s="279">
        <f t="shared" si="603"/>
        <v>7670.7035205314014</v>
      </c>
      <c r="AE104" s="279">
        <f t="shared" si="604"/>
        <v>10482.614088164251</v>
      </c>
      <c r="AF104" s="279">
        <f t="shared" si="605"/>
        <v>10482.614088164251</v>
      </c>
      <c r="AG104" s="279">
        <f t="shared" si="606"/>
        <v>13007.05</v>
      </c>
      <c r="AH104" s="279">
        <f t="shared" si="607"/>
        <v>13007.05</v>
      </c>
      <c r="AI104" s="279">
        <f t="shared" si="608"/>
        <v>13007.05</v>
      </c>
      <c r="AJ104" s="279">
        <f t="shared" si="609"/>
        <v>13007.05</v>
      </c>
    </row>
    <row r="105" spans="1:36" x14ac:dyDescent="0.65">
      <c r="A105" s="203">
        <v>83</v>
      </c>
      <c r="B105" s="292" t="s">
        <v>1143</v>
      </c>
      <c r="C105" s="276" t="s">
        <v>181</v>
      </c>
      <c r="D105" s="292" t="s">
        <v>25</v>
      </c>
      <c r="E105" s="321">
        <f>IFERROR(VLOOKUP(A105,Estimate!A:Q,17,FALSE)," ")</f>
        <v>6395.1273406329674</v>
      </c>
      <c r="F105" s="299">
        <v>46.8</v>
      </c>
      <c r="G105" s="299">
        <v>46.8</v>
      </c>
      <c r="H105" s="298">
        <v>174.13</v>
      </c>
      <c r="I105" s="298">
        <v>8149.28</v>
      </c>
      <c r="J105" s="298">
        <v>8149.2839999999997</v>
      </c>
      <c r="K105" s="298"/>
      <c r="L105" s="299"/>
      <c r="M105" s="301">
        <f t="shared" si="409"/>
        <v>0</v>
      </c>
      <c r="N105" s="299"/>
      <c r="O105" s="301">
        <f t="shared" si="409"/>
        <v>0</v>
      </c>
      <c r="P105" s="299">
        <v>46.8</v>
      </c>
      <c r="Q105" s="301">
        <f t="shared" ref="Q105" si="628">IFERROR(P105/$G105," ")</f>
        <v>1</v>
      </c>
      <c r="R105" s="299">
        <v>46.8</v>
      </c>
      <c r="S105" s="301">
        <f t="shared" ref="S105" si="629">IFERROR(R105/$G105," ")</f>
        <v>1</v>
      </c>
      <c r="T105" s="299">
        <v>46.8</v>
      </c>
      <c r="U105" s="301">
        <f t="shared" ref="U105" si="630">IFERROR(T105/$G105," ")</f>
        <v>1</v>
      </c>
      <c r="V105" s="299">
        <v>46.8</v>
      </c>
      <c r="W105" s="301">
        <f t="shared" ref="W105" si="631">IFERROR(V105/$G105," ")</f>
        <v>1</v>
      </c>
      <c r="X105" s="299">
        <v>46.8</v>
      </c>
      <c r="Y105" s="301">
        <f t="shared" ref="Y105" si="632">IFERROR(X105/$G105," ")</f>
        <v>1</v>
      </c>
      <c r="Z105" s="299">
        <v>46.8</v>
      </c>
      <c r="AA105" s="301">
        <f t="shared" ref="AA105" si="633">IFERROR(Z105/$G105," ")</f>
        <v>1</v>
      </c>
      <c r="AB105" s="292"/>
      <c r="AC105" s="279">
        <f t="shared" si="602"/>
        <v>0</v>
      </c>
      <c r="AD105" s="279">
        <f t="shared" si="603"/>
        <v>0</v>
      </c>
      <c r="AE105" s="279">
        <f t="shared" si="604"/>
        <v>8149.28</v>
      </c>
      <c r="AF105" s="279">
        <f t="shared" si="605"/>
        <v>8149.28</v>
      </c>
      <c r="AG105" s="279">
        <f t="shared" si="606"/>
        <v>8149.28</v>
      </c>
      <c r="AH105" s="279">
        <f t="shared" si="607"/>
        <v>8149.28</v>
      </c>
      <c r="AI105" s="279">
        <f t="shared" si="608"/>
        <v>8149.28</v>
      </c>
      <c r="AJ105" s="279">
        <f t="shared" si="609"/>
        <v>8149.28</v>
      </c>
    </row>
    <row r="106" spans="1:36" x14ac:dyDescent="0.65">
      <c r="A106" s="203">
        <v>84</v>
      </c>
      <c r="B106" s="292" t="s">
        <v>1144</v>
      </c>
      <c r="C106" s="276" t="s">
        <v>183</v>
      </c>
      <c r="D106" s="292" t="s">
        <v>25</v>
      </c>
      <c r="E106" s="321">
        <f>IFERROR(VLOOKUP(A106,Estimate!A:Q,17,FALSE)," ")</f>
        <v>2889.823610019499</v>
      </c>
      <c r="F106" s="299">
        <v>20.399999999999999</v>
      </c>
      <c r="G106" s="299">
        <v>20.399999999999999</v>
      </c>
      <c r="H106" s="298">
        <v>180.51</v>
      </c>
      <c r="I106" s="298">
        <v>3682.4</v>
      </c>
      <c r="J106" s="298">
        <v>3682.404</v>
      </c>
      <c r="K106" s="298"/>
      <c r="L106" s="299"/>
      <c r="M106" s="301">
        <f t="shared" si="409"/>
        <v>0</v>
      </c>
      <c r="N106" s="299">
        <v>19.940000000000001</v>
      </c>
      <c r="O106" s="301">
        <f t="shared" si="409"/>
        <v>0.97745098039215694</v>
      </c>
      <c r="P106" s="299">
        <v>20.399999999999999</v>
      </c>
      <c r="Q106" s="301">
        <f t="shared" ref="Q106" si="634">IFERROR(P106/$G106," ")</f>
        <v>1</v>
      </c>
      <c r="R106" s="299">
        <v>20.399999999999999</v>
      </c>
      <c r="S106" s="301">
        <f t="shared" ref="S106" si="635">IFERROR(R106/$G106," ")</f>
        <v>1</v>
      </c>
      <c r="T106" s="299">
        <v>20.399999999999999</v>
      </c>
      <c r="U106" s="301">
        <f t="shared" ref="U106" si="636">IFERROR(T106/$G106," ")</f>
        <v>1</v>
      </c>
      <c r="V106" s="299">
        <v>20.399999999999999</v>
      </c>
      <c r="W106" s="301">
        <f t="shared" ref="W106" si="637">IFERROR(V106/$G106," ")</f>
        <v>1</v>
      </c>
      <c r="X106" s="299">
        <v>20.399999999999999</v>
      </c>
      <c r="Y106" s="301">
        <f t="shared" ref="Y106" si="638">IFERROR(X106/$G106," ")</f>
        <v>1</v>
      </c>
      <c r="Z106" s="299">
        <v>20.399999999999999</v>
      </c>
      <c r="AA106" s="301">
        <f t="shared" ref="AA106" si="639">IFERROR(Z106/$G106," ")</f>
        <v>1</v>
      </c>
      <c r="AB106" s="292"/>
      <c r="AC106" s="279">
        <f t="shared" si="602"/>
        <v>0</v>
      </c>
      <c r="AD106" s="279">
        <f t="shared" si="603"/>
        <v>3599.365490196079</v>
      </c>
      <c r="AE106" s="279">
        <f t="shared" si="604"/>
        <v>3682.4</v>
      </c>
      <c r="AF106" s="279">
        <f t="shared" si="605"/>
        <v>3682.4</v>
      </c>
      <c r="AG106" s="279">
        <f t="shared" si="606"/>
        <v>3682.4</v>
      </c>
      <c r="AH106" s="279">
        <f t="shared" si="607"/>
        <v>3682.4</v>
      </c>
      <c r="AI106" s="279">
        <f t="shared" si="608"/>
        <v>3682.4</v>
      </c>
      <c r="AJ106" s="279">
        <f t="shared" si="609"/>
        <v>3682.4</v>
      </c>
    </row>
    <row r="107" spans="1:36" x14ac:dyDescent="0.65">
      <c r="A107" s="203">
        <v>85</v>
      </c>
      <c r="B107" s="292" t="s">
        <v>1145</v>
      </c>
      <c r="C107" s="276" t="s">
        <v>186</v>
      </c>
      <c r="D107" s="292" t="s">
        <v>25</v>
      </c>
      <c r="E107" s="321">
        <f>IFERROR(VLOOKUP(A107,Estimate!A:Q,17,FALSE)," ")</f>
        <v>3883.4212341382936</v>
      </c>
      <c r="F107" s="299">
        <v>21.6</v>
      </c>
      <c r="G107" s="299">
        <v>21.6</v>
      </c>
      <c r="H107" s="298">
        <v>229.1</v>
      </c>
      <c r="I107" s="298">
        <v>4948.5600000000004</v>
      </c>
      <c r="J107" s="298">
        <v>4948.5600000000004</v>
      </c>
      <c r="K107" s="298"/>
      <c r="L107" s="299"/>
      <c r="M107" s="301">
        <f t="shared" si="409"/>
        <v>0</v>
      </c>
      <c r="N107" s="299"/>
      <c r="O107" s="301">
        <f t="shared" si="409"/>
        <v>0</v>
      </c>
      <c r="P107" s="299">
        <v>14.6</v>
      </c>
      <c r="Q107" s="301">
        <f t="shared" ref="Q107" si="640">IFERROR(P107/$G107," ")</f>
        <v>0.67592592592592582</v>
      </c>
      <c r="R107" s="299">
        <v>14.6</v>
      </c>
      <c r="S107" s="301">
        <f t="shared" ref="S107" si="641">IFERROR(R107/$G107," ")</f>
        <v>0.67592592592592582</v>
      </c>
      <c r="T107" s="299">
        <v>21.6</v>
      </c>
      <c r="U107" s="301">
        <f t="shared" ref="U107" si="642">IFERROR(T107/$G107," ")</f>
        <v>1</v>
      </c>
      <c r="V107" s="299">
        <v>21.6</v>
      </c>
      <c r="W107" s="301">
        <f t="shared" ref="W107" si="643">IFERROR(V107/$G107," ")</f>
        <v>1</v>
      </c>
      <c r="X107" s="299">
        <v>21.6</v>
      </c>
      <c r="Y107" s="301">
        <f t="shared" ref="Y107" si="644">IFERROR(X107/$G107," ")</f>
        <v>1</v>
      </c>
      <c r="Z107" s="299">
        <v>21.6</v>
      </c>
      <c r="AA107" s="301">
        <f t="shared" ref="AA107" si="645">IFERROR(Z107/$G107," ")</f>
        <v>1</v>
      </c>
      <c r="AB107" s="292"/>
      <c r="AC107" s="279">
        <f t="shared" si="602"/>
        <v>0</v>
      </c>
      <c r="AD107" s="279">
        <f t="shared" si="603"/>
        <v>0</v>
      </c>
      <c r="AE107" s="279">
        <f t="shared" si="604"/>
        <v>3344.8599999999997</v>
      </c>
      <c r="AF107" s="279">
        <f t="shared" si="605"/>
        <v>3344.8599999999997</v>
      </c>
      <c r="AG107" s="279">
        <f t="shared" si="606"/>
        <v>4948.5600000000004</v>
      </c>
      <c r="AH107" s="279">
        <f t="shared" si="607"/>
        <v>4948.5600000000004</v>
      </c>
      <c r="AI107" s="279">
        <f t="shared" si="608"/>
        <v>4948.5600000000004</v>
      </c>
      <c r="AJ107" s="279">
        <f t="shared" si="609"/>
        <v>4948.5600000000004</v>
      </c>
    </row>
    <row r="108" spans="1:36" x14ac:dyDescent="0.65">
      <c r="A108" s="203"/>
      <c r="B108" s="292" t="s">
        <v>1069</v>
      </c>
      <c r="C108" s="276" t="s">
        <v>448</v>
      </c>
      <c r="D108" s="292" t="s">
        <v>451</v>
      </c>
      <c r="E108" s="321" t="str">
        <f>IFERROR(VLOOKUP(A108,Estimate!A:Q,17,FALSE)," ")</f>
        <v xml:space="preserve"> </v>
      </c>
      <c r="F108" s="299" t="s">
        <v>448</v>
      </c>
      <c r="G108" s="299" t="s">
        <v>448</v>
      </c>
      <c r="H108" s="298" t="s">
        <v>448</v>
      </c>
      <c r="I108" s="298" t="s">
        <v>448</v>
      </c>
      <c r="J108" s="298" t="s">
        <v>448</v>
      </c>
      <c r="K108" s="298"/>
      <c r="L108" s="299" t="s">
        <v>448</v>
      </c>
      <c r="M108" s="301" t="str">
        <f t="shared" si="409"/>
        <v xml:space="preserve"> </v>
      </c>
      <c r="N108" s="299" t="s">
        <v>448</v>
      </c>
      <c r="O108" s="301" t="str">
        <f t="shared" si="409"/>
        <v xml:space="preserve"> </v>
      </c>
      <c r="P108" s="299" t="s">
        <v>448</v>
      </c>
      <c r="Q108" s="301" t="str">
        <f t="shared" ref="Q108" si="646">IFERROR(P108/$G108," ")</f>
        <v xml:space="preserve"> </v>
      </c>
      <c r="R108" s="299" t="s">
        <v>448</v>
      </c>
      <c r="S108" s="301" t="str">
        <f t="shared" ref="S108" si="647">IFERROR(R108/$G108," ")</f>
        <v xml:space="preserve"> </v>
      </c>
      <c r="T108" s="299" t="s">
        <v>448</v>
      </c>
      <c r="U108" s="301" t="str">
        <f t="shared" ref="U108" si="648">IFERROR(T108/$G108," ")</f>
        <v xml:space="preserve"> </v>
      </c>
      <c r="V108" s="299" t="s">
        <v>448</v>
      </c>
      <c r="W108" s="301" t="str">
        <f t="shared" ref="W108" si="649">IFERROR(V108/$G108," ")</f>
        <v xml:space="preserve"> </v>
      </c>
      <c r="X108" s="299" t="s">
        <v>448</v>
      </c>
      <c r="Y108" s="301" t="str">
        <f t="shared" ref="Y108" si="650">IFERROR(X108/$G108," ")</f>
        <v xml:space="preserve"> </v>
      </c>
      <c r="Z108" s="299" t="s">
        <v>448</v>
      </c>
      <c r="AA108" s="301" t="str">
        <f t="shared" ref="AA108" si="651">IFERROR(Z108/$G108," ")</f>
        <v xml:space="preserve"> </v>
      </c>
      <c r="AB108" s="292"/>
      <c r="AC108" s="279" t="str">
        <f t="shared" si="602"/>
        <v xml:space="preserve"> </v>
      </c>
      <c r="AD108" s="279" t="str">
        <f t="shared" si="603"/>
        <v xml:space="preserve"> </v>
      </c>
      <c r="AE108" s="279" t="str">
        <f t="shared" si="604"/>
        <v xml:space="preserve"> </v>
      </c>
      <c r="AF108" s="279" t="str">
        <f t="shared" si="605"/>
        <v xml:space="preserve"> </v>
      </c>
      <c r="AG108" s="279" t="str">
        <f t="shared" si="606"/>
        <v xml:space="preserve"> </v>
      </c>
      <c r="AH108" s="279" t="str">
        <f t="shared" si="607"/>
        <v xml:space="preserve"> </v>
      </c>
      <c r="AI108" s="279" t="str">
        <f t="shared" si="608"/>
        <v xml:space="preserve"> </v>
      </c>
      <c r="AJ108" s="279" t="str">
        <f t="shared" si="609"/>
        <v xml:space="preserve"> </v>
      </c>
    </row>
    <row r="109" spans="1:36" x14ac:dyDescent="0.65">
      <c r="A109" s="203">
        <v>86</v>
      </c>
      <c r="B109" s="292">
        <v>5.2</v>
      </c>
      <c r="C109" s="276" t="s">
        <v>640</v>
      </c>
      <c r="D109" s="292" t="s">
        <v>451</v>
      </c>
      <c r="E109" s="321"/>
      <c r="F109" s="299" t="s">
        <v>448</v>
      </c>
      <c r="G109" s="299" t="s">
        <v>448</v>
      </c>
      <c r="H109" s="298" t="s">
        <v>448</v>
      </c>
      <c r="I109" s="298" t="s">
        <v>448</v>
      </c>
      <c r="J109" s="298" t="s">
        <v>448</v>
      </c>
      <c r="K109" s="298"/>
      <c r="L109" s="299" t="s">
        <v>448</v>
      </c>
      <c r="M109" s="301" t="str">
        <f t="shared" si="409"/>
        <v xml:space="preserve"> </v>
      </c>
      <c r="N109" s="299" t="s">
        <v>448</v>
      </c>
      <c r="O109" s="301" t="str">
        <f t="shared" si="409"/>
        <v xml:space="preserve"> </v>
      </c>
      <c r="P109" s="299" t="s">
        <v>448</v>
      </c>
      <c r="Q109" s="301" t="str">
        <f t="shared" ref="Q109" si="652">IFERROR(P109/$G109," ")</f>
        <v xml:space="preserve"> </v>
      </c>
      <c r="R109" s="299" t="s">
        <v>448</v>
      </c>
      <c r="S109" s="301" t="str">
        <f t="shared" ref="S109" si="653">IFERROR(R109/$G109," ")</f>
        <v xml:space="preserve"> </v>
      </c>
      <c r="T109" s="299" t="s">
        <v>448</v>
      </c>
      <c r="U109" s="301" t="str">
        <f t="shared" ref="U109" si="654">IFERROR(T109/$G109," ")</f>
        <v xml:space="preserve"> </v>
      </c>
      <c r="V109" s="299" t="s">
        <v>448</v>
      </c>
      <c r="W109" s="301" t="str">
        <f t="shared" ref="W109" si="655">IFERROR(V109/$G109," ")</f>
        <v xml:space="preserve"> </v>
      </c>
      <c r="X109" s="299" t="s">
        <v>448</v>
      </c>
      <c r="Y109" s="301" t="str">
        <f t="shared" ref="Y109" si="656">IFERROR(X109/$G109," ")</f>
        <v xml:space="preserve"> </v>
      </c>
      <c r="Z109" s="299" t="s">
        <v>448</v>
      </c>
      <c r="AA109" s="301" t="str">
        <f t="shared" ref="AA109" si="657">IFERROR(Z109/$G109," ")</f>
        <v xml:space="preserve"> </v>
      </c>
      <c r="AB109" s="292"/>
      <c r="AC109" s="279" t="str">
        <f t="shared" si="602"/>
        <v xml:space="preserve"> </v>
      </c>
      <c r="AD109" s="279" t="str">
        <f t="shared" si="603"/>
        <v xml:space="preserve"> </v>
      </c>
      <c r="AE109" s="279" t="str">
        <f t="shared" si="604"/>
        <v xml:space="preserve"> </v>
      </c>
      <c r="AF109" s="279" t="str">
        <f t="shared" si="605"/>
        <v xml:space="preserve"> </v>
      </c>
      <c r="AG109" s="279" t="str">
        <f t="shared" si="606"/>
        <v xml:space="preserve"> </v>
      </c>
      <c r="AH109" s="279" t="str">
        <f t="shared" si="607"/>
        <v xml:space="preserve"> </v>
      </c>
      <c r="AI109" s="279" t="str">
        <f t="shared" si="608"/>
        <v xml:space="preserve"> </v>
      </c>
      <c r="AJ109" s="279" t="str">
        <f t="shared" si="609"/>
        <v xml:space="preserve"> </v>
      </c>
    </row>
    <row r="110" spans="1:36" ht="71.25" x14ac:dyDescent="0.65">
      <c r="A110" s="203"/>
      <c r="B110" s="292" t="s">
        <v>1069</v>
      </c>
      <c r="C110" s="276" t="s">
        <v>1146</v>
      </c>
      <c r="D110" s="292" t="s">
        <v>451</v>
      </c>
      <c r="E110" s="321" t="str">
        <f>IFERROR(VLOOKUP(A110,Estimate!A:Q,17,FALSE)," ")</f>
        <v xml:space="preserve"> </v>
      </c>
      <c r="F110" s="299" t="s">
        <v>448</v>
      </c>
      <c r="G110" s="299" t="s">
        <v>448</v>
      </c>
      <c r="H110" s="298" t="s">
        <v>448</v>
      </c>
      <c r="I110" s="298" t="s">
        <v>448</v>
      </c>
      <c r="J110" s="298" t="s">
        <v>448</v>
      </c>
      <c r="K110" s="298"/>
      <c r="L110" s="299" t="s">
        <v>448</v>
      </c>
      <c r="M110" s="301" t="str">
        <f t="shared" si="409"/>
        <v xml:space="preserve"> </v>
      </c>
      <c r="N110" s="299" t="s">
        <v>448</v>
      </c>
      <c r="O110" s="301" t="str">
        <f t="shared" si="409"/>
        <v xml:space="preserve"> </v>
      </c>
      <c r="P110" s="299" t="s">
        <v>448</v>
      </c>
      <c r="Q110" s="301" t="str">
        <f t="shared" ref="Q110" si="658">IFERROR(P110/$G110," ")</f>
        <v xml:space="preserve"> </v>
      </c>
      <c r="R110" s="299" t="s">
        <v>448</v>
      </c>
      <c r="S110" s="301" t="str">
        <f t="shared" ref="S110" si="659">IFERROR(R110/$G110," ")</f>
        <v xml:space="preserve"> </v>
      </c>
      <c r="T110" s="299" t="s">
        <v>448</v>
      </c>
      <c r="U110" s="301" t="str">
        <f t="shared" ref="U110" si="660">IFERROR(T110/$G110," ")</f>
        <v xml:space="preserve"> </v>
      </c>
      <c r="V110" s="299" t="s">
        <v>448</v>
      </c>
      <c r="W110" s="301" t="str">
        <f t="shared" ref="W110" si="661">IFERROR(V110/$G110," ")</f>
        <v xml:space="preserve"> </v>
      </c>
      <c r="X110" s="299" t="s">
        <v>448</v>
      </c>
      <c r="Y110" s="301" t="str">
        <f t="shared" ref="Y110" si="662">IFERROR(X110/$G110," ")</f>
        <v xml:space="preserve"> </v>
      </c>
      <c r="Z110" s="299" t="s">
        <v>448</v>
      </c>
      <c r="AA110" s="301" t="str">
        <f t="shared" ref="AA110" si="663">IFERROR(Z110/$G110," ")</f>
        <v xml:space="preserve"> </v>
      </c>
      <c r="AB110" s="292"/>
      <c r="AC110" s="279" t="str">
        <f t="shared" si="602"/>
        <v xml:space="preserve"> </v>
      </c>
      <c r="AD110" s="279" t="str">
        <f t="shared" si="603"/>
        <v xml:space="preserve"> </v>
      </c>
      <c r="AE110" s="279" t="str">
        <f t="shared" si="604"/>
        <v xml:space="preserve"> </v>
      </c>
      <c r="AF110" s="279" t="str">
        <f t="shared" si="605"/>
        <v xml:space="preserve"> </v>
      </c>
      <c r="AG110" s="279" t="str">
        <f t="shared" si="606"/>
        <v xml:space="preserve"> </v>
      </c>
      <c r="AH110" s="279" t="str">
        <f t="shared" si="607"/>
        <v xml:space="preserve"> </v>
      </c>
      <c r="AI110" s="279" t="str">
        <f t="shared" si="608"/>
        <v xml:space="preserve"> </v>
      </c>
      <c r="AJ110" s="279" t="str">
        <f t="shared" si="609"/>
        <v xml:space="preserve"> </v>
      </c>
    </row>
    <row r="111" spans="1:36" ht="28.5" x14ac:dyDescent="0.65">
      <c r="A111" s="203">
        <v>87</v>
      </c>
      <c r="B111" s="292" t="s">
        <v>1147</v>
      </c>
      <c r="C111" s="276" t="s">
        <v>1148</v>
      </c>
      <c r="D111" s="292" t="s">
        <v>451</v>
      </c>
      <c r="E111" s="321"/>
      <c r="F111" s="299" t="s">
        <v>448</v>
      </c>
      <c r="G111" s="299" t="s">
        <v>448</v>
      </c>
      <c r="H111" s="298" t="s">
        <v>448</v>
      </c>
      <c r="I111" s="298" t="s">
        <v>448</v>
      </c>
      <c r="J111" s="298" t="s">
        <v>448</v>
      </c>
      <c r="K111" s="298"/>
      <c r="L111" s="299" t="s">
        <v>448</v>
      </c>
      <c r="M111" s="301" t="str">
        <f t="shared" si="409"/>
        <v xml:space="preserve"> </v>
      </c>
      <c r="N111" s="299" t="s">
        <v>448</v>
      </c>
      <c r="O111" s="301" t="str">
        <f t="shared" si="409"/>
        <v xml:space="preserve"> </v>
      </c>
      <c r="P111" s="299" t="s">
        <v>448</v>
      </c>
      <c r="Q111" s="301" t="str">
        <f t="shared" ref="Q111" si="664">IFERROR(P111/$G111," ")</f>
        <v xml:space="preserve"> </v>
      </c>
      <c r="R111" s="299" t="s">
        <v>448</v>
      </c>
      <c r="S111" s="301" t="str">
        <f t="shared" ref="S111" si="665">IFERROR(R111/$G111," ")</f>
        <v xml:space="preserve"> </v>
      </c>
      <c r="T111" s="299" t="s">
        <v>448</v>
      </c>
      <c r="U111" s="301" t="str">
        <f t="shared" ref="U111" si="666">IFERROR(T111/$G111," ")</f>
        <v xml:space="preserve"> </v>
      </c>
      <c r="V111" s="299" t="s">
        <v>448</v>
      </c>
      <c r="W111" s="301" t="str">
        <f t="shared" ref="W111" si="667">IFERROR(V111/$G111," ")</f>
        <v xml:space="preserve"> </v>
      </c>
      <c r="X111" s="299" t="s">
        <v>448</v>
      </c>
      <c r="Y111" s="301" t="str">
        <f t="shared" ref="Y111" si="668">IFERROR(X111/$G111," ")</f>
        <v xml:space="preserve"> </v>
      </c>
      <c r="Z111" s="299" t="s">
        <v>448</v>
      </c>
      <c r="AA111" s="301" t="str">
        <f t="shared" ref="AA111" si="669">IFERROR(Z111/$G111," ")</f>
        <v xml:space="preserve"> </v>
      </c>
      <c r="AB111" s="292"/>
      <c r="AC111" s="279" t="str">
        <f t="shared" si="602"/>
        <v xml:space="preserve"> </v>
      </c>
      <c r="AD111" s="279" t="str">
        <f t="shared" si="603"/>
        <v xml:space="preserve"> </v>
      </c>
      <c r="AE111" s="279" t="str">
        <f t="shared" si="604"/>
        <v xml:space="preserve"> </v>
      </c>
      <c r="AF111" s="279" t="str">
        <f t="shared" si="605"/>
        <v xml:space="preserve"> </v>
      </c>
      <c r="AG111" s="279" t="str">
        <f t="shared" si="606"/>
        <v xml:space="preserve"> </v>
      </c>
      <c r="AH111" s="279" t="str">
        <f t="shared" si="607"/>
        <v xml:space="preserve"> </v>
      </c>
      <c r="AI111" s="279" t="str">
        <f t="shared" si="608"/>
        <v xml:space="preserve"> </v>
      </c>
      <c r="AJ111" s="279" t="str">
        <f t="shared" si="609"/>
        <v xml:space="preserve"> </v>
      </c>
    </row>
    <row r="112" spans="1:36" x14ac:dyDescent="0.65">
      <c r="A112" s="203">
        <v>88</v>
      </c>
      <c r="B112" s="292" t="s">
        <v>1149</v>
      </c>
      <c r="C112" s="276" t="s">
        <v>188</v>
      </c>
      <c r="D112" s="292" t="s">
        <v>144</v>
      </c>
      <c r="E112" s="321">
        <f>IFERROR(VLOOKUP(A112,Estimate!A:Q,17,FALSE)," ")</f>
        <v>11816.8</v>
      </c>
      <c r="F112" s="299">
        <v>4</v>
      </c>
      <c r="G112" s="299">
        <v>4</v>
      </c>
      <c r="H112" s="298">
        <v>3764.38</v>
      </c>
      <c r="I112" s="298">
        <v>15057.52</v>
      </c>
      <c r="J112" s="298">
        <v>15057.52</v>
      </c>
      <c r="K112" s="298"/>
      <c r="L112" s="299"/>
      <c r="M112" s="301">
        <f t="shared" si="409"/>
        <v>0</v>
      </c>
      <c r="N112" s="299"/>
      <c r="O112" s="301">
        <f t="shared" si="409"/>
        <v>0</v>
      </c>
      <c r="P112" s="299"/>
      <c r="Q112" s="301">
        <f t="shared" ref="Q112" si="670">IFERROR(P112/$G112," ")</f>
        <v>0</v>
      </c>
      <c r="R112" s="299">
        <v>1</v>
      </c>
      <c r="S112" s="301">
        <f t="shared" ref="S112" si="671">IFERROR(R112/$G112," ")</f>
        <v>0.25</v>
      </c>
      <c r="T112" s="299">
        <v>1</v>
      </c>
      <c r="U112" s="301">
        <f t="shared" ref="U112" si="672">IFERROR(T112/$G112," ")</f>
        <v>0.25</v>
      </c>
      <c r="V112" s="299">
        <v>1</v>
      </c>
      <c r="W112" s="301">
        <f t="shared" ref="W112" si="673">IFERROR(V112/$G112," ")</f>
        <v>0.25</v>
      </c>
      <c r="X112" s="299">
        <v>1</v>
      </c>
      <c r="Y112" s="301">
        <f t="shared" ref="Y112" si="674">IFERROR(X112/$G112," ")</f>
        <v>0.25</v>
      </c>
      <c r="Z112" s="299">
        <v>1</v>
      </c>
      <c r="AA112" s="301">
        <f t="shared" ref="AA112" si="675">IFERROR(Z112/$G112," ")</f>
        <v>0.25</v>
      </c>
      <c r="AB112" s="292"/>
      <c r="AC112" s="279">
        <f t="shared" si="602"/>
        <v>0</v>
      </c>
      <c r="AD112" s="279">
        <f t="shared" si="603"/>
        <v>0</v>
      </c>
      <c r="AE112" s="279">
        <f t="shared" si="604"/>
        <v>0</v>
      </c>
      <c r="AF112" s="279">
        <f t="shared" si="605"/>
        <v>3764.38</v>
      </c>
      <c r="AG112" s="279">
        <f t="shared" si="606"/>
        <v>3764.38</v>
      </c>
      <c r="AH112" s="279">
        <f t="shared" si="607"/>
        <v>3764.38</v>
      </c>
      <c r="AI112" s="279">
        <f t="shared" si="608"/>
        <v>3764.38</v>
      </c>
      <c r="AJ112" s="279">
        <f t="shared" si="609"/>
        <v>3764.38</v>
      </c>
    </row>
    <row r="113" spans="1:36" x14ac:dyDescent="0.65">
      <c r="A113" s="203">
        <v>89</v>
      </c>
      <c r="B113" s="292" t="s">
        <v>1150</v>
      </c>
      <c r="C113" s="276" t="s">
        <v>191</v>
      </c>
      <c r="D113" s="292" t="s">
        <v>144</v>
      </c>
      <c r="E113" s="321">
        <f>IFERROR(VLOOKUP(A113,Estimate!A:Q,17,FALSE)," ")</f>
        <v>9774.6840000000011</v>
      </c>
      <c r="F113" s="299">
        <v>9</v>
      </c>
      <c r="G113" s="299">
        <v>9</v>
      </c>
      <c r="H113" s="298">
        <v>1383.93</v>
      </c>
      <c r="I113" s="298">
        <v>12455.37</v>
      </c>
      <c r="J113" s="298">
        <v>12455.37</v>
      </c>
      <c r="K113" s="298"/>
      <c r="L113" s="299"/>
      <c r="M113" s="301">
        <f t="shared" si="409"/>
        <v>0</v>
      </c>
      <c r="N113" s="299"/>
      <c r="O113" s="301">
        <f t="shared" si="409"/>
        <v>0</v>
      </c>
      <c r="P113" s="299">
        <v>7</v>
      </c>
      <c r="Q113" s="301">
        <f t="shared" ref="Q113" si="676">IFERROR(P113/$G113," ")</f>
        <v>0.77777777777777779</v>
      </c>
      <c r="R113" s="299">
        <v>9</v>
      </c>
      <c r="S113" s="301">
        <f t="shared" ref="S113" si="677">IFERROR(R113/$G113," ")</f>
        <v>1</v>
      </c>
      <c r="T113" s="299">
        <v>9</v>
      </c>
      <c r="U113" s="301">
        <f t="shared" ref="U113" si="678">IFERROR(T113/$G113," ")</f>
        <v>1</v>
      </c>
      <c r="V113" s="299">
        <v>9</v>
      </c>
      <c r="W113" s="301">
        <f t="shared" ref="W113" si="679">IFERROR(V113/$G113," ")</f>
        <v>1</v>
      </c>
      <c r="X113" s="299">
        <v>9</v>
      </c>
      <c r="Y113" s="301">
        <f t="shared" ref="Y113" si="680">IFERROR(X113/$G113," ")</f>
        <v>1</v>
      </c>
      <c r="Z113" s="299">
        <v>9</v>
      </c>
      <c r="AA113" s="301">
        <f t="shared" ref="AA113" si="681">IFERROR(Z113/$G113," ")</f>
        <v>1</v>
      </c>
      <c r="AB113" s="292"/>
      <c r="AC113" s="279">
        <f t="shared" si="602"/>
        <v>0</v>
      </c>
      <c r="AD113" s="279">
        <f t="shared" si="603"/>
        <v>0</v>
      </c>
      <c r="AE113" s="279">
        <f t="shared" si="604"/>
        <v>9687.51</v>
      </c>
      <c r="AF113" s="279">
        <f t="shared" si="605"/>
        <v>12455.37</v>
      </c>
      <c r="AG113" s="279">
        <f t="shared" si="606"/>
        <v>12455.37</v>
      </c>
      <c r="AH113" s="279">
        <f t="shared" si="607"/>
        <v>12455.37</v>
      </c>
      <c r="AI113" s="279">
        <f t="shared" si="608"/>
        <v>12455.37</v>
      </c>
      <c r="AJ113" s="279">
        <f t="shared" si="609"/>
        <v>12455.37</v>
      </c>
    </row>
    <row r="114" spans="1:36" x14ac:dyDescent="0.65">
      <c r="A114" s="203">
        <v>90</v>
      </c>
      <c r="B114" s="292" t="s">
        <v>1151</v>
      </c>
      <c r="C114" s="276" t="s">
        <v>195</v>
      </c>
      <c r="D114" s="292" t="s">
        <v>14</v>
      </c>
      <c r="E114" s="321">
        <f>IFERROR(VLOOKUP(A114,Estimate!A:Q,17,FALSE)," ")</f>
        <v>2920.76</v>
      </c>
      <c r="F114" s="299">
        <v>1</v>
      </c>
      <c r="G114" s="299">
        <v>1</v>
      </c>
      <c r="H114" s="298">
        <v>3721.77</v>
      </c>
      <c r="I114" s="298">
        <v>3721.77</v>
      </c>
      <c r="J114" s="298">
        <v>3721.77</v>
      </c>
      <c r="K114" s="298"/>
      <c r="L114" s="299"/>
      <c r="M114" s="301">
        <f t="shared" si="409"/>
        <v>0</v>
      </c>
      <c r="N114" s="299"/>
      <c r="O114" s="301">
        <f t="shared" si="409"/>
        <v>0</v>
      </c>
      <c r="P114" s="299"/>
      <c r="Q114" s="301">
        <f t="shared" ref="Q114" si="682">IFERROR(P114/$G114," ")</f>
        <v>0</v>
      </c>
      <c r="R114" s="299">
        <v>1</v>
      </c>
      <c r="S114" s="301">
        <f t="shared" ref="S114" si="683">IFERROR(R114/$G114," ")</f>
        <v>1</v>
      </c>
      <c r="T114" s="299">
        <v>1</v>
      </c>
      <c r="U114" s="301">
        <f t="shared" ref="U114" si="684">IFERROR(T114/$G114," ")</f>
        <v>1</v>
      </c>
      <c r="V114" s="299">
        <v>1</v>
      </c>
      <c r="W114" s="301">
        <f t="shared" ref="W114" si="685">IFERROR(V114/$G114," ")</f>
        <v>1</v>
      </c>
      <c r="X114" s="299">
        <v>1</v>
      </c>
      <c r="Y114" s="301">
        <f t="shared" ref="Y114" si="686">IFERROR(X114/$G114," ")</f>
        <v>1</v>
      </c>
      <c r="Z114" s="299">
        <v>1</v>
      </c>
      <c r="AA114" s="301">
        <f t="shared" ref="AA114" si="687">IFERROR(Z114/$G114," ")</f>
        <v>1</v>
      </c>
      <c r="AB114" s="292"/>
      <c r="AC114" s="279">
        <f t="shared" si="602"/>
        <v>0</v>
      </c>
      <c r="AD114" s="279">
        <f t="shared" si="603"/>
        <v>0</v>
      </c>
      <c r="AE114" s="279">
        <f t="shared" si="604"/>
        <v>0</v>
      </c>
      <c r="AF114" s="279">
        <f t="shared" si="605"/>
        <v>3721.77</v>
      </c>
      <c r="AG114" s="279">
        <f t="shared" si="606"/>
        <v>3721.77</v>
      </c>
      <c r="AH114" s="279">
        <f t="shared" si="607"/>
        <v>3721.77</v>
      </c>
      <c r="AI114" s="279">
        <f t="shared" si="608"/>
        <v>3721.77</v>
      </c>
      <c r="AJ114" s="279">
        <f t="shared" si="609"/>
        <v>3721.77</v>
      </c>
    </row>
    <row r="115" spans="1:36" x14ac:dyDescent="0.65">
      <c r="A115" s="203"/>
      <c r="B115" s="292" t="s">
        <v>1069</v>
      </c>
      <c r="C115" s="276" t="s">
        <v>448</v>
      </c>
      <c r="D115" s="292" t="s">
        <v>451</v>
      </c>
      <c r="E115" s="321" t="str">
        <f>IFERROR(VLOOKUP(A115,Estimate!A:Q,17,FALSE)," ")</f>
        <v xml:space="preserve"> </v>
      </c>
      <c r="F115" s="299" t="s">
        <v>448</v>
      </c>
      <c r="G115" s="299" t="s">
        <v>448</v>
      </c>
      <c r="H115" s="298" t="s">
        <v>448</v>
      </c>
      <c r="I115" s="298" t="s">
        <v>448</v>
      </c>
      <c r="J115" s="298" t="s">
        <v>448</v>
      </c>
      <c r="K115" s="298"/>
      <c r="L115" s="299" t="s">
        <v>448</v>
      </c>
      <c r="M115" s="301" t="str">
        <f t="shared" si="409"/>
        <v xml:space="preserve"> </v>
      </c>
      <c r="N115" s="299" t="s">
        <v>448</v>
      </c>
      <c r="O115" s="301" t="str">
        <f t="shared" si="409"/>
        <v xml:space="preserve"> </v>
      </c>
      <c r="P115" s="299" t="s">
        <v>448</v>
      </c>
      <c r="Q115" s="301" t="str">
        <f t="shared" ref="Q115" si="688">IFERROR(P115/$G115," ")</f>
        <v xml:space="preserve"> </v>
      </c>
      <c r="R115" s="299" t="s">
        <v>448</v>
      </c>
      <c r="S115" s="301" t="str">
        <f t="shared" ref="S115" si="689">IFERROR(R115/$G115," ")</f>
        <v xml:space="preserve"> </v>
      </c>
      <c r="T115" s="299" t="s">
        <v>448</v>
      </c>
      <c r="U115" s="301" t="str">
        <f t="shared" ref="U115" si="690">IFERROR(T115/$G115," ")</f>
        <v xml:space="preserve"> </v>
      </c>
      <c r="V115" s="299" t="s">
        <v>448</v>
      </c>
      <c r="W115" s="301" t="str">
        <f t="shared" ref="W115" si="691">IFERROR(V115/$G115," ")</f>
        <v xml:space="preserve"> </v>
      </c>
      <c r="X115" s="299" t="s">
        <v>448</v>
      </c>
      <c r="Y115" s="301" t="str">
        <f t="shared" ref="Y115" si="692">IFERROR(X115/$G115," ")</f>
        <v xml:space="preserve"> </v>
      </c>
      <c r="Z115" s="299" t="s">
        <v>448</v>
      </c>
      <c r="AA115" s="301" t="str">
        <f t="shared" ref="AA115" si="693">IFERROR(Z115/$G115," ")</f>
        <v xml:space="preserve"> </v>
      </c>
      <c r="AB115" s="292"/>
      <c r="AC115" s="279" t="str">
        <f t="shared" si="602"/>
        <v xml:space="preserve"> </v>
      </c>
      <c r="AD115" s="279" t="str">
        <f t="shared" si="603"/>
        <v xml:space="preserve"> </v>
      </c>
      <c r="AE115" s="279" t="str">
        <f t="shared" si="604"/>
        <v xml:space="preserve"> </v>
      </c>
      <c r="AF115" s="279" t="str">
        <f t="shared" si="605"/>
        <v xml:space="preserve"> </v>
      </c>
      <c r="AG115" s="279" t="str">
        <f t="shared" si="606"/>
        <v xml:space="preserve"> </v>
      </c>
      <c r="AH115" s="279" t="str">
        <f t="shared" si="607"/>
        <v xml:space="preserve"> </v>
      </c>
      <c r="AI115" s="279" t="str">
        <f t="shared" si="608"/>
        <v xml:space="preserve"> </v>
      </c>
      <c r="AJ115" s="279" t="str">
        <f t="shared" si="609"/>
        <v xml:space="preserve"> </v>
      </c>
    </row>
    <row r="116" spans="1:36" x14ac:dyDescent="0.65">
      <c r="A116" s="203">
        <v>91</v>
      </c>
      <c r="B116" s="292" t="s">
        <v>1152</v>
      </c>
      <c r="C116" s="276" t="s">
        <v>642</v>
      </c>
      <c r="D116" s="292" t="s">
        <v>451</v>
      </c>
      <c r="E116" s="321"/>
      <c r="F116" s="299" t="s">
        <v>448</v>
      </c>
      <c r="G116" s="299" t="s">
        <v>448</v>
      </c>
      <c r="H116" s="298" t="s">
        <v>448</v>
      </c>
      <c r="I116" s="298" t="s">
        <v>448</v>
      </c>
      <c r="J116" s="298" t="s">
        <v>448</v>
      </c>
      <c r="K116" s="298"/>
      <c r="L116" s="299" t="s">
        <v>448</v>
      </c>
      <c r="M116" s="301" t="str">
        <f t="shared" si="409"/>
        <v xml:space="preserve"> </v>
      </c>
      <c r="N116" s="299" t="s">
        <v>448</v>
      </c>
      <c r="O116" s="301" t="str">
        <f t="shared" si="409"/>
        <v xml:space="preserve"> </v>
      </c>
      <c r="P116" s="299" t="s">
        <v>448</v>
      </c>
      <c r="Q116" s="301" t="str">
        <f t="shared" ref="Q116" si="694">IFERROR(P116/$G116," ")</f>
        <v xml:space="preserve"> </v>
      </c>
      <c r="R116" s="299" t="s">
        <v>448</v>
      </c>
      <c r="S116" s="301" t="str">
        <f t="shared" ref="S116" si="695">IFERROR(R116/$G116," ")</f>
        <v xml:space="preserve"> </v>
      </c>
      <c r="T116" s="299" t="s">
        <v>448</v>
      </c>
      <c r="U116" s="301" t="str">
        <f t="shared" ref="U116" si="696">IFERROR(T116/$G116," ")</f>
        <v xml:space="preserve"> </v>
      </c>
      <c r="V116" s="299" t="s">
        <v>448</v>
      </c>
      <c r="W116" s="301" t="str">
        <f t="shared" ref="W116" si="697">IFERROR(V116/$G116," ")</f>
        <v xml:space="preserve"> </v>
      </c>
      <c r="X116" s="299" t="s">
        <v>448</v>
      </c>
      <c r="Y116" s="301" t="str">
        <f t="shared" ref="Y116" si="698">IFERROR(X116/$G116," ")</f>
        <v xml:space="preserve"> </v>
      </c>
      <c r="Z116" s="299" t="s">
        <v>448</v>
      </c>
      <c r="AA116" s="301" t="str">
        <f t="shared" ref="AA116" si="699">IFERROR(Z116/$G116," ")</f>
        <v xml:space="preserve"> </v>
      </c>
      <c r="AB116" s="292"/>
      <c r="AC116" s="279" t="str">
        <f t="shared" si="602"/>
        <v xml:space="preserve"> </v>
      </c>
      <c r="AD116" s="279" t="str">
        <f t="shared" si="603"/>
        <v xml:space="preserve"> </v>
      </c>
      <c r="AE116" s="279" t="str">
        <f t="shared" si="604"/>
        <v xml:space="preserve"> </v>
      </c>
      <c r="AF116" s="279" t="str">
        <f t="shared" si="605"/>
        <v xml:space="preserve"> </v>
      </c>
      <c r="AG116" s="279" t="str">
        <f t="shared" si="606"/>
        <v xml:space="preserve"> </v>
      </c>
      <c r="AH116" s="279" t="str">
        <f t="shared" si="607"/>
        <v xml:space="preserve"> </v>
      </c>
      <c r="AI116" s="279" t="str">
        <f t="shared" si="608"/>
        <v xml:space="preserve"> </v>
      </c>
      <c r="AJ116" s="279" t="str">
        <f t="shared" si="609"/>
        <v xml:space="preserve"> </v>
      </c>
    </row>
    <row r="117" spans="1:36" x14ac:dyDescent="0.65">
      <c r="A117" s="203">
        <v>92</v>
      </c>
      <c r="B117" s="292" t="s">
        <v>1153</v>
      </c>
      <c r="C117" s="276" t="s">
        <v>643</v>
      </c>
      <c r="D117" s="292" t="s">
        <v>451</v>
      </c>
      <c r="E117" s="321"/>
      <c r="F117" s="299" t="s">
        <v>448</v>
      </c>
      <c r="G117" s="299" t="s">
        <v>448</v>
      </c>
      <c r="H117" s="298" t="s">
        <v>448</v>
      </c>
      <c r="I117" s="298" t="s">
        <v>448</v>
      </c>
      <c r="J117" s="298" t="s">
        <v>448</v>
      </c>
      <c r="K117" s="298"/>
      <c r="L117" s="299" t="s">
        <v>448</v>
      </c>
      <c r="M117" s="301" t="str">
        <f t="shared" si="409"/>
        <v xml:space="preserve"> </v>
      </c>
      <c r="N117" s="299" t="s">
        <v>448</v>
      </c>
      <c r="O117" s="301" t="str">
        <f t="shared" si="409"/>
        <v xml:space="preserve"> </v>
      </c>
      <c r="P117" s="299" t="s">
        <v>448</v>
      </c>
      <c r="Q117" s="301" t="str">
        <f t="shared" ref="Q117" si="700">IFERROR(P117/$G117," ")</f>
        <v xml:space="preserve"> </v>
      </c>
      <c r="R117" s="299" t="s">
        <v>448</v>
      </c>
      <c r="S117" s="301" t="str">
        <f t="shared" ref="S117" si="701">IFERROR(R117/$G117," ")</f>
        <v xml:space="preserve"> </v>
      </c>
      <c r="T117" s="299" t="s">
        <v>448</v>
      </c>
      <c r="U117" s="301" t="str">
        <f t="shared" ref="U117" si="702">IFERROR(T117/$G117," ")</f>
        <v xml:space="preserve"> </v>
      </c>
      <c r="V117" s="299" t="s">
        <v>448</v>
      </c>
      <c r="W117" s="301" t="str">
        <f t="shared" ref="W117" si="703">IFERROR(V117/$G117," ")</f>
        <v xml:space="preserve"> </v>
      </c>
      <c r="X117" s="299" t="s">
        <v>448</v>
      </c>
      <c r="Y117" s="301" t="str">
        <f t="shared" ref="Y117" si="704">IFERROR(X117/$G117," ")</f>
        <v xml:space="preserve"> </v>
      </c>
      <c r="Z117" s="299" t="s">
        <v>448</v>
      </c>
      <c r="AA117" s="301" t="str">
        <f t="shared" ref="AA117" si="705">IFERROR(Z117/$G117," ")</f>
        <v xml:space="preserve"> </v>
      </c>
      <c r="AB117" s="292"/>
      <c r="AC117" s="279" t="str">
        <f t="shared" si="602"/>
        <v xml:space="preserve"> </v>
      </c>
      <c r="AD117" s="279" t="str">
        <f t="shared" si="603"/>
        <v xml:space="preserve"> </v>
      </c>
      <c r="AE117" s="279" t="str">
        <f t="shared" si="604"/>
        <v xml:space="preserve"> </v>
      </c>
      <c r="AF117" s="279" t="str">
        <f t="shared" si="605"/>
        <v xml:space="preserve"> </v>
      </c>
      <c r="AG117" s="279" t="str">
        <f t="shared" si="606"/>
        <v xml:space="preserve"> </v>
      </c>
      <c r="AH117" s="279" t="str">
        <f t="shared" si="607"/>
        <v xml:space="preserve"> </v>
      </c>
      <c r="AI117" s="279" t="str">
        <f t="shared" si="608"/>
        <v xml:space="preserve"> </v>
      </c>
      <c r="AJ117" s="279" t="str">
        <f t="shared" si="609"/>
        <v xml:space="preserve"> </v>
      </c>
    </row>
    <row r="118" spans="1:36" x14ac:dyDescent="0.65">
      <c r="A118" s="203">
        <v>93</v>
      </c>
      <c r="B118" s="292" t="s">
        <v>1069</v>
      </c>
      <c r="C118" s="276" t="s">
        <v>197</v>
      </c>
      <c r="D118" s="292" t="s">
        <v>144</v>
      </c>
      <c r="E118" s="321">
        <f>IFERROR(VLOOKUP(A118,Estimate!A:Q,17,FALSE)," ")</f>
        <v>8428.7999999999993</v>
      </c>
      <c r="F118" s="299">
        <v>4</v>
      </c>
      <c r="G118" s="299">
        <v>4</v>
      </c>
      <c r="H118" s="298">
        <v>2685.09</v>
      </c>
      <c r="I118" s="298">
        <v>10740.36</v>
      </c>
      <c r="J118" s="298">
        <v>10740.36</v>
      </c>
      <c r="K118" s="298"/>
      <c r="L118" s="299"/>
      <c r="M118" s="301">
        <f t="shared" si="409"/>
        <v>0</v>
      </c>
      <c r="N118" s="299"/>
      <c r="O118" s="301">
        <f t="shared" si="409"/>
        <v>0</v>
      </c>
      <c r="P118" s="299"/>
      <c r="Q118" s="301">
        <f t="shared" ref="Q118" si="706">IFERROR(P118/$G118," ")</f>
        <v>0</v>
      </c>
      <c r="R118" s="299">
        <v>4</v>
      </c>
      <c r="S118" s="301">
        <f t="shared" ref="S118" si="707">IFERROR(R118/$G118," ")</f>
        <v>1</v>
      </c>
      <c r="T118" s="299">
        <v>4</v>
      </c>
      <c r="U118" s="301">
        <f t="shared" ref="U118" si="708">IFERROR(T118/$G118," ")</f>
        <v>1</v>
      </c>
      <c r="V118" s="299">
        <v>4</v>
      </c>
      <c r="W118" s="301">
        <f t="shared" ref="W118" si="709">IFERROR(V118/$G118," ")</f>
        <v>1</v>
      </c>
      <c r="X118" s="299">
        <v>4</v>
      </c>
      <c r="Y118" s="301">
        <f t="shared" ref="Y118" si="710">IFERROR(X118/$G118," ")</f>
        <v>1</v>
      </c>
      <c r="Z118" s="299">
        <v>4</v>
      </c>
      <c r="AA118" s="301">
        <f t="shared" ref="AA118" si="711">IFERROR(Z118/$G118," ")</f>
        <v>1</v>
      </c>
      <c r="AB118" s="292"/>
      <c r="AC118" s="279">
        <f t="shared" si="602"/>
        <v>0</v>
      </c>
      <c r="AD118" s="279">
        <f t="shared" si="603"/>
        <v>0</v>
      </c>
      <c r="AE118" s="279">
        <f t="shared" si="604"/>
        <v>0</v>
      </c>
      <c r="AF118" s="279">
        <f t="shared" si="605"/>
        <v>10740.36</v>
      </c>
      <c r="AG118" s="279">
        <f t="shared" si="606"/>
        <v>10740.36</v>
      </c>
      <c r="AH118" s="279">
        <f t="shared" si="607"/>
        <v>10740.36</v>
      </c>
      <c r="AI118" s="279">
        <f t="shared" si="608"/>
        <v>10740.36</v>
      </c>
      <c r="AJ118" s="279">
        <f t="shared" si="609"/>
        <v>10740.36</v>
      </c>
    </row>
    <row r="119" spans="1:36" x14ac:dyDescent="0.65">
      <c r="A119" s="203">
        <v>94</v>
      </c>
      <c r="B119" s="292" t="s">
        <v>1154</v>
      </c>
      <c r="C119" s="276" t="s">
        <v>1155</v>
      </c>
      <c r="D119" s="292" t="s">
        <v>451</v>
      </c>
      <c r="E119" s="321">
        <f>IFERROR(VLOOKUP(A119,Estimate!A:Q,17,FALSE)," ")</f>
        <v>0</v>
      </c>
      <c r="F119" s="299" t="s">
        <v>448</v>
      </c>
      <c r="G119" s="299" t="s">
        <v>448</v>
      </c>
      <c r="H119" s="298" t="s">
        <v>448</v>
      </c>
      <c r="I119" s="298" t="s">
        <v>448</v>
      </c>
      <c r="J119" s="298" t="s">
        <v>448</v>
      </c>
      <c r="K119" s="298"/>
      <c r="L119" s="299" t="s">
        <v>448</v>
      </c>
      <c r="M119" s="301" t="str">
        <f t="shared" si="409"/>
        <v xml:space="preserve"> </v>
      </c>
      <c r="N119" s="299" t="s">
        <v>448</v>
      </c>
      <c r="O119" s="301" t="str">
        <f t="shared" si="409"/>
        <v xml:space="preserve"> </v>
      </c>
      <c r="P119" s="299" t="s">
        <v>448</v>
      </c>
      <c r="Q119" s="301" t="str">
        <f t="shared" ref="Q119" si="712">IFERROR(P119/$G119," ")</f>
        <v xml:space="preserve"> </v>
      </c>
      <c r="R119" s="299" t="s">
        <v>448</v>
      </c>
      <c r="S119" s="301" t="str">
        <f t="shared" ref="S119" si="713">IFERROR(R119/$G119," ")</f>
        <v xml:space="preserve"> </v>
      </c>
      <c r="T119" s="299" t="s">
        <v>448</v>
      </c>
      <c r="U119" s="301" t="str">
        <f t="shared" ref="U119" si="714">IFERROR(T119/$G119," ")</f>
        <v xml:space="preserve"> </v>
      </c>
      <c r="V119" s="299" t="s">
        <v>448</v>
      </c>
      <c r="W119" s="301" t="str">
        <f t="shared" ref="W119" si="715">IFERROR(V119/$G119," ")</f>
        <v xml:space="preserve"> </v>
      </c>
      <c r="X119" s="299" t="s">
        <v>448</v>
      </c>
      <c r="Y119" s="301" t="str">
        <f t="shared" ref="Y119" si="716">IFERROR(X119/$G119," ")</f>
        <v xml:space="preserve"> </v>
      </c>
      <c r="Z119" s="299" t="s">
        <v>448</v>
      </c>
      <c r="AA119" s="301" t="str">
        <f t="shared" ref="AA119" si="717">IFERROR(Z119/$G119," ")</f>
        <v xml:space="preserve"> </v>
      </c>
      <c r="AB119" s="292"/>
      <c r="AC119" s="279" t="str">
        <f t="shared" si="602"/>
        <v xml:space="preserve"> </v>
      </c>
      <c r="AD119" s="279" t="str">
        <f t="shared" si="603"/>
        <v xml:space="preserve"> </v>
      </c>
      <c r="AE119" s="279" t="str">
        <f t="shared" si="604"/>
        <v xml:space="preserve"> </v>
      </c>
      <c r="AF119" s="279" t="str">
        <f t="shared" si="605"/>
        <v xml:space="preserve"> </v>
      </c>
      <c r="AG119" s="279" t="str">
        <f t="shared" si="606"/>
        <v xml:space="preserve"> </v>
      </c>
      <c r="AH119" s="279" t="str">
        <f t="shared" si="607"/>
        <v xml:space="preserve"> </v>
      </c>
      <c r="AI119" s="279" t="str">
        <f t="shared" si="608"/>
        <v xml:space="preserve"> </v>
      </c>
      <c r="AJ119" s="279" t="str">
        <f t="shared" si="609"/>
        <v xml:space="preserve"> </v>
      </c>
    </row>
    <row r="120" spans="1:36" x14ac:dyDescent="0.65">
      <c r="A120" s="203">
        <v>95</v>
      </c>
      <c r="B120" s="292" t="s">
        <v>1069</v>
      </c>
      <c r="C120" s="276" t="s">
        <v>197</v>
      </c>
      <c r="D120" s="292" t="s">
        <v>144</v>
      </c>
      <c r="E120" s="321">
        <f>IFERROR(VLOOKUP(A120,Estimate!A:Q,17,FALSE)," ")</f>
        <v>10536</v>
      </c>
      <c r="F120" s="299">
        <v>5</v>
      </c>
      <c r="G120" s="299">
        <v>5</v>
      </c>
      <c r="H120" s="298">
        <v>2685.09</v>
      </c>
      <c r="I120" s="298">
        <v>13425.45</v>
      </c>
      <c r="J120" s="298">
        <v>13425.45</v>
      </c>
      <c r="K120" s="298"/>
      <c r="L120" s="299"/>
      <c r="M120" s="301">
        <f t="shared" si="409"/>
        <v>0</v>
      </c>
      <c r="N120" s="299"/>
      <c r="O120" s="301">
        <f t="shared" si="409"/>
        <v>0</v>
      </c>
      <c r="P120" s="299"/>
      <c r="Q120" s="301">
        <f t="shared" ref="Q120" si="718">IFERROR(P120/$G120," ")</f>
        <v>0</v>
      </c>
      <c r="R120" s="299">
        <v>2</v>
      </c>
      <c r="S120" s="301">
        <f t="shared" ref="S120" si="719">IFERROR(R120/$G120," ")</f>
        <v>0.4</v>
      </c>
      <c r="T120" s="299">
        <v>5</v>
      </c>
      <c r="U120" s="301">
        <f t="shared" ref="U120" si="720">IFERROR(T120/$G120," ")</f>
        <v>1</v>
      </c>
      <c r="V120" s="299">
        <v>5</v>
      </c>
      <c r="W120" s="301">
        <f t="shared" ref="W120" si="721">IFERROR(V120/$G120," ")</f>
        <v>1</v>
      </c>
      <c r="X120" s="299">
        <v>5</v>
      </c>
      <c r="Y120" s="301">
        <f t="shared" ref="Y120" si="722">IFERROR(X120/$G120," ")</f>
        <v>1</v>
      </c>
      <c r="Z120" s="299">
        <v>5</v>
      </c>
      <c r="AA120" s="301">
        <f t="shared" ref="AA120" si="723">IFERROR(Z120/$G120," ")</f>
        <v>1</v>
      </c>
      <c r="AB120" s="292"/>
      <c r="AC120" s="279">
        <f t="shared" si="602"/>
        <v>0</v>
      </c>
      <c r="AD120" s="279">
        <f t="shared" si="603"/>
        <v>0</v>
      </c>
      <c r="AE120" s="279">
        <f t="shared" si="604"/>
        <v>0</v>
      </c>
      <c r="AF120" s="279">
        <f t="shared" si="605"/>
        <v>5370.18</v>
      </c>
      <c r="AG120" s="279">
        <f t="shared" si="606"/>
        <v>13425.45</v>
      </c>
      <c r="AH120" s="279">
        <f t="shared" si="607"/>
        <v>13425.45</v>
      </c>
      <c r="AI120" s="279">
        <f t="shared" si="608"/>
        <v>13425.45</v>
      </c>
      <c r="AJ120" s="279">
        <f t="shared" si="609"/>
        <v>13425.45</v>
      </c>
    </row>
    <row r="121" spans="1:36" x14ac:dyDescent="0.65">
      <c r="A121" s="203"/>
      <c r="B121" s="292" t="s">
        <v>1069</v>
      </c>
      <c r="C121" s="276" t="s">
        <v>448</v>
      </c>
      <c r="D121" s="292" t="s">
        <v>451</v>
      </c>
      <c r="E121" s="321" t="str">
        <f>IFERROR(VLOOKUP(A121,Estimate!A:Q,17,FALSE)," ")</f>
        <v xml:space="preserve"> </v>
      </c>
      <c r="F121" s="299" t="s">
        <v>448</v>
      </c>
      <c r="G121" s="299" t="s">
        <v>448</v>
      </c>
      <c r="H121" s="298" t="s">
        <v>448</v>
      </c>
      <c r="I121" s="298" t="s">
        <v>448</v>
      </c>
      <c r="J121" s="298" t="s">
        <v>448</v>
      </c>
      <c r="K121" s="298"/>
      <c r="L121" s="299" t="s">
        <v>448</v>
      </c>
      <c r="M121" s="301" t="str">
        <f t="shared" si="409"/>
        <v xml:space="preserve"> </v>
      </c>
      <c r="N121" s="299" t="s">
        <v>448</v>
      </c>
      <c r="O121" s="301" t="str">
        <f t="shared" si="409"/>
        <v xml:space="preserve"> </v>
      </c>
      <c r="P121" s="299" t="s">
        <v>448</v>
      </c>
      <c r="Q121" s="301" t="str">
        <f t="shared" ref="Q121" si="724">IFERROR(P121/$G121," ")</f>
        <v xml:space="preserve"> </v>
      </c>
      <c r="R121" s="299" t="s">
        <v>448</v>
      </c>
      <c r="S121" s="301" t="str">
        <f t="shared" ref="S121" si="725">IFERROR(R121/$G121," ")</f>
        <v xml:space="preserve"> </v>
      </c>
      <c r="T121" s="299" t="s">
        <v>448</v>
      </c>
      <c r="U121" s="301" t="str">
        <f t="shared" ref="U121" si="726">IFERROR(T121/$G121," ")</f>
        <v xml:space="preserve"> </v>
      </c>
      <c r="V121" s="299" t="s">
        <v>448</v>
      </c>
      <c r="W121" s="301" t="str">
        <f t="shared" ref="W121" si="727">IFERROR(V121/$G121," ")</f>
        <v xml:space="preserve"> </v>
      </c>
      <c r="X121" s="299" t="s">
        <v>448</v>
      </c>
      <c r="Y121" s="301" t="str">
        <f t="shared" ref="Y121" si="728">IFERROR(X121/$G121," ")</f>
        <v xml:space="preserve"> </v>
      </c>
      <c r="Z121" s="299" t="s">
        <v>448</v>
      </c>
      <c r="AA121" s="301" t="str">
        <f t="shared" ref="AA121" si="729">IFERROR(Z121/$G121," ")</f>
        <v xml:space="preserve"> </v>
      </c>
      <c r="AB121" s="292"/>
      <c r="AC121" s="279" t="str">
        <f t="shared" si="602"/>
        <v xml:space="preserve"> </v>
      </c>
      <c r="AD121" s="279" t="str">
        <f t="shared" si="603"/>
        <v xml:space="preserve"> </v>
      </c>
      <c r="AE121" s="279" t="str">
        <f t="shared" si="604"/>
        <v xml:space="preserve"> </v>
      </c>
      <c r="AF121" s="279" t="str">
        <f t="shared" si="605"/>
        <v xml:space="preserve"> </v>
      </c>
      <c r="AG121" s="279" t="str">
        <f t="shared" si="606"/>
        <v xml:space="preserve"> </v>
      </c>
      <c r="AH121" s="279" t="str">
        <f t="shared" si="607"/>
        <v xml:space="preserve"> </v>
      </c>
      <c r="AI121" s="279" t="str">
        <f t="shared" si="608"/>
        <v xml:space="preserve"> </v>
      </c>
      <c r="AJ121" s="279" t="str">
        <f t="shared" si="609"/>
        <v xml:space="preserve"> </v>
      </c>
    </row>
    <row r="122" spans="1:36" x14ac:dyDescent="0.65">
      <c r="A122" s="203">
        <v>96</v>
      </c>
      <c r="B122" s="292" t="s">
        <v>1156</v>
      </c>
      <c r="C122" s="276" t="s">
        <v>1157</v>
      </c>
      <c r="D122" s="292" t="s">
        <v>451</v>
      </c>
      <c r="E122" s="321"/>
      <c r="F122" s="299" t="s">
        <v>448</v>
      </c>
      <c r="G122" s="299" t="s">
        <v>448</v>
      </c>
      <c r="H122" s="298" t="s">
        <v>448</v>
      </c>
      <c r="I122" s="298" t="s">
        <v>448</v>
      </c>
      <c r="J122" s="298" t="s">
        <v>448</v>
      </c>
      <c r="K122" s="298"/>
      <c r="L122" s="299" t="s">
        <v>448</v>
      </c>
      <c r="M122" s="301" t="str">
        <f t="shared" si="409"/>
        <v xml:space="preserve"> </v>
      </c>
      <c r="N122" s="299" t="s">
        <v>448</v>
      </c>
      <c r="O122" s="301" t="str">
        <f t="shared" si="409"/>
        <v xml:space="preserve"> </v>
      </c>
      <c r="P122" s="299" t="s">
        <v>448</v>
      </c>
      <c r="Q122" s="301" t="str">
        <f t="shared" ref="Q122" si="730">IFERROR(P122/$G122," ")</f>
        <v xml:space="preserve"> </v>
      </c>
      <c r="R122" s="299" t="s">
        <v>448</v>
      </c>
      <c r="S122" s="301" t="str">
        <f t="shared" ref="S122" si="731">IFERROR(R122/$G122," ")</f>
        <v xml:space="preserve"> </v>
      </c>
      <c r="T122" s="299" t="s">
        <v>448</v>
      </c>
      <c r="U122" s="301" t="str">
        <f t="shared" ref="U122" si="732">IFERROR(T122/$G122," ")</f>
        <v xml:space="preserve"> </v>
      </c>
      <c r="V122" s="299" t="s">
        <v>448</v>
      </c>
      <c r="W122" s="301" t="str">
        <f t="shared" ref="W122" si="733">IFERROR(V122/$G122," ")</f>
        <v xml:space="preserve"> </v>
      </c>
      <c r="X122" s="299" t="s">
        <v>448</v>
      </c>
      <c r="Y122" s="301" t="str">
        <f t="shared" ref="Y122" si="734">IFERROR(X122/$G122," ")</f>
        <v xml:space="preserve"> </v>
      </c>
      <c r="Z122" s="299" t="s">
        <v>448</v>
      </c>
      <c r="AA122" s="301" t="str">
        <f t="shared" ref="AA122" si="735">IFERROR(Z122/$G122," ")</f>
        <v xml:space="preserve"> </v>
      </c>
      <c r="AB122" s="292"/>
      <c r="AC122" s="279" t="str">
        <f t="shared" si="602"/>
        <v xml:space="preserve"> </v>
      </c>
      <c r="AD122" s="279" t="str">
        <f t="shared" si="603"/>
        <v xml:space="preserve"> </v>
      </c>
      <c r="AE122" s="279" t="str">
        <f t="shared" si="604"/>
        <v xml:space="preserve"> </v>
      </c>
      <c r="AF122" s="279" t="str">
        <f t="shared" si="605"/>
        <v xml:space="preserve"> </v>
      </c>
      <c r="AG122" s="279" t="str">
        <f t="shared" si="606"/>
        <v xml:space="preserve"> </v>
      </c>
      <c r="AH122" s="279" t="str">
        <f t="shared" si="607"/>
        <v xml:space="preserve"> </v>
      </c>
      <c r="AI122" s="279" t="str">
        <f t="shared" si="608"/>
        <v xml:space="preserve"> </v>
      </c>
      <c r="AJ122" s="279" t="str">
        <f t="shared" si="609"/>
        <v xml:space="preserve"> </v>
      </c>
    </row>
    <row r="123" spans="1:36" x14ac:dyDescent="0.65">
      <c r="A123" s="203">
        <v>97</v>
      </c>
      <c r="B123" s="292" t="s">
        <v>1158</v>
      </c>
      <c r="C123" s="276" t="s">
        <v>201</v>
      </c>
      <c r="D123" s="292" t="s">
        <v>144</v>
      </c>
      <c r="E123" s="321">
        <f>IFERROR(VLOOKUP(A123,Estimate!A:Q,17,FALSE)," ")</f>
        <v>1694</v>
      </c>
      <c r="F123" s="299">
        <v>2</v>
      </c>
      <c r="G123" s="299">
        <v>2</v>
      </c>
      <c r="H123" s="298">
        <v>1079.29</v>
      </c>
      <c r="I123" s="298">
        <v>2158.58</v>
      </c>
      <c r="J123" s="298">
        <v>2158.58</v>
      </c>
      <c r="K123" s="298"/>
      <c r="L123" s="299"/>
      <c r="M123" s="301">
        <f t="shared" si="409"/>
        <v>0</v>
      </c>
      <c r="N123" s="299">
        <v>0.5</v>
      </c>
      <c r="O123" s="301">
        <f t="shared" si="409"/>
        <v>0.25</v>
      </c>
      <c r="P123" s="299">
        <v>0.5</v>
      </c>
      <c r="Q123" s="301">
        <f t="shared" ref="Q123" si="736">IFERROR(P123/$G123," ")</f>
        <v>0.25</v>
      </c>
      <c r="R123" s="299">
        <v>1</v>
      </c>
      <c r="S123" s="301">
        <f t="shared" ref="S123" si="737">IFERROR(R123/$G123," ")</f>
        <v>0.5</v>
      </c>
      <c r="T123" s="299">
        <v>1</v>
      </c>
      <c r="U123" s="301">
        <f t="shared" ref="U123" si="738">IFERROR(T123/$G123," ")</f>
        <v>0.5</v>
      </c>
      <c r="V123" s="299">
        <v>1</v>
      </c>
      <c r="W123" s="301">
        <f t="shared" ref="W123" si="739">IFERROR(V123/$G123," ")</f>
        <v>0.5</v>
      </c>
      <c r="X123" s="299">
        <v>1</v>
      </c>
      <c r="Y123" s="301">
        <f t="shared" ref="Y123" si="740">IFERROR(X123/$G123," ")</f>
        <v>0.5</v>
      </c>
      <c r="Z123" s="299">
        <v>1</v>
      </c>
      <c r="AA123" s="301">
        <f t="shared" ref="AA123" si="741">IFERROR(Z123/$G123," ")</f>
        <v>0.5</v>
      </c>
      <c r="AB123" s="292"/>
      <c r="AC123" s="279">
        <f t="shared" si="602"/>
        <v>0</v>
      </c>
      <c r="AD123" s="279">
        <f t="shared" si="603"/>
        <v>539.64499999999998</v>
      </c>
      <c r="AE123" s="279">
        <f t="shared" si="604"/>
        <v>539.64499999999998</v>
      </c>
      <c r="AF123" s="279">
        <f t="shared" si="605"/>
        <v>1079.29</v>
      </c>
      <c r="AG123" s="279">
        <f t="shared" si="606"/>
        <v>1079.29</v>
      </c>
      <c r="AH123" s="279">
        <f t="shared" si="607"/>
        <v>1079.29</v>
      </c>
      <c r="AI123" s="279">
        <f t="shared" si="608"/>
        <v>1079.29</v>
      </c>
      <c r="AJ123" s="279">
        <f t="shared" si="609"/>
        <v>1079.29</v>
      </c>
    </row>
    <row r="124" spans="1:36" x14ac:dyDescent="0.65">
      <c r="A124" s="203">
        <v>98</v>
      </c>
      <c r="B124" s="292" t="s">
        <v>1159</v>
      </c>
      <c r="C124" s="276" t="s">
        <v>204</v>
      </c>
      <c r="D124" s="292" t="s">
        <v>144</v>
      </c>
      <c r="E124" s="321">
        <f>IFERROR(VLOOKUP(A124,Estimate!A:Q,17,FALSE)," ")</f>
        <v>1980</v>
      </c>
      <c r="F124" s="299">
        <v>2</v>
      </c>
      <c r="G124" s="299">
        <v>2</v>
      </c>
      <c r="H124" s="298">
        <v>1261.5</v>
      </c>
      <c r="I124" s="298">
        <v>2523</v>
      </c>
      <c r="J124" s="298">
        <v>2523</v>
      </c>
      <c r="K124" s="298"/>
      <c r="L124" s="299"/>
      <c r="M124" s="301">
        <f t="shared" si="409"/>
        <v>0</v>
      </c>
      <c r="N124" s="299">
        <v>0.65</v>
      </c>
      <c r="O124" s="301">
        <f t="shared" si="409"/>
        <v>0.32500000000000001</v>
      </c>
      <c r="P124" s="299">
        <v>0.65</v>
      </c>
      <c r="Q124" s="301">
        <f t="shared" ref="Q124" si="742">IFERROR(P124/$G124," ")</f>
        <v>0.32500000000000001</v>
      </c>
      <c r="R124" s="299">
        <v>2</v>
      </c>
      <c r="S124" s="301">
        <f t="shared" ref="S124" si="743">IFERROR(R124/$G124," ")</f>
        <v>1</v>
      </c>
      <c r="T124" s="299">
        <v>2</v>
      </c>
      <c r="U124" s="301">
        <f t="shared" ref="U124" si="744">IFERROR(T124/$G124," ")</f>
        <v>1</v>
      </c>
      <c r="V124" s="299">
        <v>2</v>
      </c>
      <c r="W124" s="301">
        <f t="shared" ref="W124" si="745">IFERROR(V124/$G124," ")</f>
        <v>1</v>
      </c>
      <c r="X124" s="299">
        <v>2</v>
      </c>
      <c r="Y124" s="301">
        <f t="shared" ref="Y124" si="746">IFERROR(X124/$G124," ")</f>
        <v>1</v>
      </c>
      <c r="Z124" s="299">
        <v>2</v>
      </c>
      <c r="AA124" s="301">
        <f t="shared" ref="AA124" si="747">IFERROR(Z124/$G124," ")</f>
        <v>1</v>
      </c>
      <c r="AB124" s="292"/>
      <c r="AC124" s="279">
        <f t="shared" si="602"/>
        <v>0</v>
      </c>
      <c r="AD124" s="279">
        <f t="shared" si="603"/>
        <v>819.97500000000002</v>
      </c>
      <c r="AE124" s="279">
        <f t="shared" si="604"/>
        <v>819.97500000000002</v>
      </c>
      <c r="AF124" s="279">
        <f t="shared" si="605"/>
        <v>2523</v>
      </c>
      <c r="AG124" s="279">
        <f t="shared" si="606"/>
        <v>2523</v>
      </c>
      <c r="AH124" s="279">
        <f t="shared" si="607"/>
        <v>2523</v>
      </c>
      <c r="AI124" s="279">
        <f t="shared" si="608"/>
        <v>2523</v>
      </c>
      <c r="AJ124" s="279">
        <f t="shared" si="609"/>
        <v>2523</v>
      </c>
    </row>
    <row r="125" spans="1:36" x14ac:dyDescent="0.65">
      <c r="A125" s="203">
        <v>99</v>
      </c>
      <c r="B125" s="292" t="s">
        <v>1160</v>
      </c>
      <c r="C125" s="276" t="s">
        <v>207</v>
      </c>
      <c r="D125" s="292" t="s">
        <v>88</v>
      </c>
      <c r="E125" s="321">
        <f>IFERROR(VLOOKUP(A125,Estimate!A:Q,17,FALSE)," ")</f>
        <v>710.6400000000001</v>
      </c>
      <c r="F125" s="299">
        <v>4.7</v>
      </c>
      <c r="G125" s="299">
        <v>4.7</v>
      </c>
      <c r="H125" s="298">
        <v>192.67</v>
      </c>
      <c r="I125" s="298">
        <v>905.55</v>
      </c>
      <c r="J125" s="298">
        <v>905.54899999999998</v>
      </c>
      <c r="K125" s="298"/>
      <c r="L125" s="299"/>
      <c r="M125" s="301">
        <f t="shared" si="409"/>
        <v>0</v>
      </c>
      <c r="N125" s="299"/>
      <c r="O125" s="301">
        <f t="shared" si="409"/>
        <v>0</v>
      </c>
      <c r="P125" s="299"/>
      <c r="Q125" s="301">
        <f t="shared" ref="Q125" si="748">IFERROR(P125/$G125," ")</f>
        <v>0</v>
      </c>
      <c r="R125" s="299"/>
      <c r="S125" s="301">
        <f t="shared" ref="S125" si="749">IFERROR(R125/$G125," ")</f>
        <v>0</v>
      </c>
      <c r="T125" s="299"/>
      <c r="U125" s="301">
        <f t="shared" ref="U125" si="750">IFERROR(T125/$G125," ")</f>
        <v>0</v>
      </c>
      <c r="V125" s="299"/>
      <c r="W125" s="301">
        <f t="shared" ref="W125" si="751">IFERROR(V125/$G125," ")</f>
        <v>0</v>
      </c>
      <c r="X125" s="299">
        <v>4.7</v>
      </c>
      <c r="Y125" s="301">
        <f t="shared" ref="Y125" si="752">IFERROR(X125/$G125," ")</f>
        <v>1</v>
      </c>
      <c r="Z125" s="299">
        <v>4.7</v>
      </c>
      <c r="AA125" s="301">
        <f t="shared" ref="AA125" si="753">IFERROR(Z125/$G125," ")</f>
        <v>1</v>
      </c>
      <c r="AB125" s="292"/>
      <c r="AC125" s="279">
        <f t="shared" si="602"/>
        <v>0</v>
      </c>
      <c r="AD125" s="279">
        <f t="shared" si="603"/>
        <v>0</v>
      </c>
      <c r="AE125" s="279">
        <f t="shared" si="604"/>
        <v>0</v>
      </c>
      <c r="AF125" s="279">
        <f t="shared" si="605"/>
        <v>0</v>
      </c>
      <c r="AG125" s="279">
        <f t="shared" si="606"/>
        <v>0</v>
      </c>
      <c r="AH125" s="279">
        <f t="shared" si="607"/>
        <v>0</v>
      </c>
      <c r="AI125" s="279">
        <f t="shared" si="608"/>
        <v>905.55</v>
      </c>
      <c r="AJ125" s="279">
        <f t="shared" si="609"/>
        <v>905.55</v>
      </c>
    </row>
    <row r="126" spans="1:36" x14ac:dyDescent="0.65">
      <c r="A126" s="203"/>
      <c r="B126" s="302" t="s">
        <v>1069</v>
      </c>
      <c r="C126" s="303" t="s">
        <v>1161</v>
      </c>
      <c r="D126" s="302" t="s">
        <v>451</v>
      </c>
      <c r="E126" s="326" t="str">
        <f>IFERROR(VLOOKUP(A126,Estimate!A:Q,17,FALSE)," ")</f>
        <v xml:space="preserve"> </v>
      </c>
      <c r="F126" s="305" t="s">
        <v>448</v>
      </c>
      <c r="G126" s="305" t="s">
        <v>448</v>
      </c>
      <c r="H126" s="304" t="s">
        <v>448</v>
      </c>
      <c r="I126" s="304">
        <v>90774.89</v>
      </c>
      <c r="J126" s="304" t="s">
        <v>448</v>
      </c>
      <c r="K126" s="304"/>
      <c r="L126" s="305" t="s">
        <v>448</v>
      </c>
      <c r="M126" s="301" t="str">
        <f t="shared" si="409"/>
        <v xml:space="preserve"> </v>
      </c>
      <c r="N126" s="305" t="s">
        <v>448</v>
      </c>
      <c r="O126" s="301" t="str">
        <f t="shared" si="409"/>
        <v xml:space="preserve"> </v>
      </c>
      <c r="P126" s="305" t="s">
        <v>448</v>
      </c>
      <c r="Q126" s="301" t="str">
        <f t="shared" ref="Q126" si="754">IFERROR(P126/$G126," ")</f>
        <v xml:space="preserve"> </v>
      </c>
      <c r="R126" s="305" t="s">
        <v>448</v>
      </c>
      <c r="S126" s="301" t="str">
        <f t="shared" ref="S126" si="755">IFERROR(R126/$G126," ")</f>
        <v xml:space="preserve"> </v>
      </c>
      <c r="T126" s="305" t="s">
        <v>448</v>
      </c>
      <c r="U126" s="301" t="str">
        <f t="shared" ref="U126" si="756">IFERROR(T126/$G126," ")</f>
        <v xml:space="preserve"> </v>
      </c>
      <c r="V126" s="305" t="s">
        <v>448</v>
      </c>
      <c r="W126" s="301" t="str">
        <f t="shared" ref="W126" si="757">IFERROR(V126/$G126," ")</f>
        <v xml:space="preserve"> </v>
      </c>
      <c r="X126" s="305" t="s">
        <v>448</v>
      </c>
      <c r="Y126" s="301" t="str">
        <f t="shared" ref="Y126" si="758">IFERROR(X126/$G126," ")</f>
        <v xml:space="preserve"> </v>
      </c>
      <c r="Z126" s="305" t="s">
        <v>448</v>
      </c>
      <c r="AA126" s="301" t="str">
        <f t="shared" ref="AA126" si="759">IFERROR(Z126/$G126," ")</f>
        <v xml:space="preserve"> </v>
      </c>
      <c r="AB126" s="292"/>
      <c r="AC126" s="279" t="str">
        <f t="shared" si="602"/>
        <v xml:space="preserve"> </v>
      </c>
      <c r="AD126" s="279" t="str">
        <f t="shared" si="603"/>
        <v xml:space="preserve"> </v>
      </c>
      <c r="AE126" s="279" t="str">
        <f t="shared" si="604"/>
        <v xml:space="preserve"> </v>
      </c>
      <c r="AF126" s="279" t="str">
        <f t="shared" si="605"/>
        <v xml:space="preserve"> </v>
      </c>
      <c r="AG126" s="279" t="str">
        <f t="shared" si="606"/>
        <v xml:space="preserve"> </v>
      </c>
      <c r="AH126" s="279" t="str">
        <f t="shared" si="607"/>
        <v xml:space="preserve"> </v>
      </c>
      <c r="AI126" s="279" t="str">
        <f t="shared" si="608"/>
        <v xml:space="preserve"> </v>
      </c>
      <c r="AJ126" s="279" t="str">
        <f t="shared" si="609"/>
        <v xml:space="preserve"> </v>
      </c>
    </row>
    <row r="127" spans="1:36" x14ac:dyDescent="0.65">
      <c r="A127" s="203"/>
      <c r="B127" s="292" t="s">
        <v>1069</v>
      </c>
      <c r="C127" s="276" t="s">
        <v>448</v>
      </c>
      <c r="D127" s="292" t="s">
        <v>451</v>
      </c>
      <c r="E127" s="321" t="str">
        <f>IFERROR(VLOOKUP(A127,Estimate!A:Q,17,FALSE)," ")</f>
        <v xml:space="preserve"> </v>
      </c>
      <c r="F127" s="299" t="s">
        <v>448</v>
      </c>
      <c r="G127" s="299" t="s">
        <v>448</v>
      </c>
      <c r="H127" s="298" t="s">
        <v>448</v>
      </c>
      <c r="I127" s="298" t="s">
        <v>448</v>
      </c>
      <c r="J127" s="298" t="s">
        <v>448</v>
      </c>
      <c r="K127" s="298"/>
      <c r="L127" s="299" t="s">
        <v>448</v>
      </c>
      <c r="M127" s="301" t="str">
        <f t="shared" si="409"/>
        <v xml:space="preserve"> </v>
      </c>
      <c r="N127" s="299" t="s">
        <v>448</v>
      </c>
      <c r="O127" s="301" t="str">
        <f t="shared" si="409"/>
        <v xml:space="preserve"> </v>
      </c>
      <c r="P127" s="299" t="s">
        <v>448</v>
      </c>
      <c r="Q127" s="301" t="str">
        <f t="shared" ref="Q127" si="760">IFERROR(P127/$G127," ")</f>
        <v xml:space="preserve"> </v>
      </c>
      <c r="R127" s="299" t="s">
        <v>448</v>
      </c>
      <c r="S127" s="301" t="str">
        <f t="shared" ref="S127" si="761">IFERROR(R127/$G127," ")</f>
        <v xml:space="preserve"> </v>
      </c>
      <c r="T127" s="299" t="s">
        <v>448</v>
      </c>
      <c r="U127" s="301" t="str">
        <f t="shared" ref="U127" si="762">IFERROR(T127/$G127," ")</f>
        <v xml:space="preserve"> </v>
      </c>
      <c r="V127" s="299" t="s">
        <v>448</v>
      </c>
      <c r="W127" s="301" t="str">
        <f t="shared" ref="W127" si="763">IFERROR(V127/$G127," ")</f>
        <v xml:space="preserve"> </v>
      </c>
      <c r="X127" s="299" t="s">
        <v>448</v>
      </c>
      <c r="Y127" s="301" t="str">
        <f t="shared" ref="Y127" si="764">IFERROR(X127/$G127," ")</f>
        <v xml:space="preserve"> </v>
      </c>
      <c r="Z127" s="299" t="s">
        <v>448</v>
      </c>
      <c r="AA127" s="301" t="str">
        <f t="shared" ref="AA127" si="765">IFERROR(Z127/$G127," ")</f>
        <v xml:space="preserve"> </v>
      </c>
      <c r="AB127" s="292"/>
      <c r="AC127" s="279" t="str">
        <f t="shared" si="602"/>
        <v xml:space="preserve"> </v>
      </c>
      <c r="AD127" s="279" t="str">
        <f t="shared" si="603"/>
        <v xml:space="preserve"> </v>
      </c>
      <c r="AE127" s="279" t="str">
        <f t="shared" si="604"/>
        <v xml:space="preserve"> </v>
      </c>
      <c r="AF127" s="279" t="str">
        <f t="shared" si="605"/>
        <v xml:space="preserve"> </v>
      </c>
      <c r="AG127" s="279" t="str">
        <f t="shared" si="606"/>
        <v xml:space="preserve"> </v>
      </c>
      <c r="AH127" s="279" t="str">
        <f t="shared" si="607"/>
        <v xml:space="preserve"> </v>
      </c>
      <c r="AI127" s="279" t="str">
        <f t="shared" si="608"/>
        <v xml:space="preserve"> </v>
      </c>
      <c r="AJ127" s="279" t="str">
        <f t="shared" si="609"/>
        <v xml:space="preserve"> </v>
      </c>
    </row>
    <row r="128" spans="1:36" x14ac:dyDescent="0.65">
      <c r="A128" s="203">
        <v>100</v>
      </c>
      <c r="B128" s="292">
        <v>6</v>
      </c>
      <c r="C128" s="276" t="s">
        <v>646</v>
      </c>
      <c r="D128" s="292" t="s">
        <v>451</v>
      </c>
      <c r="E128" s="321"/>
      <c r="F128" s="299" t="s">
        <v>448</v>
      </c>
      <c r="G128" s="299" t="s">
        <v>448</v>
      </c>
      <c r="H128" s="298" t="s">
        <v>448</v>
      </c>
      <c r="I128" s="298" t="s">
        <v>448</v>
      </c>
      <c r="J128" s="298" t="s">
        <v>448</v>
      </c>
      <c r="K128" s="298"/>
      <c r="L128" s="299" t="s">
        <v>448</v>
      </c>
      <c r="M128" s="301" t="str">
        <f t="shared" si="409"/>
        <v xml:space="preserve"> </v>
      </c>
      <c r="N128" s="299" t="s">
        <v>448</v>
      </c>
      <c r="O128" s="301" t="str">
        <f t="shared" si="409"/>
        <v xml:space="preserve"> </v>
      </c>
      <c r="P128" s="299" t="s">
        <v>448</v>
      </c>
      <c r="Q128" s="301" t="str">
        <f t="shared" ref="Q128" si="766">IFERROR(P128/$G128," ")</f>
        <v xml:space="preserve"> </v>
      </c>
      <c r="R128" s="299" t="s">
        <v>448</v>
      </c>
      <c r="S128" s="301" t="str">
        <f t="shared" ref="S128" si="767">IFERROR(R128/$G128," ")</f>
        <v xml:space="preserve"> </v>
      </c>
      <c r="T128" s="299" t="s">
        <v>448</v>
      </c>
      <c r="U128" s="301" t="str">
        <f t="shared" ref="U128" si="768">IFERROR(T128/$G128," ")</f>
        <v xml:space="preserve"> </v>
      </c>
      <c r="V128" s="299" t="s">
        <v>448</v>
      </c>
      <c r="W128" s="301" t="str">
        <f t="shared" ref="W128" si="769">IFERROR(V128/$G128," ")</f>
        <v xml:space="preserve"> </v>
      </c>
      <c r="X128" s="299" t="s">
        <v>448</v>
      </c>
      <c r="Y128" s="301" t="str">
        <f t="shared" ref="Y128" si="770">IFERROR(X128/$G128," ")</f>
        <v xml:space="preserve"> </v>
      </c>
      <c r="Z128" s="299" t="s">
        <v>448</v>
      </c>
      <c r="AA128" s="301" t="str">
        <f t="shared" ref="AA128" si="771">IFERROR(Z128/$G128," ")</f>
        <v xml:space="preserve"> </v>
      </c>
      <c r="AB128" s="292"/>
      <c r="AC128" s="279" t="str">
        <f t="shared" si="602"/>
        <v xml:space="preserve"> </v>
      </c>
      <c r="AD128" s="279" t="str">
        <f t="shared" si="603"/>
        <v xml:space="preserve"> </v>
      </c>
      <c r="AE128" s="279" t="str">
        <f t="shared" si="604"/>
        <v xml:space="preserve"> </v>
      </c>
      <c r="AF128" s="279" t="str">
        <f t="shared" si="605"/>
        <v xml:space="preserve"> </v>
      </c>
      <c r="AG128" s="279" t="str">
        <f t="shared" si="606"/>
        <v xml:space="preserve"> </v>
      </c>
      <c r="AH128" s="279" t="str">
        <f t="shared" si="607"/>
        <v xml:space="preserve"> </v>
      </c>
      <c r="AI128" s="279" t="str">
        <f t="shared" si="608"/>
        <v xml:space="preserve"> </v>
      </c>
      <c r="AJ128" s="279" t="str">
        <f t="shared" si="609"/>
        <v xml:space="preserve"> </v>
      </c>
    </row>
    <row r="129" spans="1:36" ht="57" x14ac:dyDescent="0.65">
      <c r="A129" s="203">
        <v>101</v>
      </c>
      <c r="B129" s="292">
        <v>6.1</v>
      </c>
      <c r="C129" s="276" t="s">
        <v>210</v>
      </c>
      <c r="D129" s="292" t="s">
        <v>25</v>
      </c>
      <c r="E129" s="321">
        <f>IFERROR(VLOOKUP(A129,Estimate!A:Q,17,FALSE)," ")</f>
        <v>32591.082171956557</v>
      </c>
      <c r="F129" s="299">
        <v>940</v>
      </c>
      <c r="G129" s="299">
        <v>940</v>
      </c>
      <c r="H129" s="298">
        <v>44.18</v>
      </c>
      <c r="I129" s="298">
        <v>41529.199999999997</v>
      </c>
      <c r="J129" s="298">
        <v>41529.199999999997</v>
      </c>
      <c r="K129" s="298"/>
      <c r="L129" s="299"/>
      <c r="M129" s="301">
        <f t="shared" si="409"/>
        <v>0</v>
      </c>
      <c r="N129" s="299">
        <v>270</v>
      </c>
      <c r="O129" s="301">
        <f t="shared" si="409"/>
        <v>0.28723404255319152</v>
      </c>
      <c r="P129" s="299">
        <v>745</v>
      </c>
      <c r="Q129" s="301">
        <f t="shared" ref="Q129" si="772">IFERROR(P129/$G129," ")</f>
        <v>0.79255319148936165</v>
      </c>
      <c r="R129" s="299">
        <v>940</v>
      </c>
      <c r="S129" s="301">
        <f t="shared" ref="S129" si="773">IFERROR(R129/$G129," ")</f>
        <v>1</v>
      </c>
      <c r="T129" s="299">
        <v>940</v>
      </c>
      <c r="U129" s="301">
        <f t="shared" ref="U129" si="774">IFERROR(T129/$G129," ")</f>
        <v>1</v>
      </c>
      <c r="V129" s="299">
        <v>940</v>
      </c>
      <c r="W129" s="301">
        <f t="shared" ref="W129" si="775">IFERROR(V129/$G129," ")</f>
        <v>1</v>
      </c>
      <c r="X129" s="299">
        <v>940</v>
      </c>
      <c r="Y129" s="301">
        <f t="shared" ref="Y129" si="776">IFERROR(X129/$G129," ")</f>
        <v>1</v>
      </c>
      <c r="Z129" s="299">
        <v>940</v>
      </c>
      <c r="AA129" s="301">
        <f t="shared" ref="AA129" si="777">IFERROR(Z129/$G129," ")</f>
        <v>1</v>
      </c>
      <c r="AB129" s="292"/>
      <c r="AC129" s="279">
        <f t="shared" si="602"/>
        <v>0</v>
      </c>
      <c r="AD129" s="279">
        <f t="shared" si="603"/>
        <v>11928.6</v>
      </c>
      <c r="AE129" s="279">
        <f t="shared" si="604"/>
        <v>32914.1</v>
      </c>
      <c r="AF129" s="279">
        <f t="shared" si="605"/>
        <v>41529.199999999997</v>
      </c>
      <c r="AG129" s="279">
        <f t="shared" si="606"/>
        <v>41529.199999999997</v>
      </c>
      <c r="AH129" s="279">
        <f t="shared" si="607"/>
        <v>41529.199999999997</v>
      </c>
      <c r="AI129" s="279">
        <f t="shared" si="608"/>
        <v>41529.199999999997</v>
      </c>
      <c r="AJ129" s="279">
        <f t="shared" si="609"/>
        <v>41529.199999999997</v>
      </c>
    </row>
    <row r="130" spans="1:36" ht="42.75" x14ac:dyDescent="0.65">
      <c r="A130" s="203">
        <v>102</v>
      </c>
      <c r="B130" s="292">
        <v>6.2</v>
      </c>
      <c r="C130" s="276" t="s">
        <v>1162</v>
      </c>
      <c r="D130" s="292" t="s">
        <v>25</v>
      </c>
      <c r="E130" s="321">
        <f>IFERROR(VLOOKUP(A130,Estimate!A:Q,17,FALSE)," ")</f>
        <v>3342.9955</v>
      </c>
      <c r="F130" s="299">
        <v>613</v>
      </c>
      <c r="G130" s="299">
        <v>613</v>
      </c>
      <c r="H130" s="298">
        <v>6.95</v>
      </c>
      <c r="I130" s="298">
        <v>4260.3500000000004</v>
      </c>
      <c r="J130" s="298">
        <v>4260.3500000000004</v>
      </c>
      <c r="K130" s="298"/>
      <c r="L130" s="299"/>
      <c r="M130" s="301">
        <f t="shared" si="409"/>
        <v>0</v>
      </c>
      <c r="N130" s="299">
        <v>170</v>
      </c>
      <c r="O130" s="301">
        <f t="shared" si="409"/>
        <v>0.27732463295269166</v>
      </c>
      <c r="P130" s="299">
        <v>588</v>
      </c>
      <c r="Q130" s="301">
        <f t="shared" ref="Q130" si="778">IFERROR(P130/$G130," ")</f>
        <v>0.95921696574225124</v>
      </c>
      <c r="R130" s="299">
        <v>613</v>
      </c>
      <c r="S130" s="301">
        <f t="shared" ref="S130" si="779">IFERROR(R130/$G130," ")</f>
        <v>1</v>
      </c>
      <c r="T130" s="299">
        <v>613</v>
      </c>
      <c r="U130" s="301">
        <f t="shared" ref="U130" si="780">IFERROR(T130/$G130," ")</f>
        <v>1</v>
      </c>
      <c r="V130" s="299">
        <v>613</v>
      </c>
      <c r="W130" s="301">
        <f t="shared" ref="W130" si="781">IFERROR(V130/$G130," ")</f>
        <v>1</v>
      </c>
      <c r="X130" s="299">
        <v>613</v>
      </c>
      <c r="Y130" s="301">
        <f t="shared" ref="Y130" si="782">IFERROR(X130/$G130," ")</f>
        <v>1</v>
      </c>
      <c r="Z130" s="299">
        <v>613</v>
      </c>
      <c r="AA130" s="301">
        <f t="shared" ref="AA130" si="783">IFERROR(Z130/$G130," ")</f>
        <v>1</v>
      </c>
      <c r="AB130" s="292"/>
      <c r="AC130" s="279">
        <f t="shared" si="602"/>
        <v>0</v>
      </c>
      <c r="AD130" s="279">
        <f t="shared" si="603"/>
        <v>1181.5</v>
      </c>
      <c r="AE130" s="279">
        <f t="shared" si="604"/>
        <v>4086.6000000000004</v>
      </c>
      <c r="AF130" s="279">
        <f t="shared" si="605"/>
        <v>4260.3500000000004</v>
      </c>
      <c r="AG130" s="279">
        <f t="shared" si="606"/>
        <v>4260.3500000000004</v>
      </c>
      <c r="AH130" s="279">
        <f t="shared" si="607"/>
        <v>4260.3500000000004</v>
      </c>
      <c r="AI130" s="279">
        <f t="shared" si="608"/>
        <v>4260.3500000000004</v>
      </c>
      <c r="AJ130" s="279">
        <f t="shared" si="609"/>
        <v>4260.3500000000004</v>
      </c>
    </row>
    <row r="131" spans="1:36" ht="42.75" x14ac:dyDescent="0.65">
      <c r="A131" s="203">
        <v>103</v>
      </c>
      <c r="B131" s="292">
        <v>6.3</v>
      </c>
      <c r="C131" s="276" t="s">
        <v>1163</v>
      </c>
      <c r="D131" s="292" t="s">
        <v>451</v>
      </c>
      <c r="E131" s="321">
        <f>IFERROR(VLOOKUP(A131,Estimate!A:Q,17,FALSE)," ")</f>
        <v>1461.5</v>
      </c>
      <c r="F131" s="299">
        <v>500</v>
      </c>
      <c r="G131" s="299">
        <v>500</v>
      </c>
      <c r="H131" s="298">
        <v>3.72</v>
      </c>
      <c r="I131" s="298">
        <v>1860</v>
      </c>
      <c r="J131" s="298">
        <v>1860</v>
      </c>
      <c r="K131" s="298"/>
      <c r="L131" s="299"/>
      <c r="M131" s="301">
        <f t="shared" si="409"/>
        <v>0</v>
      </c>
      <c r="N131" s="299">
        <v>220</v>
      </c>
      <c r="O131" s="301">
        <f t="shared" si="409"/>
        <v>0.44</v>
      </c>
      <c r="P131" s="299">
        <v>330</v>
      </c>
      <c r="Q131" s="301">
        <f t="shared" ref="Q131" si="784">IFERROR(P131/$G131," ")</f>
        <v>0.66</v>
      </c>
      <c r="R131" s="299">
        <v>500</v>
      </c>
      <c r="S131" s="301">
        <f t="shared" ref="S131" si="785">IFERROR(R131/$G131," ")</f>
        <v>1</v>
      </c>
      <c r="T131" s="299">
        <v>500</v>
      </c>
      <c r="U131" s="301">
        <f t="shared" ref="U131" si="786">IFERROR(T131/$G131," ")</f>
        <v>1</v>
      </c>
      <c r="V131" s="299">
        <v>500</v>
      </c>
      <c r="W131" s="301">
        <f t="shared" ref="W131" si="787">IFERROR(V131/$G131," ")</f>
        <v>1</v>
      </c>
      <c r="X131" s="299">
        <v>500</v>
      </c>
      <c r="Y131" s="301">
        <f t="shared" ref="Y131" si="788">IFERROR(X131/$G131," ")</f>
        <v>1</v>
      </c>
      <c r="Z131" s="299">
        <v>500</v>
      </c>
      <c r="AA131" s="301">
        <f t="shared" ref="AA131" si="789">IFERROR(Z131/$G131," ")</f>
        <v>1</v>
      </c>
      <c r="AB131" s="292"/>
      <c r="AC131" s="279">
        <f t="shared" si="602"/>
        <v>0</v>
      </c>
      <c r="AD131" s="279">
        <f t="shared" si="603"/>
        <v>818.4</v>
      </c>
      <c r="AE131" s="279">
        <f t="shared" si="604"/>
        <v>1227.6000000000001</v>
      </c>
      <c r="AF131" s="279">
        <f t="shared" si="605"/>
        <v>1860</v>
      </c>
      <c r="AG131" s="279">
        <f t="shared" si="606"/>
        <v>1860</v>
      </c>
      <c r="AH131" s="279">
        <f t="shared" si="607"/>
        <v>1860</v>
      </c>
      <c r="AI131" s="279">
        <f t="shared" si="608"/>
        <v>1860</v>
      </c>
      <c r="AJ131" s="279">
        <f t="shared" si="609"/>
        <v>1860</v>
      </c>
    </row>
    <row r="132" spans="1:36" ht="42.75" x14ac:dyDescent="0.65">
      <c r="A132" s="203">
        <v>104</v>
      </c>
      <c r="B132" s="292">
        <v>6.4</v>
      </c>
      <c r="C132" s="276" t="s">
        <v>1164</v>
      </c>
      <c r="D132" s="292" t="s">
        <v>25</v>
      </c>
      <c r="E132" s="321">
        <f>IFERROR(VLOOKUP(A132,Estimate!A:Q,17,FALSE)," ")</f>
        <v>1673.7300000000002</v>
      </c>
      <c r="F132" s="299">
        <v>270</v>
      </c>
      <c r="G132" s="299">
        <v>270</v>
      </c>
      <c r="H132" s="298">
        <v>7.9</v>
      </c>
      <c r="I132" s="298">
        <v>2133</v>
      </c>
      <c r="J132" s="298">
        <v>2133</v>
      </c>
      <c r="K132" s="298"/>
      <c r="L132" s="299"/>
      <c r="M132" s="301">
        <f t="shared" si="409"/>
        <v>0</v>
      </c>
      <c r="N132" s="299">
        <v>30</v>
      </c>
      <c r="O132" s="301">
        <f t="shared" si="409"/>
        <v>0.1111111111111111</v>
      </c>
      <c r="P132" s="299">
        <v>270</v>
      </c>
      <c r="Q132" s="301">
        <f t="shared" ref="Q132" si="790">IFERROR(P132/$G132," ")</f>
        <v>1</v>
      </c>
      <c r="R132" s="299">
        <v>270</v>
      </c>
      <c r="S132" s="301">
        <f t="shared" ref="S132" si="791">IFERROR(R132/$G132," ")</f>
        <v>1</v>
      </c>
      <c r="T132" s="299">
        <v>270</v>
      </c>
      <c r="U132" s="301">
        <f t="shared" ref="U132" si="792">IFERROR(T132/$G132," ")</f>
        <v>1</v>
      </c>
      <c r="V132" s="299">
        <v>270</v>
      </c>
      <c r="W132" s="301">
        <f t="shared" ref="W132" si="793">IFERROR(V132/$G132," ")</f>
        <v>1</v>
      </c>
      <c r="X132" s="299">
        <v>270</v>
      </c>
      <c r="Y132" s="301">
        <f t="shared" ref="Y132" si="794">IFERROR(X132/$G132," ")</f>
        <v>1</v>
      </c>
      <c r="Z132" s="299">
        <v>270</v>
      </c>
      <c r="AA132" s="301">
        <f t="shared" ref="AA132" si="795">IFERROR(Z132/$G132," ")</f>
        <v>1</v>
      </c>
      <c r="AB132" s="292"/>
      <c r="AC132" s="279">
        <f t="shared" si="602"/>
        <v>0</v>
      </c>
      <c r="AD132" s="279">
        <f t="shared" si="603"/>
        <v>237</v>
      </c>
      <c r="AE132" s="279">
        <f t="shared" si="604"/>
        <v>2133</v>
      </c>
      <c r="AF132" s="279">
        <f t="shared" si="605"/>
        <v>2133</v>
      </c>
      <c r="AG132" s="279">
        <f t="shared" si="606"/>
        <v>2133</v>
      </c>
      <c r="AH132" s="279">
        <f t="shared" si="607"/>
        <v>2133</v>
      </c>
      <c r="AI132" s="279">
        <f t="shared" si="608"/>
        <v>2133</v>
      </c>
      <c r="AJ132" s="279">
        <f t="shared" si="609"/>
        <v>2133</v>
      </c>
    </row>
    <row r="133" spans="1:36" ht="42.75" x14ac:dyDescent="0.65">
      <c r="A133" s="203">
        <v>105</v>
      </c>
      <c r="B133" s="292">
        <v>6.5</v>
      </c>
      <c r="C133" s="276" t="s">
        <v>220</v>
      </c>
      <c r="D133" s="292" t="s">
        <v>144</v>
      </c>
      <c r="E133" s="321">
        <f>IFERROR(VLOOKUP(A133,Estimate!A:Q,17,FALSE)," ")</f>
        <v>16246.75</v>
      </c>
      <c r="F133" s="299">
        <v>13</v>
      </c>
      <c r="G133" s="299">
        <v>13</v>
      </c>
      <c r="H133" s="298">
        <v>1592.49</v>
      </c>
      <c r="I133" s="298">
        <v>20702.37</v>
      </c>
      <c r="J133" s="298">
        <v>20702.37</v>
      </c>
      <c r="K133" s="298"/>
      <c r="L133" s="299"/>
      <c r="M133" s="301">
        <f t="shared" si="409"/>
        <v>0</v>
      </c>
      <c r="N133" s="299"/>
      <c r="O133" s="301">
        <f t="shared" si="409"/>
        <v>0</v>
      </c>
      <c r="P133" s="299"/>
      <c r="Q133" s="301">
        <f t="shared" ref="Q133" si="796">IFERROR(P133/$G133," ")</f>
        <v>0</v>
      </c>
      <c r="R133" s="299">
        <v>8</v>
      </c>
      <c r="S133" s="301">
        <f t="shared" ref="S133" si="797">IFERROR(R133/$G133," ")</f>
        <v>0.61538461538461542</v>
      </c>
      <c r="T133" s="299">
        <v>13</v>
      </c>
      <c r="U133" s="301">
        <f t="shared" ref="U133" si="798">IFERROR(T133/$G133," ")</f>
        <v>1</v>
      </c>
      <c r="V133" s="299">
        <v>13</v>
      </c>
      <c r="W133" s="301">
        <f t="shared" ref="W133" si="799">IFERROR(V133/$G133," ")</f>
        <v>1</v>
      </c>
      <c r="X133" s="299">
        <v>13</v>
      </c>
      <c r="Y133" s="301">
        <f t="shared" ref="Y133" si="800">IFERROR(X133/$G133," ")</f>
        <v>1</v>
      </c>
      <c r="Z133" s="299">
        <v>13</v>
      </c>
      <c r="AA133" s="301">
        <f t="shared" ref="AA133" si="801">IFERROR(Z133/$G133," ")</f>
        <v>1</v>
      </c>
      <c r="AB133" s="292"/>
      <c r="AC133" s="279">
        <f t="shared" ref="AC133:AC164" si="802">IFERROR(M133*$I133," ")</f>
        <v>0</v>
      </c>
      <c r="AD133" s="279">
        <f t="shared" ref="AD133:AD164" si="803">IFERROR(O133*$I133," ")</f>
        <v>0</v>
      </c>
      <c r="AE133" s="279">
        <f t="shared" ref="AE133:AE164" si="804">IFERROR(Q133*$I133," ")</f>
        <v>0</v>
      </c>
      <c r="AF133" s="279">
        <f t="shared" ref="AF133:AF164" si="805">IFERROR(S133*$I133," ")</f>
        <v>12739.92</v>
      </c>
      <c r="AG133" s="279">
        <f t="shared" ref="AG133:AG164" si="806">IFERROR(U133*$I133," ")</f>
        <v>20702.37</v>
      </c>
      <c r="AH133" s="279">
        <f t="shared" ref="AH133:AH164" si="807">IFERROR(W133*$I133," ")</f>
        <v>20702.37</v>
      </c>
      <c r="AI133" s="279">
        <f t="shared" ref="AI133:AI164" si="808">IFERROR(Y133*$I133," ")</f>
        <v>20702.37</v>
      </c>
      <c r="AJ133" s="279">
        <f t="shared" ref="AJ133:AJ164" si="809">IFERROR(AA133*$I133," ")</f>
        <v>20702.37</v>
      </c>
    </row>
    <row r="134" spans="1:36" ht="57" x14ac:dyDescent="0.65">
      <c r="A134" s="203">
        <v>106</v>
      </c>
      <c r="B134" s="292">
        <v>6.6</v>
      </c>
      <c r="C134" s="276" t="s">
        <v>223</v>
      </c>
      <c r="D134" s="292" t="s">
        <v>144</v>
      </c>
      <c r="E134" s="321">
        <f>IFERROR(VLOOKUP(A134,Estimate!A:Q,17,FALSE)," ")</f>
        <v>12308</v>
      </c>
      <c r="F134" s="299">
        <v>8</v>
      </c>
      <c r="G134" s="299">
        <v>8</v>
      </c>
      <c r="H134" s="298">
        <v>1960.43</v>
      </c>
      <c r="I134" s="298">
        <v>15683.44</v>
      </c>
      <c r="J134" s="298">
        <v>15683.44</v>
      </c>
      <c r="K134" s="298"/>
      <c r="L134" s="299"/>
      <c r="M134" s="301">
        <f t="shared" ref="M134:O197" si="810">IFERROR(L134/$G134," ")</f>
        <v>0</v>
      </c>
      <c r="N134" s="299"/>
      <c r="O134" s="301">
        <f t="shared" si="810"/>
        <v>0</v>
      </c>
      <c r="P134" s="299"/>
      <c r="Q134" s="301">
        <f t="shared" ref="Q134" si="811">IFERROR(P134/$G134," ")</f>
        <v>0</v>
      </c>
      <c r="R134" s="299">
        <v>5</v>
      </c>
      <c r="S134" s="301">
        <f t="shared" ref="S134" si="812">IFERROR(R134/$G134," ")</f>
        <v>0.625</v>
      </c>
      <c r="T134" s="299">
        <v>8</v>
      </c>
      <c r="U134" s="301">
        <f t="shared" ref="U134" si="813">IFERROR(T134/$G134," ")</f>
        <v>1</v>
      </c>
      <c r="V134" s="299">
        <v>8</v>
      </c>
      <c r="W134" s="301">
        <f t="shared" ref="W134" si="814">IFERROR(V134/$G134," ")</f>
        <v>1</v>
      </c>
      <c r="X134" s="299">
        <v>8</v>
      </c>
      <c r="Y134" s="301">
        <f t="shared" ref="Y134" si="815">IFERROR(X134/$G134," ")</f>
        <v>1</v>
      </c>
      <c r="Z134" s="299">
        <v>8</v>
      </c>
      <c r="AA134" s="301">
        <f t="shared" ref="AA134" si="816">IFERROR(Z134/$G134," ")</f>
        <v>1</v>
      </c>
      <c r="AB134" s="292"/>
      <c r="AC134" s="279">
        <f t="shared" si="802"/>
        <v>0</v>
      </c>
      <c r="AD134" s="279">
        <f t="shared" si="803"/>
        <v>0</v>
      </c>
      <c r="AE134" s="279">
        <f t="shared" si="804"/>
        <v>0</v>
      </c>
      <c r="AF134" s="279">
        <f t="shared" si="805"/>
        <v>9802.15</v>
      </c>
      <c r="AG134" s="279">
        <f t="shared" si="806"/>
        <v>15683.44</v>
      </c>
      <c r="AH134" s="279">
        <f t="shared" si="807"/>
        <v>15683.44</v>
      </c>
      <c r="AI134" s="279">
        <f t="shared" si="808"/>
        <v>15683.44</v>
      </c>
      <c r="AJ134" s="279">
        <f t="shared" si="809"/>
        <v>15683.44</v>
      </c>
    </row>
    <row r="135" spans="1:36" ht="28.5" x14ac:dyDescent="0.65">
      <c r="A135" s="203">
        <v>107</v>
      </c>
      <c r="B135" s="292">
        <v>6.7</v>
      </c>
      <c r="C135" s="276" t="s">
        <v>226</v>
      </c>
      <c r="D135" s="292" t="s">
        <v>144</v>
      </c>
      <c r="E135" s="321">
        <f>IFERROR(VLOOKUP(A135,Estimate!A:Q,17,FALSE)," ")</f>
        <v>12010</v>
      </c>
      <c r="F135" s="299">
        <v>1</v>
      </c>
      <c r="G135" s="299">
        <v>1</v>
      </c>
      <c r="H135" s="298">
        <v>15303.71</v>
      </c>
      <c r="I135" s="298">
        <v>15303.71</v>
      </c>
      <c r="J135" s="298">
        <v>15303.71</v>
      </c>
      <c r="K135" s="298"/>
      <c r="L135" s="299"/>
      <c r="M135" s="301">
        <f t="shared" si="810"/>
        <v>0</v>
      </c>
      <c r="N135" s="299"/>
      <c r="O135" s="301">
        <f t="shared" si="810"/>
        <v>0</v>
      </c>
      <c r="P135" s="299"/>
      <c r="Q135" s="301">
        <f t="shared" ref="Q135" si="817">IFERROR(P135/$G135," ")</f>
        <v>0</v>
      </c>
      <c r="R135" s="299"/>
      <c r="S135" s="301">
        <f t="shared" ref="S135" si="818">IFERROR(R135/$G135," ")</f>
        <v>0</v>
      </c>
      <c r="T135" s="299">
        <v>0.75</v>
      </c>
      <c r="U135" s="301">
        <f t="shared" ref="U135" si="819">IFERROR(T135/$G135," ")</f>
        <v>0.75</v>
      </c>
      <c r="V135" s="299">
        <v>1</v>
      </c>
      <c r="W135" s="301">
        <f t="shared" ref="W135" si="820">IFERROR(V135/$G135," ")</f>
        <v>1</v>
      </c>
      <c r="X135" s="299">
        <v>1</v>
      </c>
      <c r="Y135" s="301">
        <f t="shared" ref="Y135" si="821">IFERROR(X135/$G135," ")</f>
        <v>1</v>
      </c>
      <c r="Z135" s="299">
        <v>1</v>
      </c>
      <c r="AA135" s="301">
        <f t="shared" ref="AA135" si="822">IFERROR(Z135/$G135," ")</f>
        <v>1</v>
      </c>
      <c r="AB135" s="292"/>
      <c r="AC135" s="279">
        <f t="shared" si="802"/>
        <v>0</v>
      </c>
      <c r="AD135" s="279">
        <f t="shared" si="803"/>
        <v>0</v>
      </c>
      <c r="AE135" s="279">
        <f t="shared" si="804"/>
        <v>0</v>
      </c>
      <c r="AF135" s="279">
        <f t="shared" si="805"/>
        <v>0</v>
      </c>
      <c r="AG135" s="279">
        <f t="shared" si="806"/>
        <v>11477.782499999999</v>
      </c>
      <c r="AH135" s="279">
        <f t="shared" si="807"/>
        <v>15303.71</v>
      </c>
      <c r="AI135" s="279">
        <f t="shared" si="808"/>
        <v>15303.71</v>
      </c>
      <c r="AJ135" s="279">
        <f t="shared" si="809"/>
        <v>15303.71</v>
      </c>
    </row>
    <row r="136" spans="1:36" ht="42.75" x14ac:dyDescent="0.65">
      <c r="A136" s="203">
        <v>108</v>
      </c>
      <c r="B136" s="292">
        <v>6.8</v>
      </c>
      <c r="C136" s="276" t="s">
        <v>229</v>
      </c>
      <c r="D136" s="292" t="s">
        <v>144</v>
      </c>
      <c r="E136" s="321">
        <f>IFERROR(VLOOKUP(A136,Estimate!A:Q,17,FALSE)," ")</f>
        <v>4689.6499999999996</v>
      </c>
      <c r="F136" s="299">
        <v>5</v>
      </c>
      <c r="G136" s="299">
        <v>5</v>
      </c>
      <c r="H136" s="298">
        <v>1195.1500000000001</v>
      </c>
      <c r="I136" s="298">
        <v>5975.75</v>
      </c>
      <c r="J136" s="298">
        <v>5975.75</v>
      </c>
      <c r="K136" s="298"/>
      <c r="L136" s="299"/>
      <c r="M136" s="301">
        <f t="shared" si="810"/>
        <v>0</v>
      </c>
      <c r="N136" s="299"/>
      <c r="O136" s="301">
        <f t="shared" si="810"/>
        <v>0</v>
      </c>
      <c r="P136" s="299"/>
      <c r="Q136" s="301">
        <f t="shared" ref="Q136" si="823">IFERROR(P136/$G136," ")</f>
        <v>0</v>
      </c>
      <c r="R136" s="299">
        <v>5</v>
      </c>
      <c r="S136" s="301">
        <f t="shared" ref="S136" si="824">IFERROR(R136/$G136," ")</f>
        <v>1</v>
      </c>
      <c r="T136" s="299">
        <v>5</v>
      </c>
      <c r="U136" s="301">
        <f t="shared" ref="U136" si="825">IFERROR(T136/$G136," ")</f>
        <v>1</v>
      </c>
      <c r="V136" s="299">
        <v>5</v>
      </c>
      <c r="W136" s="301">
        <f t="shared" ref="W136" si="826">IFERROR(V136/$G136," ")</f>
        <v>1</v>
      </c>
      <c r="X136" s="299">
        <v>5</v>
      </c>
      <c r="Y136" s="301">
        <f t="shared" ref="Y136" si="827">IFERROR(X136/$G136," ")</f>
        <v>1</v>
      </c>
      <c r="Z136" s="299">
        <v>5</v>
      </c>
      <c r="AA136" s="301">
        <f t="shared" ref="AA136" si="828">IFERROR(Z136/$G136," ")</f>
        <v>1</v>
      </c>
      <c r="AB136" s="292"/>
      <c r="AC136" s="279">
        <f t="shared" si="802"/>
        <v>0</v>
      </c>
      <c r="AD136" s="279">
        <f t="shared" si="803"/>
        <v>0</v>
      </c>
      <c r="AE136" s="279">
        <f t="shared" si="804"/>
        <v>0</v>
      </c>
      <c r="AF136" s="279">
        <f t="shared" si="805"/>
        <v>5975.75</v>
      </c>
      <c r="AG136" s="279">
        <f t="shared" si="806"/>
        <v>5975.75</v>
      </c>
      <c r="AH136" s="279">
        <f t="shared" si="807"/>
        <v>5975.75</v>
      </c>
      <c r="AI136" s="279">
        <f t="shared" si="808"/>
        <v>5975.75</v>
      </c>
      <c r="AJ136" s="279">
        <f t="shared" si="809"/>
        <v>5975.75</v>
      </c>
    </row>
    <row r="137" spans="1:36" ht="42.75" x14ac:dyDescent="0.65">
      <c r="A137" s="203">
        <v>109</v>
      </c>
      <c r="B137" s="292">
        <v>6.9</v>
      </c>
      <c r="C137" s="276" t="s">
        <v>233</v>
      </c>
      <c r="D137" s="292" t="s">
        <v>144</v>
      </c>
      <c r="E137" s="321">
        <f>IFERROR(VLOOKUP(A137,Estimate!A:Q,17,FALSE)," ")</f>
        <v>1113.82</v>
      </c>
      <c r="F137" s="299">
        <v>2</v>
      </c>
      <c r="G137" s="299">
        <v>2</v>
      </c>
      <c r="H137" s="298">
        <v>709.64</v>
      </c>
      <c r="I137" s="298">
        <v>1419.28</v>
      </c>
      <c r="J137" s="298">
        <v>1419.28</v>
      </c>
      <c r="K137" s="298"/>
      <c r="L137" s="299"/>
      <c r="M137" s="301">
        <f t="shared" si="810"/>
        <v>0</v>
      </c>
      <c r="N137" s="299"/>
      <c r="O137" s="301">
        <f t="shared" si="810"/>
        <v>0</v>
      </c>
      <c r="P137" s="299"/>
      <c r="Q137" s="301">
        <f t="shared" ref="Q137" si="829">IFERROR(P137/$G137," ")</f>
        <v>0</v>
      </c>
      <c r="R137" s="299">
        <v>2</v>
      </c>
      <c r="S137" s="301">
        <f t="shared" ref="S137" si="830">IFERROR(R137/$G137," ")</f>
        <v>1</v>
      </c>
      <c r="T137" s="299">
        <v>2</v>
      </c>
      <c r="U137" s="301">
        <f t="shared" ref="U137" si="831">IFERROR(T137/$G137," ")</f>
        <v>1</v>
      </c>
      <c r="V137" s="299">
        <v>2</v>
      </c>
      <c r="W137" s="301">
        <f t="shared" ref="W137" si="832">IFERROR(V137/$G137," ")</f>
        <v>1</v>
      </c>
      <c r="X137" s="299">
        <v>2</v>
      </c>
      <c r="Y137" s="301">
        <f t="shared" ref="Y137" si="833">IFERROR(X137/$G137," ")</f>
        <v>1</v>
      </c>
      <c r="Z137" s="299">
        <v>2</v>
      </c>
      <c r="AA137" s="301">
        <f t="shared" ref="AA137" si="834">IFERROR(Z137/$G137," ")</f>
        <v>1</v>
      </c>
      <c r="AB137" s="292"/>
      <c r="AC137" s="279">
        <f t="shared" si="802"/>
        <v>0</v>
      </c>
      <c r="AD137" s="279">
        <f t="shared" si="803"/>
        <v>0</v>
      </c>
      <c r="AE137" s="279">
        <f t="shared" si="804"/>
        <v>0</v>
      </c>
      <c r="AF137" s="279">
        <f t="shared" si="805"/>
        <v>1419.28</v>
      </c>
      <c r="AG137" s="279">
        <f t="shared" si="806"/>
        <v>1419.28</v>
      </c>
      <c r="AH137" s="279">
        <f t="shared" si="807"/>
        <v>1419.28</v>
      </c>
      <c r="AI137" s="279">
        <f t="shared" si="808"/>
        <v>1419.28</v>
      </c>
      <c r="AJ137" s="279">
        <f t="shared" si="809"/>
        <v>1419.28</v>
      </c>
    </row>
    <row r="138" spans="1:36" ht="42.75" x14ac:dyDescent="0.65">
      <c r="A138" s="203">
        <v>110</v>
      </c>
      <c r="B138" s="292">
        <v>6.1</v>
      </c>
      <c r="C138" s="276" t="s">
        <v>235</v>
      </c>
      <c r="D138" s="292" t="s">
        <v>144</v>
      </c>
      <c r="E138" s="321">
        <f>IFERROR(VLOOKUP(A138,Estimate!A:Q,17,FALSE)," ")</f>
        <v>23218.6</v>
      </c>
      <c r="F138" s="299">
        <v>4</v>
      </c>
      <c r="G138" s="299">
        <v>4</v>
      </c>
      <c r="H138" s="298">
        <v>7396.56</v>
      </c>
      <c r="I138" s="298">
        <v>29586.240000000002</v>
      </c>
      <c r="J138" s="298">
        <v>29586.240000000002</v>
      </c>
      <c r="K138" s="298"/>
      <c r="L138" s="299"/>
      <c r="M138" s="301">
        <f t="shared" si="810"/>
        <v>0</v>
      </c>
      <c r="N138" s="299"/>
      <c r="O138" s="301">
        <f t="shared" si="810"/>
        <v>0</v>
      </c>
      <c r="P138" s="299"/>
      <c r="Q138" s="301">
        <f t="shared" ref="Q138" si="835">IFERROR(P138/$G138," ")</f>
        <v>0</v>
      </c>
      <c r="R138" s="299"/>
      <c r="S138" s="301">
        <f t="shared" ref="S138" si="836">IFERROR(R138/$G138," ")</f>
        <v>0</v>
      </c>
      <c r="T138" s="299"/>
      <c r="U138" s="301">
        <f t="shared" ref="U138" si="837">IFERROR(T138/$G138," ")</f>
        <v>0</v>
      </c>
      <c r="V138" s="299">
        <v>4</v>
      </c>
      <c r="W138" s="301">
        <f t="shared" ref="W138" si="838">IFERROR(V138/$G138," ")</f>
        <v>1</v>
      </c>
      <c r="X138" s="299">
        <v>4</v>
      </c>
      <c r="Y138" s="301">
        <f t="shared" ref="Y138" si="839">IFERROR(X138/$G138," ")</f>
        <v>1</v>
      </c>
      <c r="Z138" s="299">
        <v>4</v>
      </c>
      <c r="AA138" s="301">
        <f t="shared" ref="AA138" si="840">IFERROR(Z138/$G138," ")</f>
        <v>1</v>
      </c>
      <c r="AB138" s="292"/>
      <c r="AC138" s="279">
        <f t="shared" si="802"/>
        <v>0</v>
      </c>
      <c r="AD138" s="279">
        <f t="shared" si="803"/>
        <v>0</v>
      </c>
      <c r="AE138" s="279">
        <f t="shared" si="804"/>
        <v>0</v>
      </c>
      <c r="AF138" s="279">
        <f t="shared" si="805"/>
        <v>0</v>
      </c>
      <c r="AG138" s="279">
        <f t="shared" si="806"/>
        <v>0</v>
      </c>
      <c r="AH138" s="279">
        <f t="shared" si="807"/>
        <v>29586.240000000002</v>
      </c>
      <c r="AI138" s="279">
        <f t="shared" si="808"/>
        <v>29586.240000000002</v>
      </c>
      <c r="AJ138" s="279">
        <f t="shared" si="809"/>
        <v>29586.240000000002</v>
      </c>
    </row>
    <row r="139" spans="1:36" ht="57" x14ac:dyDescent="0.65">
      <c r="A139" s="203">
        <v>111</v>
      </c>
      <c r="B139" s="292">
        <v>6.11</v>
      </c>
      <c r="C139" s="276" t="s">
        <v>239</v>
      </c>
      <c r="D139" s="292" t="s">
        <v>144</v>
      </c>
      <c r="E139" s="321">
        <f>IFERROR(VLOOKUP(A139,Estimate!A:Q,17,FALSE)," ")</f>
        <v>4630</v>
      </c>
      <c r="F139" s="299">
        <v>3</v>
      </c>
      <c r="G139" s="299">
        <v>3</v>
      </c>
      <c r="H139" s="298">
        <v>5899.76</v>
      </c>
      <c r="I139" s="298">
        <v>17699.28</v>
      </c>
      <c r="J139" s="298">
        <v>17699.28</v>
      </c>
      <c r="K139" s="298"/>
      <c r="L139" s="299"/>
      <c r="M139" s="301">
        <f t="shared" si="810"/>
        <v>0</v>
      </c>
      <c r="N139" s="299"/>
      <c r="O139" s="301">
        <f t="shared" si="810"/>
        <v>0</v>
      </c>
      <c r="P139" s="299"/>
      <c r="Q139" s="301">
        <f t="shared" ref="Q139" si="841">IFERROR(P139/$G139," ")</f>
        <v>0</v>
      </c>
      <c r="R139" s="299">
        <v>1</v>
      </c>
      <c r="S139" s="301">
        <f t="shared" ref="S139" si="842">IFERROR(R139/$G139," ")</f>
        <v>0.33333333333333331</v>
      </c>
      <c r="T139" s="299">
        <v>3</v>
      </c>
      <c r="U139" s="301">
        <f t="shared" ref="U139" si="843">IFERROR(T139/$G139," ")</f>
        <v>1</v>
      </c>
      <c r="V139" s="299">
        <v>3</v>
      </c>
      <c r="W139" s="301">
        <f t="shared" ref="W139" si="844">IFERROR(V139/$G139," ")</f>
        <v>1</v>
      </c>
      <c r="X139" s="299">
        <v>3</v>
      </c>
      <c r="Y139" s="301">
        <f t="shared" ref="Y139" si="845">IFERROR(X139/$G139," ")</f>
        <v>1</v>
      </c>
      <c r="Z139" s="299">
        <v>3</v>
      </c>
      <c r="AA139" s="301">
        <f t="shared" ref="AA139" si="846">IFERROR(Z139/$G139," ")</f>
        <v>1</v>
      </c>
      <c r="AB139" s="292"/>
      <c r="AC139" s="279">
        <f t="shared" si="802"/>
        <v>0</v>
      </c>
      <c r="AD139" s="279">
        <f t="shared" si="803"/>
        <v>0</v>
      </c>
      <c r="AE139" s="279">
        <f t="shared" si="804"/>
        <v>0</v>
      </c>
      <c r="AF139" s="279">
        <f t="shared" si="805"/>
        <v>5899.7599999999993</v>
      </c>
      <c r="AG139" s="279">
        <f t="shared" si="806"/>
        <v>17699.28</v>
      </c>
      <c r="AH139" s="279">
        <f t="shared" si="807"/>
        <v>17699.28</v>
      </c>
      <c r="AI139" s="279">
        <f t="shared" si="808"/>
        <v>17699.28</v>
      </c>
      <c r="AJ139" s="279">
        <f t="shared" si="809"/>
        <v>17699.28</v>
      </c>
    </row>
    <row r="140" spans="1:36" x14ac:dyDescent="0.65">
      <c r="A140" s="203"/>
      <c r="B140" s="302" t="s">
        <v>1069</v>
      </c>
      <c r="C140" s="303" t="s">
        <v>1165</v>
      </c>
      <c r="D140" s="302" t="s">
        <v>451</v>
      </c>
      <c r="E140" s="326" t="str">
        <f>IFERROR(VLOOKUP(A140,Estimate!A:Q,17,FALSE)," ")</f>
        <v xml:space="preserve"> </v>
      </c>
      <c r="F140" s="305" t="s">
        <v>448</v>
      </c>
      <c r="G140" s="305" t="s">
        <v>448</v>
      </c>
      <c r="H140" s="304" t="s">
        <v>448</v>
      </c>
      <c r="I140" s="304">
        <v>156152.62</v>
      </c>
      <c r="J140" s="304" t="s">
        <v>448</v>
      </c>
      <c r="K140" s="304"/>
      <c r="L140" s="305" t="s">
        <v>448</v>
      </c>
      <c r="M140" s="301" t="str">
        <f t="shared" si="810"/>
        <v xml:space="preserve"> </v>
      </c>
      <c r="N140" s="305" t="s">
        <v>448</v>
      </c>
      <c r="O140" s="301" t="str">
        <f t="shared" si="810"/>
        <v xml:space="preserve"> </v>
      </c>
      <c r="P140" s="305" t="s">
        <v>448</v>
      </c>
      <c r="Q140" s="301" t="str">
        <f t="shared" ref="Q140" si="847">IFERROR(P140/$G140," ")</f>
        <v xml:space="preserve"> </v>
      </c>
      <c r="R140" s="305" t="s">
        <v>448</v>
      </c>
      <c r="S140" s="301" t="str">
        <f t="shared" ref="S140" si="848">IFERROR(R140/$G140," ")</f>
        <v xml:space="preserve"> </v>
      </c>
      <c r="T140" s="305" t="s">
        <v>448</v>
      </c>
      <c r="U140" s="301" t="str">
        <f t="shared" ref="U140" si="849">IFERROR(T140/$G140," ")</f>
        <v xml:space="preserve"> </v>
      </c>
      <c r="V140" s="305" t="s">
        <v>448</v>
      </c>
      <c r="W140" s="301" t="str">
        <f t="shared" ref="W140" si="850">IFERROR(V140/$G140," ")</f>
        <v xml:space="preserve"> </v>
      </c>
      <c r="X140" s="305" t="s">
        <v>448</v>
      </c>
      <c r="Y140" s="301" t="str">
        <f t="shared" ref="Y140" si="851">IFERROR(X140/$G140," ")</f>
        <v xml:space="preserve"> </v>
      </c>
      <c r="Z140" s="305" t="s">
        <v>448</v>
      </c>
      <c r="AA140" s="301" t="str">
        <f t="shared" ref="AA140" si="852">IFERROR(Z140/$G140," ")</f>
        <v xml:space="preserve"> </v>
      </c>
      <c r="AB140" s="292"/>
      <c r="AC140" s="279" t="str">
        <f t="shared" si="802"/>
        <v xml:space="preserve"> </v>
      </c>
      <c r="AD140" s="279" t="str">
        <f t="shared" si="803"/>
        <v xml:space="preserve"> </v>
      </c>
      <c r="AE140" s="279" t="str">
        <f t="shared" si="804"/>
        <v xml:space="preserve"> </v>
      </c>
      <c r="AF140" s="279" t="str">
        <f t="shared" si="805"/>
        <v xml:space="preserve"> </v>
      </c>
      <c r="AG140" s="279" t="str">
        <f t="shared" si="806"/>
        <v xml:space="preserve"> </v>
      </c>
      <c r="AH140" s="279" t="str">
        <f t="shared" si="807"/>
        <v xml:space="preserve"> </v>
      </c>
      <c r="AI140" s="279" t="str">
        <f t="shared" si="808"/>
        <v xml:space="preserve"> </v>
      </c>
      <c r="AJ140" s="279" t="str">
        <f t="shared" si="809"/>
        <v xml:space="preserve"> </v>
      </c>
    </row>
    <row r="141" spans="1:36" x14ac:dyDescent="0.65">
      <c r="A141" s="203"/>
      <c r="B141" s="292" t="s">
        <v>1069</v>
      </c>
      <c r="C141" s="276" t="s">
        <v>448</v>
      </c>
      <c r="D141" s="292" t="s">
        <v>451</v>
      </c>
      <c r="E141" s="321" t="str">
        <f>IFERROR(VLOOKUP(A141,Estimate!A:Q,17,FALSE)," ")</f>
        <v xml:space="preserve"> </v>
      </c>
      <c r="F141" s="299" t="s">
        <v>448</v>
      </c>
      <c r="G141" s="299" t="s">
        <v>448</v>
      </c>
      <c r="H141" s="298" t="s">
        <v>448</v>
      </c>
      <c r="I141" s="298" t="s">
        <v>448</v>
      </c>
      <c r="J141" s="298" t="s">
        <v>448</v>
      </c>
      <c r="K141" s="298"/>
      <c r="L141" s="299" t="s">
        <v>448</v>
      </c>
      <c r="M141" s="301" t="str">
        <f t="shared" si="810"/>
        <v xml:space="preserve"> </v>
      </c>
      <c r="N141" s="299" t="s">
        <v>448</v>
      </c>
      <c r="O141" s="301" t="str">
        <f t="shared" si="810"/>
        <v xml:space="preserve"> </v>
      </c>
      <c r="P141" s="299" t="s">
        <v>448</v>
      </c>
      <c r="Q141" s="301" t="str">
        <f t="shared" ref="Q141" si="853">IFERROR(P141/$G141," ")</f>
        <v xml:space="preserve"> </v>
      </c>
      <c r="R141" s="299" t="s">
        <v>448</v>
      </c>
      <c r="S141" s="301" t="str">
        <f t="shared" ref="S141" si="854">IFERROR(R141/$G141," ")</f>
        <v xml:space="preserve"> </v>
      </c>
      <c r="T141" s="299" t="s">
        <v>448</v>
      </c>
      <c r="U141" s="301" t="str">
        <f t="shared" ref="U141" si="855">IFERROR(T141/$G141," ")</f>
        <v xml:space="preserve"> </v>
      </c>
      <c r="V141" s="299" t="s">
        <v>448</v>
      </c>
      <c r="W141" s="301" t="str">
        <f t="shared" ref="W141" si="856">IFERROR(V141/$G141," ")</f>
        <v xml:space="preserve"> </v>
      </c>
      <c r="X141" s="299" t="s">
        <v>448</v>
      </c>
      <c r="Y141" s="301" t="str">
        <f t="shared" ref="Y141" si="857">IFERROR(X141/$G141," ")</f>
        <v xml:space="preserve"> </v>
      </c>
      <c r="Z141" s="299" t="s">
        <v>448</v>
      </c>
      <c r="AA141" s="301" t="str">
        <f t="shared" ref="AA141" si="858">IFERROR(Z141/$G141," ")</f>
        <v xml:space="preserve"> </v>
      </c>
      <c r="AB141" s="292"/>
      <c r="AC141" s="279" t="str">
        <f t="shared" si="802"/>
        <v xml:space="preserve"> </v>
      </c>
      <c r="AD141" s="279" t="str">
        <f t="shared" si="803"/>
        <v xml:space="preserve"> </v>
      </c>
      <c r="AE141" s="279" t="str">
        <f t="shared" si="804"/>
        <v xml:space="preserve"> </v>
      </c>
      <c r="AF141" s="279" t="str">
        <f t="shared" si="805"/>
        <v xml:space="preserve"> </v>
      </c>
      <c r="AG141" s="279" t="str">
        <f t="shared" si="806"/>
        <v xml:space="preserve"> </v>
      </c>
      <c r="AH141" s="279" t="str">
        <f t="shared" si="807"/>
        <v xml:space="preserve"> </v>
      </c>
      <c r="AI141" s="279" t="str">
        <f t="shared" si="808"/>
        <v xml:space="preserve"> </v>
      </c>
      <c r="AJ141" s="279" t="str">
        <f t="shared" si="809"/>
        <v xml:space="preserve"> </v>
      </c>
    </row>
    <row r="142" spans="1:36" x14ac:dyDescent="0.65">
      <c r="A142" s="203">
        <v>112</v>
      </c>
      <c r="B142" s="292">
        <v>7</v>
      </c>
      <c r="C142" s="276" t="s">
        <v>647</v>
      </c>
      <c r="D142" s="292" t="s">
        <v>451</v>
      </c>
      <c r="E142" s="321"/>
      <c r="F142" s="299" t="s">
        <v>448</v>
      </c>
      <c r="G142" s="299" t="s">
        <v>448</v>
      </c>
      <c r="H142" s="298" t="s">
        <v>448</v>
      </c>
      <c r="I142" s="298" t="s">
        <v>448</v>
      </c>
      <c r="J142" s="298" t="s">
        <v>448</v>
      </c>
      <c r="K142" s="298"/>
      <c r="L142" s="299" t="s">
        <v>448</v>
      </c>
      <c r="M142" s="301" t="str">
        <f t="shared" si="810"/>
        <v xml:space="preserve"> </v>
      </c>
      <c r="N142" s="299" t="s">
        <v>448</v>
      </c>
      <c r="O142" s="301" t="str">
        <f t="shared" si="810"/>
        <v xml:space="preserve"> </v>
      </c>
      <c r="P142" s="299" t="s">
        <v>448</v>
      </c>
      <c r="Q142" s="301" t="str">
        <f t="shared" ref="Q142" si="859">IFERROR(P142/$G142," ")</f>
        <v xml:space="preserve"> </v>
      </c>
      <c r="R142" s="299" t="s">
        <v>448</v>
      </c>
      <c r="S142" s="301" t="str">
        <f t="shared" ref="S142" si="860">IFERROR(R142/$G142," ")</f>
        <v xml:space="preserve"> </v>
      </c>
      <c r="T142" s="299" t="s">
        <v>448</v>
      </c>
      <c r="U142" s="301" t="str">
        <f t="shared" ref="U142" si="861">IFERROR(T142/$G142," ")</f>
        <v xml:space="preserve"> </v>
      </c>
      <c r="V142" s="299" t="s">
        <v>448</v>
      </c>
      <c r="W142" s="301" t="str">
        <f t="shared" ref="W142" si="862">IFERROR(V142/$G142," ")</f>
        <v xml:space="preserve"> </v>
      </c>
      <c r="X142" s="299" t="s">
        <v>448</v>
      </c>
      <c r="Y142" s="301" t="str">
        <f t="shared" ref="Y142" si="863">IFERROR(X142/$G142," ")</f>
        <v xml:space="preserve"> </v>
      </c>
      <c r="Z142" s="299" t="s">
        <v>448</v>
      </c>
      <c r="AA142" s="301" t="str">
        <f t="shared" ref="AA142" si="864">IFERROR(Z142/$G142," ")</f>
        <v xml:space="preserve"> </v>
      </c>
      <c r="AB142" s="292"/>
      <c r="AC142" s="279" t="str">
        <f t="shared" si="802"/>
        <v xml:space="preserve"> </v>
      </c>
      <c r="AD142" s="279" t="str">
        <f t="shared" si="803"/>
        <v xml:space="preserve"> </v>
      </c>
      <c r="AE142" s="279" t="str">
        <f t="shared" si="804"/>
        <v xml:space="preserve"> </v>
      </c>
      <c r="AF142" s="279" t="str">
        <f t="shared" si="805"/>
        <v xml:space="preserve"> </v>
      </c>
      <c r="AG142" s="279" t="str">
        <f t="shared" si="806"/>
        <v xml:space="preserve"> </v>
      </c>
      <c r="AH142" s="279" t="str">
        <f t="shared" si="807"/>
        <v xml:space="preserve"> </v>
      </c>
      <c r="AI142" s="279" t="str">
        <f t="shared" si="808"/>
        <v xml:space="preserve"> </v>
      </c>
      <c r="AJ142" s="279" t="str">
        <f t="shared" si="809"/>
        <v xml:space="preserve"> </v>
      </c>
    </row>
    <row r="143" spans="1:36" x14ac:dyDescent="0.65">
      <c r="A143" s="203">
        <v>113</v>
      </c>
      <c r="B143" s="292">
        <v>7.1</v>
      </c>
      <c r="C143" s="276" t="s">
        <v>648</v>
      </c>
      <c r="D143" s="292" t="s">
        <v>451</v>
      </c>
      <c r="E143" s="321"/>
      <c r="F143" s="299" t="s">
        <v>448</v>
      </c>
      <c r="G143" s="299" t="s">
        <v>448</v>
      </c>
      <c r="H143" s="298" t="s">
        <v>448</v>
      </c>
      <c r="I143" s="298" t="s">
        <v>448</v>
      </c>
      <c r="J143" s="298" t="s">
        <v>448</v>
      </c>
      <c r="K143" s="298"/>
      <c r="L143" s="299" t="s">
        <v>448</v>
      </c>
      <c r="M143" s="301" t="str">
        <f t="shared" si="810"/>
        <v xml:space="preserve"> </v>
      </c>
      <c r="N143" s="299" t="s">
        <v>448</v>
      </c>
      <c r="O143" s="301" t="str">
        <f t="shared" si="810"/>
        <v xml:space="preserve"> </v>
      </c>
      <c r="P143" s="299" t="s">
        <v>448</v>
      </c>
      <c r="Q143" s="301" t="str">
        <f t="shared" ref="Q143" si="865">IFERROR(P143/$G143," ")</f>
        <v xml:space="preserve"> </v>
      </c>
      <c r="R143" s="299" t="s">
        <v>448</v>
      </c>
      <c r="S143" s="301" t="str">
        <f t="shared" ref="S143" si="866">IFERROR(R143/$G143," ")</f>
        <v xml:space="preserve"> </v>
      </c>
      <c r="T143" s="299" t="s">
        <v>448</v>
      </c>
      <c r="U143" s="301" t="str">
        <f t="shared" ref="U143" si="867">IFERROR(T143/$G143," ")</f>
        <v xml:space="preserve"> </v>
      </c>
      <c r="V143" s="299" t="s">
        <v>448</v>
      </c>
      <c r="W143" s="301" t="str">
        <f t="shared" ref="W143" si="868">IFERROR(V143/$G143," ")</f>
        <v xml:space="preserve"> </v>
      </c>
      <c r="X143" s="299" t="s">
        <v>448</v>
      </c>
      <c r="Y143" s="301" t="str">
        <f t="shared" ref="Y143" si="869">IFERROR(X143/$G143," ")</f>
        <v xml:space="preserve"> </v>
      </c>
      <c r="Z143" s="299" t="s">
        <v>448</v>
      </c>
      <c r="AA143" s="301" t="str">
        <f t="shared" ref="AA143" si="870">IFERROR(Z143/$G143," ")</f>
        <v xml:space="preserve"> </v>
      </c>
      <c r="AB143" s="292"/>
      <c r="AC143" s="279" t="str">
        <f t="shared" si="802"/>
        <v xml:space="preserve"> </v>
      </c>
      <c r="AD143" s="279" t="str">
        <f t="shared" si="803"/>
        <v xml:space="preserve"> </v>
      </c>
      <c r="AE143" s="279" t="str">
        <f t="shared" si="804"/>
        <v xml:space="preserve"> </v>
      </c>
      <c r="AF143" s="279" t="str">
        <f t="shared" si="805"/>
        <v xml:space="preserve"> </v>
      </c>
      <c r="AG143" s="279" t="str">
        <f t="shared" si="806"/>
        <v xml:space="preserve"> </v>
      </c>
      <c r="AH143" s="279" t="str">
        <f t="shared" si="807"/>
        <v xml:space="preserve"> </v>
      </c>
      <c r="AI143" s="279" t="str">
        <f t="shared" si="808"/>
        <v xml:space="preserve"> </v>
      </c>
      <c r="AJ143" s="279" t="str">
        <f t="shared" si="809"/>
        <v xml:space="preserve"> </v>
      </c>
    </row>
    <row r="144" spans="1:36" ht="28.5" x14ac:dyDescent="0.65">
      <c r="A144" s="203">
        <v>114</v>
      </c>
      <c r="B144" s="292" t="s">
        <v>1069</v>
      </c>
      <c r="C144" s="276" t="s">
        <v>1166</v>
      </c>
      <c r="D144" s="292" t="s">
        <v>451</v>
      </c>
      <c r="E144" s="321"/>
      <c r="F144" s="299" t="s">
        <v>448</v>
      </c>
      <c r="G144" s="299" t="s">
        <v>448</v>
      </c>
      <c r="H144" s="298" t="s">
        <v>448</v>
      </c>
      <c r="I144" s="298" t="s">
        <v>448</v>
      </c>
      <c r="J144" s="298" t="s">
        <v>448</v>
      </c>
      <c r="K144" s="298"/>
      <c r="L144" s="299" t="s">
        <v>448</v>
      </c>
      <c r="M144" s="301" t="str">
        <f t="shared" si="810"/>
        <v xml:space="preserve"> </v>
      </c>
      <c r="N144" s="299" t="s">
        <v>448</v>
      </c>
      <c r="O144" s="301" t="str">
        <f t="shared" si="810"/>
        <v xml:space="preserve"> </v>
      </c>
      <c r="P144" s="299" t="s">
        <v>448</v>
      </c>
      <c r="Q144" s="301" t="str">
        <f t="shared" ref="Q144" si="871">IFERROR(P144/$G144," ")</f>
        <v xml:space="preserve"> </v>
      </c>
      <c r="R144" s="299" t="s">
        <v>448</v>
      </c>
      <c r="S144" s="301" t="str">
        <f t="shared" ref="S144" si="872">IFERROR(R144/$G144," ")</f>
        <v xml:space="preserve"> </v>
      </c>
      <c r="T144" s="299" t="s">
        <v>448</v>
      </c>
      <c r="U144" s="301" t="str">
        <f t="shared" ref="U144" si="873">IFERROR(T144/$G144," ")</f>
        <v xml:space="preserve"> </v>
      </c>
      <c r="V144" s="299" t="s">
        <v>448</v>
      </c>
      <c r="W144" s="301" t="str">
        <f t="shared" ref="W144" si="874">IFERROR(V144/$G144," ")</f>
        <v xml:space="preserve"> </v>
      </c>
      <c r="X144" s="299" t="s">
        <v>448</v>
      </c>
      <c r="Y144" s="301" t="str">
        <f t="shared" ref="Y144" si="875">IFERROR(X144/$G144," ")</f>
        <v xml:space="preserve"> </v>
      </c>
      <c r="Z144" s="299" t="s">
        <v>448</v>
      </c>
      <c r="AA144" s="301" t="str">
        <f t="shared" ref="AA144" si="876">IFERROR(Z144/$G144," ")</f>
        <v xml:space="preserve"> </v>
      </c>
      <c r="AB144" s="292"/>
      <c r="AC144" s="279" t="str">
        <f t="shared" si="802"/>
        <v xml:space="preserve"> </v>
      </c>
      <c r="AD144" s="279" t="str">
        <f t="shared" si="803"/>
        <v xml:space="preserve"> </v>
      </c>
      <c r="AE144" s="279" t="str">
        <f t="shared" si="804"/>
        <v xml:space="preserve"> </v>
      </c>
      <c r="AF144" s="279" t="str">
        <f t="shared" si="805"/>
        <v xml:space="preserve"> </v>
      </c>
      <c r="AG144" s="279" t="str">
        <f t="shared" si="806"/>
        <v xml:space="preserve"> </v>
      </c>
      <c r="AH144" s="279" t="str">
        <f t="shared" si="807"/>
        <v xml:space="preserve"> </v>
      </c>
      <c r="AI144" s="279" t="str">
        <f t="shared" si="808"/>
        <v xml:space="preserve"> </v>
      </c>
      <c r="AJ144" s="279" t="str">
        <f t="shared" si="809"/>
        <v xml:space="preserve"> </v>
      </c>
    </row>
    <row r="145" spans="1:36" x14ac:dyDescent="0.65">
      <c r="A145" s="203"/>
      <c r="B145" s="292" t="s">
        <v>1167</v>
      </c>
      <c r="C145" s="276" t="s">
        <v>1168</v>
      </c>
      <c r="D145" s="292" t="s">
        <v>1169</v>
      </c>
      <c r="E145" s="321" t="str">
        <f>IFERROR(VLOOKUP(A145,Estimate!A:Q,17,FALSE)," ")</f>
        <v xml:space="preserve"> </v>
      </c>
      <c r="F145" s="299">
        <v>1</v>
      </c>
      <c r="G145" s="299">
        <v>1</v>
      </c>
      <c r="H145" s="298">
        <v>1000</v>
      </c>
      <c r="I145" s="298">
        <v>1000</v>
      </c>
      <c r="J145" s="298">
        <v>1000</v>
      </c>
      <c r="K145" s="298"/>
      <c r="L145" s="299"/>
      <c r="M145" s="301">
        <f t="shared" si="810"/>
        <v>0</v>
      </c>
      <c r="N145" s="299"/>
      <c r="O145" s="301">
        <f t="shared" si="810"/>
        <v>0</v>
      </c>
      <c r="P145" s="299"/>
      <c r="Q145" s="301">
        <f t="shared" ref="Q145" si="877">IFERROR(P145/$G145," ")</f>
        <v>0</v>
      </c>
      <c r="R145" s="299"/>
      <c r="S145" s="301">
        <f t="shared" ref="S145" si="878">IFERROR(R145/$G145," ")</f>
        <v>0</v>
      </c>
      <c r="T145" s="299">
        <v>1</v>
      </c>
      <c r="U145" s="301">
        <f t="shared" ref="U145" si="879">IFERROR(T145/$G145," ")</f>
        <v>1</v>
      </c>
      <c r="V145" s="299">
        <v>1</v>
      </c>
      <c r="W145" s="301">
        <f t="shared" ref="W145" si="880">IFERROR(V145/$G145," ")</f>
        <v>1</v>
      </c>
      <c r="X145" s="299">
        <v>1</v>
      </c>
      <c r="Y145" s="301">
        <f t="shared" ref="Y145" si="881">IFERROR(X145/$G145," ")</f>
        <v>1</v>
      </c>
      <c r="Z145" s="299">
        <v>1</v>
      </c>
      <c r="AA145" s="301">
        <f t="shared" ref="AA145" si="882">IFERROR(Z145/$G145," ")</f>
        <v>1</v>
      </c>
      <c r="AB145" s="292"/>
      <c r="AC145" s="279">
        <f t="shared" si="802"/>
        <v>0</v>
      </c>
      <c r="AD145" s="279">
        <f t="shared" si="803"/>
        <v>0</v>
      </c>
      <c r="AE145" s="279">
        <f t="shared" si="804"/>
        <v>0</v>
      </c>
      <c r="AF145" s="279">
        <f t="shared" si="805"/>
        <v>0</v>
      </c>
      <c r="AG145" s="279">
        <f t="shared" si="806"/>
        <v>1000</v>
      </c>
      <c r="AH145" s="279">
        <f t="shared" si="807"/>
        <v>1000</v>
      </c>
      <c r="AI145" s="279">
        <f t="shared" si="808"/>
        <v>1000</v>
      </c>
      <c r="AJ145" s="279">
        <f t="shared" si="809"/>
        <v>1000</v>
      </c>
    </row>
    <row r="146" spans="1:36" x14ac:dyDescent="0.65">
      <c r="A146" s="203"/>
      <c r="B146" s="292" t="s">
        <v>1170</v>
      </c>
      <c r="C146" s="276" t="s">
        <v>1171</v>
      </c>
      <c r="D146" s="292" t="s">
        <v>1169</v>
      </c>
      <c r="E146" s="321" t="str">
        <f>IFERROR(VLOOKUP(A146,Estimate!A:Q,17,FALSE)," ")</f>
        <v xml:space="preserve"> </v>
      </c>
      <c r="F146" s="299">
        <v>1</v>
      </c>
      <c r="G146" s="299">
        <v>1</v>
      </c>
      <c r="H146" s="298">
        <v>5000</v>
      </c>
      <c r="I146" s="298">
        <v>5000</v>
      </c>
      <c r="J146" s="298">
        <v>5000</v>
      </c>
      <c r="K146" s="298"/>
      <c r="L146" s="299"/>
      <c r="M146" s="301">
        <f t="shared" si="810"/>
        <v>0</v>
      </c>
      <c r="N146" s="299"/>
      <c r="O146" s="301">
        <f t="shared" si="810"/>
        <v>0</v>
      </c>
      <c r="P146" s="299"/>
      <c r="Q146" s="301">
        <f t="shared" ref="Q146" si="883">IFERROR(P146/$G146," ")</f>
        <v>0</v>
      </c>
      <c r="R146" s="299"/>
      <c r="S146" s="301">
        <f t="shared" ref="S146" si="884">IFERROR(R146/$G146," ")</f>
        <v>0</v>
      </c>
      <c r="T146" s="299">
        <v>1</v>
      </c>
      <c r="U146" s="301">
        <f t="shared" ref="U146" si="885">IFERROR(T146/$G146," ")</f>
        <v>1</v>
      </c>
      <c r="V146" s="299">
        <v>1</v>
      </c>
      <c r="W146" s="301">
        <f t="shared" ref="W146" si="886">IFERROR(V146/$G146," ")</f>
        <v>1</v>
      </c>
      <c r="X146" s="299">
        <v>1</v>
      </c>
      <c r="Y146" s="301">
        <f t="shared" ref="Y146" si="887">IFERROR(X146/$G146," ")</f>
        <v>1</v>
      </c>
      <c r="Z146" s="299">
        <v>1</v>
      </c>
      <c r="AA146" s="301">
        <f t="shared" ref="AA146" si="888">IFERROR(Z146/$G146," ")</f>
        <v>1</v>
      </c>
      <c r="AB146" s="292"/>
      <c r="AC146" s="279">
        <f t="shared" si="802"/>
        <v>0</v>
      </c>
      <c r="AD146" s="279">
        <f t="shared" si="803"/>
        <v>0</v>
      </c>
      <c r="AE146" s="279">
        <f t="shared" si="804"/>
        <v>0</v>
      </c>
      <c r="AF146" s="279">
        <f t="shared" si="805"/>
        <v>0</v>
      </c>
      <c r="AG146" s="279">
        <f t="shared" si="806"/>
        <v>5000</v>
      </c>
      <c r="AH146" s="279">
        <f t="shared" si="807"/>
        <v>5000</v>
      </c>
      <c r="AI146" s="279">
        <f t="shared" si="808"/>
        <v>5000</v>
      </c>
      <c r="AJ146" s="279">
        <f t="shared" si="809"/>
        <v>5000</v>
      </c>
    </row>
    <row r="147" spans="1:36" ht="28.5" x14ac:dyDescent="0.65">
      <c r="A147" s="203">
        <v>115</v>
      </c>
      <c r="B147" s="292" t="s">
        <v>1172</v>
      </c>
      <c r="C147" s="276" t="s">
        <v>241</v>
      </c>
      <c r="D147" s="292" t="s">
        <v>14</v>
      </c>
      <c r="E147" s="321">
        <f>IFERROR(VLOOKUP(A147,Estimate!A:Q,17,FALSE)," ")</f>
        <v>2499</v>
      </c>
      <c r="F147" s="299">
        <v>1</v>
      </c>
      <c r="G147" s="299">
        <v>1</v>
      </c>
      <c r="H147" s="298">
        <v>3184.34</v>
      </c>
      <c r="I147" s="298">
        <v>3184.34</v>
      </c>
      <c r="J147" s="298">
        <v>3184.34</v>
      </c>
      <c r="K147" s="298"/>
      <c r="L147" s="299"/>
      <c r="M147" s="301">
        <f t="shared" si="810"/>
        <v>0</v>
      </c>
      <c r="N147" s="299"/>
      <c r="O147" s="301">
        <f t="shared" si="810"/>
        <v>0</v>
      </c>
      <c r="P147" s="299"/>
      <c r="Q147" s="301">
        <f t="shared" ref="Q147" si="889">IFERROR(P147/$G147," ")</f>
        <v>0</v>
      </c>
      <c r="R147" s="299"/>
      <c r="S147" s="301">
        <f t="shared" ref="S147" si="890">IFERROR(R147/$G147," ")</f>
        <v>0</v>
      </c>
      <c r="T147" s="299">
        <v>1</v>
      </c>
      <c r="U147" s="301">
        <f t="shared" ref="U147" si="891">IFERROR(T147/$G147," ")</f>
        <v>1</v>
      </c>
      <c r="V147" s="299">
        <v>1</v>
      </c>
      <c r="W147" s="301">
        <f t="shared" ref="W147" si="892">IFERROR(V147/$G147," ")</f>
        <v>1</v>
      </c>
      <c r="X147" s="299">
        <v>1</v>
      </c>
      <c r="Y147" s="301">
        <f t="shared" ref="Y147" si="893">IFERROR(X147/$G147," ")</f>
        <v>1</v>
      </c>
      <c r="Z147" s="299">
        <v>1</v>
      </c>
      <c r="AA147" s="301">
        <f t="shared" ref="AA147" si="894">IFERROR(Z147/$G147," ")</f>
        <v>1</v>
      </c>
      <c r="AB147" s="292"/>
      <c r="AC147" s="279">
        <f t="shared" si="802"/>
        <v>0</v>
      </c>
      <c r="AD147" s="279">
        <f t="shared" si="803"/>
        <v>0</v>
      </c>
      <c r="AE147" s="279">
        <f t="shared" si="804"/>
        <v>0</v>
      </c>
      <c r="AF147" s="279">
        <f t="shared" si="805"/>
        <v>0</v>
      </c>
      <c r="AG147" s="279">
        <f t="shared" si="806"/>
        <v>3184.34</v>
      </c>
      <c r="AH147" s="279">
        <f t="shared" si="807"/>
        <v>3184.34</v>
      </c>
      <c r="AI147" s="279">
        <f t="shared" si="808"/>
        <v>3184.34</v>
      </c>
      <c r="AJ147" s="279">
        <f t="shared" si="809"/>
        <v>3184.34</v>
      </c>
    </row>
    <row r="148" spans="1:36" x14ac:dyDescent="0.65">
      <c r="A148" s="203"/>
      <c r="B148" s="292" t="s">
        <v>1069</v>
      </c>
      <c r="C148" s="276" t="s">
        <v>448</v>
      </c>
      <c r="D148" s="292" t="s">
        <v>451</v>
      </c>
      <c r="E148" s="321" t="str">
        <f>IFERROR(VLOOKUP(A148,Estimate!A:Q,17,FALSE)," ")</f>
        <v xml:space="preserve"> </v>
      </c>
      <c r="F148" s="299" t="s">
        <v>448</v>
      </c>
      <c r="G148" s="299" t="s">
        <v>448</v>
      </c>
      <c r="H148" s="298" t="s">
        <v>448</v>
      </c>
      <c r="I148" s="298" t="s">
        <v>448</v>
      </c>
      <c r="J148" s="298" t="s">
        <v>448</v>
      </c>
      <c r="K148" s="298"/>
      <c r="L148" s="299" t="s">
        <v>448</v>
      </c>
      <c r="M148" s="301" t="str">
        <f t="shared" si="810"/>
        <v xml:space="preserve"> </v>
      </c>
      <c r="N148" s="299" t="s">
        <v>448</v>
      </c>
      <c r="O148" s="301" t="str">
        <f t="shared" si="810"/>
        <v xml:space="preserve"> </v>
      </c>
      <c r="P148" s="299" t="s">
        <v>448</v>
      </c>
      <c r="Q148" s="301" t="str">
        <f t="shared" ref="Q148" si="895">IFERROR(P148/$G148," ")</f>
        <v xml:space="preserve"> </v>
      </c>
      <c r="R148" s="299" t="s">
        <v>448</v>
      </c>
      <c r="S148" s="301" t="str">
        <f t="shared" ref="S148" si="896">IFERROR(R148/$G148," ")</f>
        <v xml:space="preserve"> </v>
      </c>
      <c r="T148" s="299" t="s">
        <v>448</v>
      </c>
      <c r="U148" s="301" t="str">
        <f t="shared" ref="U148" si="897">IFERROR(T148/$G148," ")</f>
        <v xml:space="preserve"> </v>
      </c>
      <c r="V148" s="299" t="s">
        <v>448</v>
      </c>
      <c r="W148" s="301" t="str">
        <f t="shared" ref="W148" si="898">IFERROR(V148/$G148," ")</f>
        <v xml:space="preserve"> </v>
      </c>
      <c r="X148" s="299" t="s">
        <v>448</v>
      </c>
      <c r="Y148" s="301" t="str">
        <f t="shared" ref="Y148" si="899">IFERROR(X148/$G148," ")</f>
        <v xml:space="preserve"> </v>
      </c>
      <c r="Z148" s="299" t="s">
        <v>448</v>
      </c>
      <c r="AA148" s="301" t="str">
        <f t="shared" ref="AA148" si="900">IFERROR(Z148/$G148," ")</f>
        <v xml:space="preserve"> </v>
      </c>
      <c r="AB148" s="292"/>
      <c r="AC148" s="279" t="str">
        <f t="shared" si="802"/>
        <v xml:space="preserve"> </v>
      </c>
      <c r="AD148" s="279" t="str">
        <f t="shared" si="803"/>
        <v xml:space="preserve"> </v>
      </c>
      <c r="AE148" s="279" t="str">
        <f t="shared" si="804"/>
        <v xml:space="preserve"> </v>
      </c>
      <c r="AF148" s="279" t="str">
        <f t="shared" si="805"/>
        <v xml:space="preserve"> </v>
      </c>
      <c r="AG148" s="279" t="str">
        <f t="shared" si="806"/>
        <v xml:space="preserve"> </v>
      </c>
      <c r="AH148" s="279" t="str">
        <f t="shared" si="807"/>
        <v xml:space="preserve"> </v>
      </c>
      <c r="AI148" s="279" t="str">
        <f t="shared" si="808"/>
        <v xml:space="preserve"> </v>
      </c>
      <c r="AJ148" s="279" t="str">
        <f t="shared" si="809"/>
        <v xml:space="preserve"> </v>
      </c>
    </row>
    <row r="149" spans="1:36" x14ac:dyDescent="0.65">
      <c r="A149" s="203">
        <v>116</v>
      </c>
      <c r="B149" s="292">
        <v>7.2</v>
      </c>
      <c r="C149" s="276" t="s">
        <v>650</v>
      </c>
      <c r="D149" s="292" t="s">
        <v>451</v>
      </c>
      <c r="E149" s="321"/>
      <c r="F149" s="299" t="s">
        <v>448</v>
      </c>
      <c r="G149" s="299" t="s">
        <v>448</v>
      </c>
      <c r="H149" s="298" t="s">
        <v>448</v>
      </c>
      <c r="I149" s="298" t="s">
        <v>448</v>
      </c>
      <c r="J149" s="298" t="s">
        <v>448</v>
      </c>
      <c r="K149" s="298"/>
      <c r="L149" s="299" t="s">
        <v>448</v>
      </c>
      <c r="M149" s="301" t="str">
        <f t="shared" si="810"/>
        <v xml:space="preserve"> </v>
      </c>
      <c r="N149" s="299" t="s">
        <v>448</v>
      </c>
      <c r="O149" s="301" t="str">
        <f t="shared" si="810"/>
        <v xml:space="preserve"> </v>
      </c>
      <c r="P149" s="299" t="s">
        <v>448</v>
      </c>
      <c r="Q149" s="301" t="str">
        <f t="shared" ref="Q149" si="901">IFERROR(P149/$G149," ")</f>
        <v xml:space="preserve"> </v>
      </c>
      <c r="R149" s="299" t="s">
        <v>448</v>
      </c>
      <c r="S149" s="301" t="str">
        <f t="shared" ref="S149" si="902">IFERROR(R149/$G149," ")</f>
        <v xml:space="preserve"> </v>
      </c>
      <c r="T149" s="299" t="s">
        <v>448</v>
      </c>
      <c r="U149" s="301" t="str">
        <f t="shared" ref="U149" si="903">IFERROR(T149/$G149," ")</f>
        <v xml:space="preserve"> </v>
      </c>
      <c r="V149" s="299" t="s">
        <v>448</v>
      </c>
      <c r="W149" s="301" t="str">
        <f t="shared" ref="W149" si="904">IFERROR(V149/$G149," ")</f>
        <v xml:space="preserve"> </v>
      </c>
      <c r="X149" s="299" t="s">
        <v>448</v>
      </c>
      <c r="Y149" s="301" t="str">
        <f t="shared" ref="Y149" si="905">IFERROR(X149/$G149," ")</f>
        <v xml:space="preserve"> </v>
      </c>
      <c r="Z149" s="299" t="s">
        <v>448</v>
      </c>
      <c r="AA149" s="301" t="str">
        <f t="shared" ref="AA149" si="906">IFERROR(Z149/$G149," ")</f>
        <v xml:space="preserve"> </v>
      </c>
      <c r="AB149" s="292"/>
      <c r="AC149" s="279" t="str">
        <f t="shared" si="802"/>
        <v xml:space="preserve"> </v>
      </c>
      <c r="AD149" s="279" t="str">
        <f t="shared" si="803"/>
        <v xml:space="preserve"> </v>
      </c>
      <c r="AE149" s="279" t="str">
        <f t="shared" si="804"/>
        <v xml:space="preserve"> </v>
      </c>
      <c r="AF149" s="279" t="str">
        <f t="shared" si="805"/>
        <v xml:space="preserve"> </v>
      </c>
      <c r="AG149" s="279" t="str">
        <f t="shared" si="806"/>
        <v xml:space="preserve"> </v>
      </c>
      <c r="AH149" s="279" t="str">
        <f t="shared" si="807"/>
        <v xml:space="preserve"> </v>
      </c>
      <c r="AI149" s="279" t="str">
        <f t="shared" si="808"/>
        <v xml:space="preserve"> </v>
      </c>
      <c r="AJ149" s="279" t="str">
        <f t="shared" si="809"/>
        <v xml:space="preserve"> </v>
      </c>
    </row>
    <row r="150" spans="1:36" ht="28.5" x14ac:dyDescent="0.65">
      <c r="A150" s="203">
        <v>117</v>
      </c>
      <c r="B150" s="292" t="s">
        <v>1173</v>
      </c>
      <c r="C150" s="276" t="s">
        <v>1174</v>
      </c>
      <c r="D150" s="292" t="s">
        <v>451</v>
      </c>
      <c r="E150" s="321"/>
      <c r="F150" s="299" t="s">
        <v>448</v>
      </c>
      <c r="G150" s="299" t="s">
        <v>448</v>
      </c>
      <c r="H150" s="298" t="s">
        <v>448</v>
      </c>
      <c r="I150" s="298" t="s">
        <v>448</v>
      </c>
      <c r="J150" s="298" t="s">
        <v>448</v>
      </c>
      <c r="K150" s="298"/>
      <c r="L150" s="299" t="s">
        <v>448</v>
      </c>
      <c r="M150" s="301" t="str">
        <f t="shared" si="810"/>
        <v xml:space="preserve"> </v>
      </c>
      <c r="N150" s="299" t="s">
        <v>448</v>
      </c>
      <c r="O150" s="301" t="str">
        <f t="shared" si="810"/>
        <v xml:space="preserve"> </v>
      </c>
      <c r="P150" s="299" t="s">
        <v>448</v>
      </c>
      <c r="Q150" s="301" t="str">
        <f t="shared" ref="Q150" si="907">IFERROR(P150/$G150," ")</f>
        <v xml:space="preserve"> </v>
      </c>
      <c r="R150" s="299" t="s">
        <v>448</v>
      </c>
      <c r="S150" s="301" t="str">
        <f t="shared" ref="S150" si="908">IFERROR(R150/$G150," ")</f>
        <v xml:space="preserve"> </v>
      </c>
      <c r="T150" s="299" t="s">
        <v>448</v>
      </c>
      <c r="U150" s="301" t="str">
        <f t="shared" ref="U150" si="909">IFERROR(T150/$G150," ")</f>
        <v xml:space="preserve"> </v>
      </c>
      <c r="V150" s="299" t="s">
        <v>448</v>
      </c>
      <c r="W150" s="301" t="str">
        <f t="shared" ref="W150" si="910">IFERROR(V150/$G150," ")</f>
        <v xml:space="preserve"> </v>
      </c>
      <c r="X150" s="299" t="s">
        <v>448</v>
      </c>
      <c r="Y150" s="301" t="str">
        <f t="shared" ref="Y150" si="911">IFERROR(X150/$G150," ")</f>
        <v xml:space="preserve"> </v>
      </c>
      <c r="Z150" s="299" t="s">
        <v>448</v>
      </c>
      <c r="AA150" s="301" t="str">
        <f t="shared" ref="AA150" si="912">IFERROR(Z150/$G150," ")</f>
        <v xml:space="preserve"> </v>
      </c>
      <c r="AB150" s="292"/>
      <c r="AC150" s="279" t="str">
        <f t="shared" si="802"/>
        <v xml:space="preserve"> </v>
      </c>
      <c r="AD150" s="279" t="str">
        <f t="shared" si="803"/>
        <v xml:space="preserve"> </v>
      </c>
      <c r="AE150" s="279" t="str">
        <f t="shared" si="804"/>
        <v xml:space="preserve"> </v>
      </c>
      <c r="AF150" s="279" t="str">
        <f t="shared" si="805"/>
        <v xml:space="preserve"> </v>
      </c>
      <c r="AG150" s="279" t="str">
        <f t="shared" si="806"/>
        <v xml:space="preserve"> </v>
      </c>
      <c r="AH150" s="279" t="str">
        <f t="shared" si="807"/>
        <v xml:space="preserve"> </v>
      </c>
      <c r="AI150" s="279" t="str">
        <f t="shared" si="808"/>
        <v xml:space="preserve"> </v>
      </c>
      <c r="AJ150" s="279" t="str">
        <f t="shared" si="809"/>
        <v xml:space="preserve"> </v>
      </c>
    </row>
    <row r="151" spans="1:36" ht="28.5" x14ac:dyDescent="0.65">
      <c r="A151" s="203">
        <v>118</v>
      </c>
      <c r="B151" s="292" t="s">
        <v>1175</v>
      </c>
      <c r="C151" s="276" t="s">
        <v>244</v>
      </c>
      <c r="D151" s="292" t="s">
        <v>25</v>
      </c>
      <c r="E151" s="321">
        <f>IFERROR(VLOOKUP(A151,Estimate!A:Q,17,FALSE)," ")</f>
        <v>16838.64</v>
      </c>
      <c r="F151" s="299">
        <v>624</v>
      </c>
      <c r="G151" s="299">
        <v>624</v>
      </c>
      <c r="H151" s="298">
        <v>34.39</v>
      </c>
      <c r="I151" s="298">
        <v>21459.360000000001</v>
      </c>
      <c r="J151" s="298">
        <v>21459.360000000001</v>
      </c>
      <c r="K151" s="298"/>
      <c r="L151" s="299"/>
      <c r="M151" s="301">
        <f t="shared" si="810"/>
        <v>0</v>
      </c>
      <c r="N151" s="299"/>
      <c r="O151" s="301">
        <f t="shared" si="810"/>
        <v>0</v>
      </c>
      <c r="P151" s="299"/>
      <c r="Q151" s="301">
        <f t="shared" ref="Q151" si="913">IFERROR(P151/$G151," ")</f>
        <v>0</v>
      </c>
      <c r="R151" s="299"/>
      <c r="S151" s="301">
        <f t="shared" ref="S151" si="914">IFERROR(R151/$G151," ")</f>
        <v>0</v>
      </c>
      <c r="T151" s="299">
        <v>305</v>
      </c>
      <c r="U151" s="301">
        <f t="shared" ref="U151" si="915">IFERROR(T151/$G151," ")</f>
        <v>0.48878205128205127</v>
      </c>
      <c r="V151" s="299">
        <v>624</v>
      </c>
      <c r="W151" s="301">
        <f t="shared" ref="W151" si="916">IFERROR(V151/$G151," ")</f>
        <v>1</v>
      </c>
      <c r="X151" s="299">
        <v>624</v>
      </c>
      <c r="Y151" s="301">
        <f t="shared" ref="Y151" si="917">IFERROR(X151/$G151," ")</f>
        <v>1</v>
      </c>
      <c r="Z151" s="299">
        <v>624</v>
      </c>
      <c r="AA151" s="301">
        <f t="shared" ref="AA151" si="918">IFERROR(Z151/$G151," ")</f>
        <v>1</v>
      </c>
      <c r="AB151" s="292"/>
      <c r="AC151" s="279">
        <f t="shared" si="802"/>
        <v>0</v>
      </c>
      <c r="AD151" s="279">
        <f t="shared" si="803"/>
        <v>0</v>
      </c>
      <c r="AE151" s="279">
        <f t="shared" si="804"/>
        <v>0</v>
      </c>
      <c r="AF151" s="279">
        <f t="shared" si="805"/>
        <v>0</v>
      </c>
      <c r="AG151" s="279">
        <f t="shared" si="806"/>
        <v>10488.95</v>
      </c>
      <c r="AH151" s="279">
        <f t="shared" si="807"/>
        <v>21459.360000000001</v>
      </c>
      <c r="AI151" s="279">
        <f t="shared" si="808"/>
        <v>21459.360000000001</v>
      </c>
      <c r="AJ151" s="279">
        <f t="shared" si="809"/>
        <v>21459.360000000001</v>
      </c>
    </row>
    <row r="152" spans="1:36" ht="42.75" x14ac:dyDescent="0.65">
      <c r="A152" s="203">
        <v>119</v>
      </c>
      <c r="B152" s="292" t="s">
        <v>1176</v>
      </c>
      <c r="C152" s="276" t="s">
        <v>246</v>
      </c>
      <c r="D152" s="292" t="s">
        <v>25</v>
      </c>
      <c r="E152" s="321">
        <f>IFERROR(VLOOKUP(A152,Estimate!A:Q,17,FALSE)," ")</f>
        <v>19159.349999999999</v>
      </c>
      <c r="F152" s="299">
        <v>710</v>
      </c>
      <c r="G152" s="299">
        <v>710</v>
      </c>
      <c r="H152" s="298">
        <v>34.39</v>
      </c>
      <c r="I152" s="298">
        <v>24416.9</v>
      </c>
      <c r="J152" s="298">
        <v>24416.9</v>
      </c>
      <c r="K152" s="298"/>
      <c r="L152" s="299"/>
      <c r="M152" s="301">
        <f t="shared" si="810"/>
        <v>0</v>
      </c>
      <c r="N152" s="299"/>
      <c r="O152" s="301">
        <f t="shared" si="810"/>
        <v>0</v>
      </c>
      <c r="P152" s="299"/>
      <c r="Q152" s="301">
        <f t="shared" ref="Q152" si="919">IFERROR(P152/$G152," ")</f>
        <v>0</v>
      </c>
      <c r="R152" s="299"/>
      <c r="S152" s="301">
        <f t="shared" ref="S152" si="920">IFERROR(R152/$G152," ")</f>
        <v>0</v>
      </c>
      <c r="T152" s="299"/>
      <c r="U152" s="301">
        <f t="shared" ref="U152" si="921">IFERROR(T152/$G152," ")</f>
        <v>0</v>
      </c>
      <c r="V152" s="299">
        <v>710</v>
      </c>
      <c r="W152" s="301">
        <f t="shared" ref="W152" si="922">IFERROR(V152/$G152," ")</f>
        <v>1</v>
      </c>
      <c r="X152" s="299">
        <v>710</v>
      </c>
      <c r="Y152" s="301">
        <f t="shared" ref="Y152" si="923">IFERROR(X152/$G152," ")</f>
        <v>1</v>
      </c>
      <c r="Z152" s="299">
        <v>710</v>
      </c>
      <c r="AA152" s="301">
        <f t="shared" ref="AA152" si="924">IFERROR(Z152/$G152," ")</f>
        <v>1</v>
      </c>
      <c r="AB152" s="292"/>
      <c r="AC152" s="279">
        <f t="shared" si="802"/>
        <v>0</v>
      </c>
      <c r="AD152" s="279">
        <f t="shared" si="803"/>
        <v>0</v>
      </c>
      <c r="AE152" s="279">
        <f t="shared" si="804"/>
        <v>0</v>
      </c>
      <c r="AF152" s="279">
        <f t="shared" si="805"/>
        <v>0</v>
      </c>
      <c r="AG152" s="279">
        <f t="shared" si="806"/>
        <v>0</v>
      </c>
      <c r="AH152" s="279">
        <f t="shared" si="807"/>
        <v>24416.9</v>
      </c>
      <c r="AI152" s="279">
        <f t="shared" si="808"/>
        <v>24416.9</v>
      </c>
      <c r="AJ152" s="279">
        <f t="shared" si="809"/>
        <v>24416.9</v>
      </c>
    </row>
    <row r="153" spans="1:36" x14ac:dyDescent="0.65">
      <c r="A153" s="203">
        <v>120</v>
      </c>
      <c r="B153" s="292" t="s">
        <v>1177</v>
      </c>
      <c r="C153" s="276" t="s">
        <v>248</v>
      </c>
      <c r="D153" s="292" t="s">
        <v>25</v>
      </c>
      <c r="E153" s="321">
        <f>IFERROR(VLOOKUP(A153,Estimate!A:Q,17,FALSE)," ")</f>
        <v>5936.7</v>
      </c>
      <c r="F153" s="299">
        <v>220</v>
      </c>
      <c r="G153" s="299">
        <v>220</v>
      </c>
      <c r="H153" s="298">
        <v>34.39</v>
      </c>
      <c r="I153" s="298">
        <v>7565.8</v>
      </c>
      <c r="J153" s="298">
        <v>7565.8</v>
      </c>
      <c r="K153" s="298"/>
      <c r="L153" s="299"/>
      <c r="M153" s="301">
        <f t="shared" si="810"/>
        <v>0</v>
      </c>
      <c r="N153" s="299"/>
      <c r="O153" s="301">
        <f t="shared" si="810"/>
        <v>0</v>
      </c>
      <c r="P153" s="299"/>
      <c r="Q153" s="301">
        <f t="shared" ref="Q153" si="925">IFERROR(P153/$G153," ")</f>
        <v>0</v>
      </c>
      <c r="R153" s="299"/>
      <c r="S153" s="301">
        <f t="shared" ref="S153" si="926">IFERROR(R153/$G153," ")</f>
        <v>0</v>
      </c>
      <c r="T153" s="299"/>
      <c r="U153" s="301">
        <f t="shared" ref="U153" si="927">IFERROR(T153/$G153," ")</f>
        <v>0</v>
      </c>
      <c r="V153" s="299">
        <v>162</v>
      </c>
      <c r="W153" s="301">
        <f t="shared" ref="W153" si="928">IFERROR(V153/$G153," ")</f>
        <v>0.73636363636363633</v>
      </c>
      <c r="X153" s="299">
        <v>220</v>
      </c>
      <c r="Y153" s="301">
        <f t="shared" ref="Y153" si="929">IFERROR(X153/$G153," ")</f>
        <v>1</v>
      </c>
      <c r="Z153" s="299">
        <v>220</v>
      </c>
      <c r="AA153" s="301">
        <f t="shared" ref="AA153" si="930">IFERROR(Z153/$G153," ")</f>
        <v>1</v>
      </c>
      <c r="AB153" s="292"/>
      <c r="AC153" s="279">
        <f t="shared" si="802"/>
        <v>0</v>
      </c>
      <c r="AD153" s="279">
        <f t="shared" si="803"/>
        <v>0</v>
      </c>
      <c r="AE153" s="279">
        <f t="shared" si="804"/>
        <v>0</v>
      </c>
      <c r="AF153" s="279">
        <f t="shared" si="805"/>
        <v>0</v>
      </c>
      <c r="AG153" s="279">
        <f t="shared" si="806"/>
        <v>0</v>
      </c>
      <c r="AH153" s="279">
        <f t="shared" si="807"/>
        <v>5571.18</v>
      </c>
      <c r="AI153" s="279">
        <f t="shared" si="808"/>
        <v>7565.8</v>
      </c>
      <c r="AJ153" s="279">
        <f t="shared" si="809"/>
        <v>7565.8</v>
      </c>
    </row>
    <row r="154" spans="1:36" x14ac:dyDescent="0.65">
      <c r="A154" s="203">
        <v>121</v>
      </c>
      <c r="B154" s="292" t="s">
        <v>1178</v>
      </c>
      <c r="C154" s="276" t="s">
        <v>250</v>
      </c>
      <c r="D154" s="292" t="s">
        <v>25</v>
      </c>
      <c r="E154" s="321">
        <f>IFERROR(VLOOKUP(A154,Estimate!A:Q,17,FALSE)," ")</f>
        <v>1500</v>
      </c>
      <c r="F154" s="299">
        <v>15</v>
      </c>
      <c r="G154" s="299">
        <v>15</v>
      </c>
      <c r="H154" s="298">
        <v>127.42</v>
      </c>
      <c r="I154" s="298">
        <v>1911.3</v>
      </c>
      <c r="J154" s="298">
        <v>1911.3</v>
      </c>
      <c r="K154" s="298"/>
      <c r="L154" s="299"/>
      <c r="M154" s="301">
        <f t="shared" si="810"/>
        <v>0</v>
      </c>
      <c r="N154" s="299"/>
      <c r="O154" s="301">
        <f t="shared" si="810"/>
        <v>0</v>
      </c>
      <c r="P154" s="299"/>
      <c r="Q154" s="301">
        <f t="shared" ref="Q154" si="931">IFERROR(P154/$G154," ")</f>
        <v>0</v>
      </c>
      <c r="R154" s="299"/>
      <c r="S154" s="301">
        <f t="shared" ref="S154" si="932">IFERROR(R154/$G154," ")</f>
        <v>0</v>
      </c>
      <c r="T154" s="299"/>
      <c r="U154" s="301">
        <f t="shared" ref="U154" si="933">IFERROR(T154/$G154," ")</f>
        <v>0</v>
      </c>
      <c r="V154" s="299"/>
      <c r="W154" s="301">
        <f t="shared" ref="W154" si="934">IFERROR(V154/$G154," ")</f>
        <v>0</v>
      </c>
      <c r="X154" s="299">
        <v>15</v>
      </c>
      <c r="Y154" s="301">
        <f t="shared" ref="Y154" si="935">IFERROR(X154/$G154," ")</f>
        <v>1</v>
      </c>
      <c r="Z154" s="299">
        <v>15</v>
      </c>
      <c r="AA154" s="301">
        <f t="shared" ref="AA154" si="936">IFERROR(Z154/$G154," ")</f>
        <v>1</v>
      </c>
      <c r="AB154" s="292"/>
      <c r="AC154" s="279">
        <f t="shared" si="802"/>
        <v>0</v>
      </c>
      <c r="AD154" s="279">
        <f t="shared" si="803"/>
        <v>0</v>
      </c>
      <c r="AE154" s="279">
        <f t="shared" si="804"/>
        <v>0</v>
      </c>
      <c r="AF154" s="279">
        <f t="shared" si="805"/>
        <v>0</v>
      </c>
      <c r="AG154" s="279">
        <f t="shared" si="806"/>
        <v>0</v>
      </c>
      <c r="AH154" s="279">
        <f t="shared" si="807"/>
        <v>0</v>
      </c>
      <c r="AI154" s="279">
        <f t="shared" si="808"/>
        <v>1911.3</v>
      </c>
      <c r="AJ154" s="279">
        <f t="shared" si="809"/>
        <v>1911.3</v>
      </c>
    </row>
    <row r="155" spans="1:36" x14ac:dyDescent="0.65">
      <c r="A155" s="203">
        <v>122</v>
      </c>
      <c r="B155" s="292" t="s">
        <v>1179</v>
      </c>
      <c r="C155" s="276" t="s">
        <v>252</v>
      </c>
      <c r="D155" s="292" t="s">
        <v>144</v>
      </c>
      <c r="E155" s="321">
        <f>IFERROR(VLOOKUP(A155,Estimate!A:Q,17,FALSE)," ")</f>
        <v>210</v>
      </c>
      <c r="F155" s="299">
        <v>4</v>
      </c>
      <c r="G155" s="299">
        <v>4</v>
      </c>
      <c r="H155" s="298">
        <v>66.900000000000006</v>
      </c>
      <c r="I155" s="298">
        <v>267.60000000000002</v>
      </c>
      <c r="J155" s="298">
        <v>267.60000000000002</v>
      </c>
      <c r="K155" s="298"/>
      <c r="L155" s="299"/>
      <c r="M155" s="301">
        <f t="shared" si="810"/>
        <v>0</v>
      </c>
      <c r="N155" s="299"/>
      <c r="O155" s="301">
        <f t="shared" si="810"/>
        <v>0</v>
      </c>
      <c r="P155" s="299"/>
      <c r="Q155" s="301">
        <f t="shared" ref="Q155" si="937">IFERROR(P155/$G155," ")</f>
        <v>0</v>
      </c>
      <c r="R155" s="299"/>
      <c r="S155" s="301">
        <f t="shared" ref="S155" si="938">IFERROR(R155/$G155," ")</f>
        <v>0</v>
      </c>
      <c r="T155" s="299"/>
      <c r="U155" s="301">
        <f t="shared" ref="U155" si="939">IFERROR(T155/$G155," ")</f>
        <v>0</v>
      </c>
      <c r="V155" s="299"/>
      <c r="W155" s="301">
        <f t="shared" ref="W155" si="940">IFERROR(V155/$G155," ")</f>
        <v>0</v>
      </c>
      <c r="X155" s="299">
        <v>4</v>
      </c>
      <c r="Y155" s="301">
        <f t="shared" ref="Y155" si="941">IFERROR(X155/$G155," ")</f>
        <v>1</v>
      </c>
      <c r="Z155" s="299">
        <v>4</v>
      </c>
      <c r="AA155" s="301">
        <f t="shared" ref="AA155" si="942">IFERROR(Z155/$G155," ")</f>
        <v>1</v>
      </c>
      <c r="AB155" s="292"/>
      <c r="AC155" s="279">
        <f t="shared" si="802"/>
        <v>0</v>
      </c>
      <c r="AD155" s="279">
        <f t="shared" si="803"/>
        <v>0</v>
      </c>
      <c r="AE155" s="279">
        <f t="shared" si="804"/>
        <v>0</v>
      </c>
      <c r="AF155" s="279">
        <f t="shared" si="805"/>
        <v>0</v>
      </c>
      <c r="AG155" s="279">
        <f t="shared" si="806"/>
        <v>0</v>
      </c>
      <c r="AH155" s="279">
        <f t="shared" si="807"/>
        <v>0</v>
      </c>
      <c r="AI155" s="279">
        <f t="shared" si="808"/>
        <v>267.60000000000002</v>
      </c>
      <c r="AJ155" s="279">
        <f t="shared" si="809"/>
        <v>267.60000000000002</v>
      </c>
    </row>
    <row r="156" spans="1:36" x14ac:dyDescent="0.65">
      <c r="A156" s="203"/>
      <c r="B156" s="292" t="s">
        <v>1069</v>
      </c>
      <c r="C156" s="276" t="s">
        <v>448</v>
      </c>
      <c r="D156" s="292" t="s">
        <v>451</v>
      </c>
      <c r="E156" s="321" t="str">
        <f>IFERROR(VLOOKUP(A156,Estimate!A:Q,17,FALSE)," ")</f>
        <v xml:space="preserve"> </v>
      </c>
      <c r="F156" s="299" t="s">
        <v>448</v>
      </c>
      <c r="G156" s="299" t="s">
        <v>448</v>
      </c>
      <c r="H156" s="298" t="s">
        <v>448</v>
      </c>
      <c r="I156" s="298" t="s">
        <v>448</v>
      </c>
      <c r="J156" s="298" t="s">
        <v>448</v>
      </c>
      <c r="K156" s="298"/>
      <c r="L156" s="299" t="s">
        <v>448</v>
      </c>
      <c r="M156" s="301" t="str">
        <f t="shared" si="810"/>
        <v xml:space="preserve"> </v>
      </c>
      <c r="N156" s="299" t="s">
        <v>448</v>
      </c>
      <c r="O156" s="301" t="str">
        <f t="shared" si="810"/>
        <v xml:space="preserve"> </v>
      </c>
      <c r="P156" s="299" t="s">
        <v>448</v>
      </c>
      <c r="Q156" s="301" t="str">
        <f t="shared" ref="Q156" si="943">IFERROR(P156/$G156," ")</f>
        <v xml:space="preserve"> </v>
      </c>
      <c r="R156" s="299" t="s">
        <v>448</v>
      </c>
      <c r="S156" s="301" t="str">
        <f t="shared" ref="S156" si="944">IFERROR(R156/$G156," ")</f>
        <v xml:space="preserve"> </v>
      </c>
      <c r="T156" s="299" t="s">
        <v>448</v>
      </c>
      <c r="U156" s="301" t="str">
        <f t="shared" ref="U156" si="945">IFERROR(T156/$G156," ")</f>
        <v xml:space="preserve"> </v>
      </c>
      <c r="V156" s="299" t="s">
        <v>448</v>
      </c>
      <c r="W156" s="301" t="str">
        <f t="shared" ref="W156" si="946">IFERROR(V156/$G156," ")</f>
        <v xml:space="preserve"> </v>
      </c>
      <c r="X156" s="299" t="s">
        <v>448</v>
      </c>
      <c r="Y156" s="301" t="str">
        <f t="shared" ref="Y156" si="947">IFERROR(X156/$G156," ")</f>
        <v xml:space="preserve"> </v>
      </c>
      <c r="Z156" s="299" t="s">
        <v>448</v>
      </c>
      <c r="AA156" s="301" t="str">
        <f t="shared" ref="AA156" si="948">IFERROR(Z156/$G156," ")</f>
        <v xml:space="preserve"> </v>
      </c>
      <c r="AB156" s="292"/>
      <c r="AC156" s="279" t="str">
        <f t="shared" si="802"/>
        <v xml:space="preserve"> </v>
      </c>
      <c r="AD156" s="279" t="str">
        <f t="shared" si="803"/>
        <v xml:space="preserve"> </v>
      </c>
      <c r="AE156" s="279" t="str">
        <f t="shared" si="804"/>
        <v xml:space="preserve"> </v>
      </c>
      <c r="AF156" s="279" t="str">
        <f t="shared" si="805"/>
        <v xml:space="preserve"> </v>
      </c>
      <c r="AG156" s="279" t="str">
        <f t="shared" si="806"/>
        <v xml:space="preserve"> </v>
      </c>
      <c r="AH156" s="279" t="str">
        <f t="shared" si="807"/>
        <v xml:space="preserve"> </v>
      </c>
      <c r="AI156" s="279" t="str">
        <f t="shared" si="808"/>
        <v xml:space="preserve"> </v>
      </c>
      <c r="AJ156" s="279" t="str">
        <f t="shared" si="809"/>
        <v xml:space="preserve"> </v>
      </c>
    </row>
    <row r="157" spans="1:36" x14ac:dyDescent="0.65">
      <c r="A157" s="203"/>
      <c r="B157" s="292">
        <v>7.3</v>
      </c>
      <c r="C157" s="276" t="s">
        <v>1180</v>
      </c>
      <c r="D157" s="292" t="s">
        <v>451</v>
      </c>
      <c r="E157" s="321" t="str">
        <f>IFERROR(VLOOKUP(A157,Estimate!A:Q,17,FALSE)," ")</f>
        <v xml:space="preserve"> </v>
      </c>
      <c r="F157" s="299" t="s">
        <v>448</v>
      </c>
      <c r="G157" s="299" t="s">
        <v>448</v>
      </c>
      <c r="H157" s="298" t="s">
        <v>448</v>
      </c>
      <c r="I157" s="298" t="s">
        <v>448</v>
      </c>
      <c r="J157" s="298" t="s">
        <v>448</v>
      </c>
      <c r="K157" s="298"/>
      <c r="L157" s="299" t="s">
        <v>448</v>
      </c>
      <c r="M157" s="301" t="str">
        <f t="shared" si="810"/>
        <v xml:space="preserve"> </v>
      </c>
      <c r="N157" s="299" t="s">
        <v>448</v>
      </c>
      <c r="O157" s="301" t="str">
        <f t="shared" si="810"/>
        <v xml:space="preserve"> </v>
      </c>
      <c r="P157" s="299" t="s">
        <v>448</v>
      </c>
      <c r="Q157" s="301" t="str">
        <f t="shared" ref="Q157" si="949">IFERROR(P157/$G157," ")</f>
        <v xml:space="preserve"> </v>
      </c>
      <c r="R157" s="299" t="s">
        <v>448</v>
      </c>
      <c r="S157" s="301" t="str">
        <f t="shared" ref="S157" si="950">IFERROR(R157/$G157," ")</f>
        <v xml:space="preserve"> </v>
      </c>
      <c r="T157" s="299" t="s">
        <v>448</v>
      </c>
      <c r="U157" s="301" t="str">
        <f t="shared" ref="U157" si="951">IFERROR(T157/$G157," ")</f>
        <v xml:space="preserve"> </v>
      </c>
      <c r="V157" s="299" t="s">
        <v>448</v>
      </c>
      <c r="W157" s="301" t="str">
        <f t="shared" ref="W157" si="952">IFERROR(V157/$G157," ")</f>
        <v xml:space="preserve"> </v>
      </c>
      <c r="X157" s="299" t="s">
        <v>448</v>
      </c>
      <c r="Y157" s="301" t="str">
        <f t="shared" ref="Y157" si="953">IFERROR(X157/$G157," ")</f>
        <v xml:space="preserve"> </v>
      </c>
      <c r="Z157" s="299" t="s">
        <v>448</v>
      </c>
      <c r="AA157" s="301" t="str">
        <f t="shared" ref="AA157" si="954">IFERROR(Z157/$G157," ")</f>
        <v xml:space="preserve"> </v>
      </c>
      <c r="AB157" s="292"/>
      <c r="AC157" s="279" t="str">
        <f t="shared" si="802"/>
        <v xml:space="preserve"> </v>
      </c>
      <c r="AD157" s="279" t="str">
        <f t="shared" si="803"/>
        <v xml:space="preserve"> </v>
      </c>
      <c r="AE157" s="279" t="str">
        <f t="shared" si="804"/>
        <v xml:space="preserve"> </v>
      </c>
      <c r="AF157" s="279" t="str">
        <f t="shared" si="805"/>
        <v xml:space="preserve"> </v>
      </c>
      <c r="AG157" s="279" t="str">
        <f t="shared" si="806"/>
        <v xml:space="preserve"> </v>
      </c>
      <c r="AH157" s="279" t="str">
        <f t="shared" si="807"/>
        <v xml:space="preserve"> </v>
      </c>
      <c r="AI157" s="279" t="str">
        <f t="shared" si="808"/>
        <v xml:space="preserve"> </v>
      </c>
      <c r="AJ157" s="279" t="str">
        <f t="shared" si="809"/>
        <v xml:space="preserve"> </v>
      </c>
    </row>
    <row r="158" spans="1:36" x14ac:dyDescent="0.65">
      <c r="A158" s="203">
        <v>123</v>
      </c>
      <c r="B158" s="292" t="s">
        <v>1181</v>
      </c>
      <c r="C158" s="276" t="s">
        <v>254</v>
      </c>
      <c r="D158" s="292" t="s">
        <v>14</v>
      </c>
      <c r="E158" s="321">
        <f>IFERROR(VLOOKUP(A158,Estimate!A:Q,17,FALSE)," ")</f>
        <v>12768</v>
      </c>
      <c r="F158" s="299">
        <v>1</v>
      </c>
      <c r="G158" s="299">
        <v>1</v>
      </c>
      <c r="H158" s="298">
        <v>16269.59</v>
      </c>
      <c r="I158" s="298">
        <v>16269.59</v>
      </c>
      <c r="J158" s="298">
        <v>16269.59</v>
      </c>
      <c r="K158" s="298"/>
      <c r="L158" s="299">
        <v>0.1</v>
      </c>
      <c r="M158" s="301">
        <f t="shared" si="810"/>
        <v>0.1</v>
      </c>
      <c r="N158" s="299">
        <v>0.3</v>
      </c>
      <c r="O158" s="301">
        <f t="shared" si="810"/>
        <v>0.3</v>
      </c>
      <c r="P158" s="299">
        <v>0.6</v>
      </c>
      <c r="Q158" s="301">
        <f t="shared" ref="Q158" si="955">IFERROR(P158/$G158," ")</f>
        <v>0.6</v>
      </c>
      <c r="R158" s="299">
        <v>0.8</v>
      </c>
      <c r="S158" s="301">
        <f t="shared" ref="S158" si="956">IFERROR(R158/$G158," ")</f>
        <v>0.8</v>
      </c>
      <c r="T158" s="299">
        <v>1</v>
      </c>
      <c r="U158" s="301">
        <f t="shared" ref="U158" si="957">IFERROR(T158/$G158," ")</f>
        <v>1</v>
      </c>
      <c r="V158" s="299">
        <v>1</v>
      </c>
      <c r="W158" s="301">
        <f t="shared" ref="W158" si="958">IFERROR(V158/$G158," ")</f>
        <v>1</v>
      </c>
      <c r="X158" s="299">
        <v>1</v>
      </c>
      <c r="Y158" s="301">
        <f t="shared" ref="Y158" si="959">IFERROR(X158/$G158," ")</f>
        <v>1</v>
      </c>
      <c r="Z158" s="299">
        <v>1</v>
      </c>
      <c r="AA158" s="301">
        <f t="shared" ref="AA158" si="960">IFERROR(Z158/$G158," ")</f>
        <v>1</v>
      </c>
      <c r="AB158" s="292"/>
      <c r="AC158" s="279">
        <f t="shared" si="802"/>
        <v>1626.9590000000001</v>
      </c>
      <c r="AD158" s="279">
        <f t="shared" si="803"/>
        <v>4880.8769999999995</v>
      </c>
      <c r="AE158" s="279">
        <f t="shared" si="804"/>
        <v>9761.753999999999</v>
      </c>
      <c r="AF158" s="279">
        <f t="shared" si="805"/>
        <v>13015.672</v>
      </c>
      <c r="AG158" s="279">
        <f t="shared" si="806"/>
        <v>16269.59</v>
      </c>
      <c r="AH158" s="279">
        <f t="shared" si="807"/>
        <v>16269.59</v>
      </c>
      <c r="AI158" s="279">
        <f t="shared" si="808"/>
        <v>16269.59</v>
      </c>
      <c r="AJ158" s="279">
        <f t="shared" si="809"/>
        <v>16269.59</v>
      </c>
    </row>
    <row r="159" spans="1:36" x14ac:dyDescent="0.65">
      <c r="A159" s="203"/>
      <c r="B159" s="302" t="s">
        <v>1069</v>
      </c>
      <c r="C159" s="303" t="s">
        <v>1182</v>
      </c>
      <c r="D159" s="302" t="s">
        <v>451</v>
      </c>
      <c r="E159" s="326" t="str">
        <f>IFERROR(VLOOKUP(A159,Estimate!A:Q,17,FALSE)," ")</f>
        <v xml:space="preserve"> </v>
      </c>
      <c r="F159" s="305" t="s">
        <v>448</v>
      </c>
      <c r="G159" s="305" t="s">
        <v>448</v>
      </c>
      <c r="H159" s="304" t="s">
        <v>448</v>
      </c>
      <c r="I159" s="304">
        <v>81074.89</v>
      </c>
      <c r="J159" s="304" t="s">
        <v>448</v>
      </c>
      <c r="K159" s="304"/>
      <c r="L159" s="305" t="s">
        <v>448</v>
      </c>
      <c r="M159" s="301" t="str">
        <f t="shared" si="810"/>
        <v xml:space="preserve"> </v>
      </c>
      <c r="N159" s="305" t="s">
        <v>448</v>
      </c>
      <c r="O159" s="301" t="str">
        <f t="shared" si="810"/>
        <v xml:space="preserve"> </v>
      </c>
      <c r="P159" s="305" t="s">
        <v>448</v>
      </c>
      <c r="Q159" s="301" t="str">
        <f t="shared" ref="Q159" si="961">IFERROR(P159/$G159," ")</f>
        <v xml:space="preserve"> </v>
      </c>
      <c r="R159" s="305" t="s">
        <v>448</v>
      </c>
      <c r="S159" s="301" t="str">
        <f t="shared" ref="S159" si="962">IFERROR(R159/$G159," ")</f>
        <v xml:space="preserve"> </v>
      </c>
      <c r="T159" s="305" t="s">
        <v>448</v>
      </c>
      <c r="U159" s="301" t="str">
        <f t="shared" ref="U159" si="963">IFERROR(T159/$G159," ")</f>
        <v xml:space="preserve"> </v>
      </c>
      <c r="V159" s="305" t="s">
        <v>448</v>
      </c>
      <c r="W159" s="301" t="str">
        <f t="shared" ref="W159" si="964">IFERROR(V159/$G159," ")</f>
        <v xml:space="preserve"> </v>
      </c>
      <c r="X159" s="305" t="s">
        <v>448</v>
      </c>
      <c r="Y159" s="301" t="str">
        <f t="shared" ref="Y159" si="965">IFERROR(X159/$G159," ")</f>
        <v xml:space="preserve"> </v>
      </c>
      <c r="Z159" s="305" t="s">
        <v>448</v>
      </c>
      <c r="AA159" s="301" t="str">
        <f t="shared" ref="AA159" si="966">IFERROR(Z159/$G159," ")</f>
        <v xml:space="preserve"> </v>
      </c>
      <c r="AB159" s="292"/>
      <c r="AC159" s="279" t="str">
        <f t="shared" si="802"/>
        <v xml:space="preserve"> </v>
      </c>
      <c r="AD159" s="279" t="str">
        <f t="shared" si="803"/>
        <v xml:space="preserve"> </v>
      </c>
      <c r="AE159" s="279" t="str">
        <f t="shared" si="804"/>
        <v xml:space="preserve"> </v>
      </c>
      <c r="AF159" s="279" t="str">
        <f t="shared" si="805"/>
        <v xml:space="preserve"> </v>
      </c>
      <c r="AG159" s="279" t="str">
        <f t="shared" si="806"/>
        <v xml:space="preserve"> </v>
      </c>
      <c r="AH159" s="279" t="str">
        <f t="shared" si="807"/>
        <v xml:space="preserve"> </v>
      </c>
      <c r="AI159" s="279" t="str">
        <f t="shared" si="808"/>
        <v xml:space="preserve"> </v>
      </c>
      <c r="AJ159" s="279" t="str">
        <f t="shared" si="809"/>
        <v xml:space="preserve"> </v>
      </c>
    </row>
    <row r="160" spans="1:36" x14ac:dyDescent="0.65">
      <c r="A160" s="203"/>
      <c r="B160" s="292" t="s">
        <v>1069</v>
      </c>
      <c r="C160" s="276" t="s">
        <v>448</v>
      </c>
      <c r="D160" s="292" t="s">
        <v>451</v>
      </c>
      <c r="E160" s="321" t="str">
        <f>IFERROR(VLOOKUP(A160,Estimate!A:Q,17,FALSE)," ")</f>
        <v xml:space="preserve"> </v>
      </c>
      <c r="F160" s="299" t="s">
        <v>448</v>
      </c>
      <c r="G160" s="299" t="s">
        <v>448</v>
      </c>
      <c r="H160" s="298" t="s">
        <v>448</v>
      </c>
      <c r="I160" s="298" t="s">
        <v>448</v>
      </c>
      <c r="J160" s="298" t="s">
        <v>448</v>
      </c>
      <c r="K160" s="298"/>
      <c r="L160" s="299" t="s">
        <v>448</v>
      </c>
      <c r="M160" s="301" t="str">
        <f t="shared" si="810"/>
        <v xml:space="preserve"> </v>
      </c>
      <c r="N160" s="299" t="s">
        <v>448</v>
      </c>
      <c r="O160" s="301" t="str">
        <f t="shared" si="810"/>
        <v xml:space="preserve"> </v>
      </c>
      <c r="P160" s="299" t="s">
        <v>448</v>
      </c>
      <c r="Q160" s="301" t="str">
        <f t="shared" ref="Q160" si="967">IFERROR(P160/$G160," ")</f>
        <v xml:space="preserve"> </v>
      </c>
      <c r="R160" s="299" t="s">
        <v>448</v>
      </c>
      <c r="S160" s="301" t="str">
        <f t="shared" ref="S160" si="968">IFERROR(R160/$G160," ")</f>
        <v xml:space="preserve"> </v>
      </c>
      <c r="T160" s="299" t="s">
        <v>448</v>
      </c>
      <c r="U160" s="301" t="str">
        <f t="shared" ref="U160" si="969">IFERROR(T160/$G160," ")</f>
        <v xml:space="preserve"> </v>
      </c>
      <c r="V160" s="299" t="s">
        <v>448</v>
      </c>
      <c r="W160" s="301" t="str">
        <f t="shared" ref="W160" si="970">IFERROR(V160/$G160," ")</f>
        <v xml:space="preserve"> </v>
      </c>
      <c r="X160" s="299" t="s">
        <v>448</v>
      </c>
      <c r="Y160" s="301" t="str">
        <f t="shared" ref="Y160" si="971">IFERROR(X160/$G160," ")</f>
        <v xml:space="preserve"> </v>
      </c>
      <c r="Z160" s="299" t="s">
        <v>448</v>
      </c>
      <c r="AA160" s="301" t="str">
        <f t="shared" ref="AA160" si="972">IFERROR(Z160/$G160," ")</f>
        <v xml:space="preserve"> </v>
      </c>
      <c r="AB160" s="292"/>
      <c r="AC160" s="279" t="str">
        <f t="shared" si="802"/>
        <v xml:space="preserve"> </v>
      </c>
      <c r="AD160" s="279" t="str">
        <f t="shared" si="803"/>
        <v xml:space="preserve"> </v>
      </c>
      <c r="AE160" s="279" t="str">
        <f t="shared" si="804"/>
        <v xml:space="preserve"> </v>
      </c>
      <c r="AF160" s="279" t="str">
        <f t="shared" si="805"/>
        <v xml:space="preserve"> </v>
      </c>
      <c r="AG160" s="279" t="str">
        <f t="shared" si="806"/>
        <v xml:space="preserve"> </v>
      </c>
      <c r="AH160" s="279" t="str">
        <f t="shared" si="807"/>
        <v xml:space="preserve"> </v>
      </c>
      <c r="AI160" s="279" t="str">
        <f t="shared" si="808"/>
        <v xml:space="preserve"> </v>
      </c>
      <c r="AJ160" s="279" t="str">
        <f t="shared" si="809"/>
        <v xml:space="preserve"> </v>
      </c>
    </row>
    <row r="161" spans="1:36" x14ac:dyDescent="0.65">
      <c r="A161" s="203">
        <v>124</v>
      </c>
      <c r="B161" s="292" t="s">
        <v>1069</v>
      </c>
      <c r="C161" s="276" t="s">
        <v>653</v>
      </c>
      <c r="D161" s="292" t="s">
        <v>451</v>
      </c>
      <c r="E161" s="321"/>
      <c r="F161" s="299" t="s">
        <v>448</v>
      </c>
      <c r="G161" s="299" t="s">
        <v>448</v>
      </c>
      <c r="H161" s="298" t="s">
        <v>448</v>
      </c>
      <c r="I161" s="298" t="s">
        <v>448</v>
      </c>
      <c r="J161" s="298" t="s">
        <v>448</v>
      </c>
      <c r="K161" s="298"/>
      <c r="L161" s="299" t="s">
        <v>448</v>
      </c>
      <c r="M161" s="301" t="str">
        <f t="shared" si="810"/>
        <v xml:space="preserve"> </v>
      </c>
      <c r="N161" s="299" t="s">
        <v>448</v>
      </c>
      <c r="O161" s="301" t="str">
        <f t="shared" si="810"/>
        <v xml:space="preserve"> </v>
      </c>
      <c r="P161" s="299" t="s">
        <v>448</v>
      </c>
      <c r="Q161" s="301" t="str">
        <f t="shared" ref="Q161" si="973">IFERROR(P161/$G161," ")</f>
        <v xml:space="preserve"> </v>
      </c>
      <c r="R161" s="299" t="s">
        <v>448</v>
      </c>
      <c r="S161" s="301" t="str">
        <f t="shared" ref="S161" si="974">IFERROR(R161/$G161," ")</f>
        <v xml:space="preserve"> </v>
      </c>
      <c r="T161" s="299" t="s">
        <v>448</v>
      </c>
      <c r="U161" s="301" t="str">
        <f t="shared" ref="U161" si="975">IFERROR(T161/$G161," ")</f>
        <v xml:space="preserve"> </v>
      </c>
      <c r="V161" s="299" t="s">
        <v>448</v>
      </c>
      <c r="W161" s="301" t="str">
        <f t="shared" ref="W161" si="976">IFERROR(V161/$G161," ")</f>
        <v xml:space="preserve"> </v>
      </c>
      <c r="X161" s="299" t="s">
        <v>448</v>
      </c>
      <c r="Y161" s="301" t="str">
        <f t="shared" ref="Y161" si="977">IFERROR(X161/$G161," ")</f>
        <v xml:space="preserve"> </v>
      </c>
      <c r="Z161" s="299" t="s">
        <v>448</v>
      </c>
      <c r="AA161" s="301" t="str">
        <f t="shared" ref="AA161" si="978">IFERROR(Z161/$G161," ")</f>
        <v xml:space="preserve"> </v>
      </c>
      <c r="AB161" s="292"/>
      <c r="AC161" s="279" t="str">
        <f t="shared" si="802"/>
        <v xml:space="preserve"> </v>
      </c>
      <c r="AD161" s="279" t="str">
        <f t="shared" si="803"/>
        <v xml:space="preserve"> </v>
      </c>
      <c r="AE161" s="279" t="str">
        <f t="shared" si="804"/>
        <v xml:space="preserve"> </v>
      </c>
      <c r="AF161" s="279" t="str">
        <f t="shared" si="805"/>
        <v xml:space="preserve"> </v>
      </c>
      <c r="AG161" s="279" t="str">
        <f t="shared" si="806"/>
        <v xml:space="preserve"> </v>
      </c>
      <c r="AH161" s="279" t="str">
        <f t="shared" si="807"/>
        <v xml:space="preserve"> </v>
      </c>
      <c r="AI161" s="279" t="str">
        <f t="shared" si="808"/>
        <v xml:space="preserve"> </v>
      </c>
      <c r="AJ161" s="279" t="str">
        <f t="shared" si="809"/>
        <v xml:space="preserve"> </v>
      </c>
    </row>
    <row r="162" spans="1:36" x14ac:dyDescent="0.65">
      <c r="A162" s="203"/>
      <c r="B162" s="292" t="s">
        <v>1069</v>
      </c>
      <c r="C162" s="276" t="s">
        <v>448</v>
      </c>
      <c r="D162" s="292" t="s">
        <v>451</v>
      </c>
      <c r="E162" s="321" t="str">
        <f>IFERROR(VLOOKUP(A162,Estimate!A:Q,17,FALSE)," ")</f>
        <v xml:space="preserve"> </v>
      </c>
      <c r="F162" s="299" t="s">
        <v>448</v>
      </c>
      <c r="G162" s="299" t="s">
        <v>448</v>
      </c>
      <c r="H162" s="298" t="s">
        <v>448</v>
      </c>
      <c r="I162" s="298" t="s">
        <v>448</v>
      </c>
      <c r="J162" s="298" t="s">
        <v>448</v>
      </c>
      <c r="K162" s="298"/>
      <c r="L162" s="299" t="s">
        <v>448</v>
      </c>
      <c r="M162" s="301" t="str">
        <f t="shared" si="810"/>
        <v xml:space="preserve"> </v>
      </c>
      <c r="N162" s="299" t="s">
        <v>448</v>
      </c>
      <c r="O162" s="301" t="str">
        <f t="shared" si="810"/>
        <v xml:space="preserve"> </v>
      </c>
      <c r="P162" s="299" t="s">
        <v>448</v>
      </c>
      <c r="Q162" s="301" t="str">
        <f t="shared" ref="Q162" si="979">IFERROR(P162/$G162," ")</f>
        <v xml:space="preserve"> </v>
      </c>
      <c r="R162" s="299" t="s">
        <v>448</v>
      </c>
      <c r="S162" s="301" t="str">
        <f t="shared" ref="S162" si="980">IFERROR(R162/$G162," ")</f>
        <v xml:space="preserve"> </v>
      </c>
      <c r="T162" s="299" t="s">
        <v>448</v>
      </c>
      <c r="U162" s="301" t="str">
        <f t="shared" ref="U162" si="981">IFERROR(T162/$G162," ")</f>
        <v xml:space="preserve"> </v>
      </c>
      <c r="V162" s="299" t="s">
        <v>448</v>
      </c>
      <c r="W162" s="301" t="str">
        <f t="shared" ref="W162" si="982">IFERROR(V162/$G162," ")</f>
        <v xml:space="preserve"> </v>
      </c>
      <c r="X162" s="299" t="s">
        <v>448</v>
      </c>
      <c r="Y162" s="301" t="str">
        <f t="shared" ref="Y162" si="983">IFERROR(X162/$G162," ")</f>
        <v xml:space="preserve"> </v>
      </c>
      <c r="Z162" s="299" t="s">
        <v>448</v>
      </c>
      <c r="AA162" s="301" t="str">
        <f t="shared" ref="AA162" si="984">IFERROR(Z162/$G162," ")</f>
        <v xml:space="preserve"> </v>
      </c>
      <c r="AB162" s="292"/>
      <c r="AC162" s="279" t="str">
        <f t="shared" si="802"/>
        <v xml:space="preserve"> </v>
      </c>
      <c r="AD162" s="279" t="str">
        <f t="shared" si="803"/>
        <v xml:space="preserve"> </v>
      </c>
      <c r="AE162" s="279" t="str">
        <f t="shared" si="804"/>
        <v xml:space="preserve"> </v>
      </c>
      <c r="AF162" s="279" t="str">
        <f t="shared" si="805"/>
        <v xml:space="preserve"> </v>
      </c>
      <c r="AG162" s="279" t="str">
        <f t="shared" si="806"/>
        <v xml:space="preserve"> </v>
      </c>
      <c r="AH162" s="279" t="str">
        <f t="shared" si="807"/>
        <v xml:space="preserve"> </v>
      </c>
      <c r="AI162" s="279" t="str">
        <f t="shared" si="808"/>
        <v xml:space="preserve"> </v>
      </c>
      <c r="AJ162" s="279" t="str">
        <f t="shared" si="809"/>
        <v xml:space="preserve"> </v>
      </c>
    </row>
    <row r="163" spans="1:36" x14ac:dyDescent="0.65">
      <c r="A163" s="203">
        <v>125</v>
      </c>
      <c r="B163" s="292">
        <v>1</v>
      </c>
      <c r="C163" s="276" t="s">
        <v>616</v>
      </c>
      <c r="D163" s="292" t="s">
        <v>451</v>
      </c>
      <c r="E163" s="321"/>
      <c r="F163" s="299" t="s">
        <v>448</v>
      </c>
      <c r="G163" s="299" t="s">
        <v>448</v>
      </c>
      <c r="H163" s="298" t="s">
        <v>448</v>
      </c>
      <c r="I163" s="298" t="s">
        <v>448</v>
      </c>
      <c r="J163" s="298" t="s">
        <v>448</v>
      </c>
      <c r="K163" s="298"/>
      <c r="L163" s="299" t="s">
        <v>448</v>
      </c>
      <c r="M163" s="301" t="str">
        <f t="shared" si="810"/>
        <v xml:space="preserve"> </v>
      </c>
      <c r="N163" s="299" t="s">
        <v>448</v>
      </c>
      <c r="O163" s="301" t="str">
        <f t="shared" si="810"/>
        <v xml:space="preserve"> </v>
      </c>
      <c r="P163" s="299" t="s">
        <v>448</v>
      </c>
      <c r="Q163" s="301" t="str">
        <f t="shared" ref="Q163" si="985">IFERROR(P163/$G163," ")</f>
        <v xml:space="preserve"> </v>
      </c>
      <c r="R163" s="299" t="s">
        <v>448</v>
      </c>
      <c r="S163" s="301" t="str">
        <f t="shared" ref="S163" si="986">IFERROR(R163/$G163," ")</f>
        <v xml:space="preserve"> </v>
      </c>
      <c r="T163" s="299" t="s">
        <v>448</v>
      </c>
      <c r="U163" s="301" t="str">
        <f t="shared" ref="U163" si="987">IFERROR(T163/$G163," ")</f>
        <v xml:space="preserve"> </v>
      </c>
      <c r="V163" s="299" t="s">
        <v>448</v>
      </c>
      <c r="W163" s="301" t="str">
        <f t="shared" ref="W163" si="988">IFERROR(V163/$G163," ")</f>
        <v xml:space="preserve"> </v>
      </c>
      <c r="X163" s="299" t="s">
        <v>448</v>
      </c>
      <c r="Y163" s="301" t="str">
        <f t="shared" ref="Y163" si="989">IFERROR(X163/$G163," ")</f>
        <v xml:space="preserve"> </v>
      </c>
      <c r="Z163" s="299" t="s">
        <v>448</v>
      </c>
      <c r="AA163" s="301" t="str">
        <f t="shared" ref="AA163" si="990">IFERROR(Z163/$G163," ")</f>
        <v xml:space="preserve"> </v>
      </c>
      <c r="AB163" s="292"/>
      <c r="AC163" s="279" t="str">
        <f t="shared" si="802"/>
        <v xml:space="preserve"> </v>
      </c>
      <c r="AD163" s="279" t="str">
        <f t="shared" si="803"/>
        <v xml:space="preserve"> </v>
      </c>
      <c r="AE163" s="279" t="str">
        <f t="shared" si="804"/>
        <v xml:space="preserve"> </v>
      </c>
      <c r="AF163" s="279" t="str">
        <f t="shared" si="805"/>
        <v xml:space="preserve"> </v>
      </c>
      <c r="AG163" s="279" t="str">
        <f t="shared" si="806"/>
        <v xml:space="preserve"> </v>
      </c>
      <c r="AH163" s="279" t="str">
        <f t="shared" si="807"/>
        <v xml:space="preserve"> </v>
      </c>
      <c r="AI163" s="279" t="str">
        <f t="shared" si="808"/>
        <v xml:space="preserve"> </v>
      </c>
      <c r="AJ163" s="279" t="str">
        <f t="shared" si="809"/>
        <v xml:space="preserve"> </v>
      </c>
    </row>
    <row r="164" spans="1:36" x14ac:dyDescent="0.65">
      <c r="A164" s="203">
        <v>126</v>
      </c>
      <c r="B164" s="292">
        <v>1.1000000000000001</v>
      </c>
      <c r="C164" s="276" t="s">
        <v>257</v>
      </c>
      <c r="D164" s="292" t="s">
        <v>54</v>
      </c>
      <c r="E164" s="321">
        <f>IFERROR(VLOOKUP(A164,Estimate!A:Q,17,FALSE)," ")</f>
        <v>4482</v>
      </c>
      <c r="F164" s="299">
        <v>550</v>
      </c>
      <c r="G164" s="299">
        <v>550</v>
      </c>
      <c r="H164" s="298">
        <v>4.57</v>
      </c>
      <c r="I164" s="298">
        <v>2513.5</v>
      </c>
      <c r="J164" s="298">
        <v>2513.5</v>
      </c>
      <c r="K164" s="298"/>
      <c r="L164" s="299">
        <v>550</v>
      </c>
      <c r="M164" s="301">
        <f t="shared" si="810"/>
        <v>1</v>
      </c>
      <c r="N164" s="299">
        <v>550</v>
      </c>
      <c r="O164" s="301">
        <f t="shared" si="810"/>
        <v>1</v>
      </c>
      <c r="P164" s="299">
        <v>550</v>
      </c>
      <c r="Q164" s="301">
        <f t="shared" ref="Q164" si="991">IFERROR(P164/$G164," ")</f>
        <v>1</v>
      </c>
      <c r="R164" s="299">
        <v>550</v>
      </c>
      <c r="S164" s="301">
        <f t="shared" ref="S164" si="992">IFERROR(R164/$G164," ")</f>
        <v>1</v>
      </c>
      <c r="T164" s="299">
        <v>550</v>
      </c>
      <c r="U164" s="301">
        <f t="shared" ref="U164" si="993">IFERROR(T164/$G164," ")</f>
        <v>1</v>
      </c>
      <c r="V164" s="299">
        <v>550</v>
      </c>
      <c r="W164" s="301">
        <f t="shared" ref="W164" si="994">IFERROR(V164/$G164," ")</f>
        <v>1</v>
      </c>
      <c r="X164" s="299">
        <v>550</v>
      </c>
      <c r="Y164" s="301">
        <f t="shared" ref="Y164" si="995">IFERROR(X164/$G164," ")</f>
        <v>1</v>
      </c>
      <c r="Z164" s="299">
        <v>550</v>
      </c>
      <c r="AA164" s="301">
        <f t="shared" ref="AA164" si="996">IFERROR(Z164/$G164," ")</f>
        <v>1</v>
      </c>
      <c r="AB164" s="292"/>
      <c r="AC164" s="279">
        <f t="shared" si="802"/>
        <v>2513.5</v>
      </c>
      <c r="AD164" s="279">
        <f t="shared" si="803"/>
        <v>2513.5</v>
      </c>
      <c r="AE164" s="279">
        <f t="shared" si="804"/>
        <v>2513.5</v>
      </c>
      <c r="AF164" s="279">
        <f t="shared" si="805"/>
        <v>2513.5</v>
      </c>
      <c r="AG164" s="279">
        <f t="shared" si="806"/>
        <v>2513.5</v>
      </c>
      <c r="AH164" s="279">
        <f t="shared" si="807"/>
        <v>2513.5</v>
      </c>
      <c r="AI164" s="279">
        <f t="shared" si="808"/>
        <v>2513.5</v>
      </c>
      <c r="AJ164" s="279">
        <f t="shared" si="809"/>
        <v>2513.5</v>
      </c>
    </row>
    <row r="165" spans="1:36" x14ac:dyDescent="0.65">
      <c r="A165" s="203">
        <v>127</v>
      </c>
      <c r="B165" s="292">
        <v>1.2</v>
      </c>
      <c r="C165" s="276" t="s">
        <v>259</v>
      </c>
      <c r="D165" s="292" t="s">
        <v>88</v>
      </c>
      <c r="E165" s="321">
        <f>IFERROR(VLOOKUP(A165,Estimate!A:Q,17,FALSE)," ")</f>
        <v>471.625</v>
      </c>
      <c r="F165" s="299">
        <v>55</v>
      </c>
      <c r="G165" s="299">
        <v>55</v>
      </c>
      <c r="H165" s="298">
        <v>10.93</v>
      </c>
      <c r="I165" s="298">
        <v>601.15</v>
      </c>
      <c r="J165" s="298">
        <v>601.15</v>
      </c>
      <c r="K165" s="298"/>
      <c r="L165" s="299">
        <v>55</v>
      </c>
      <c r="M165" s="301">
        <f t="shared" si="810"/>
        <v>1</v>
      </c>
      <c r="N165" s="299">
        <v>55</v>
      </c>
      <c r="O165" s="301">
        <f t="shared" si="810"/>
        <v>1</v>
      </c>
      <c r="P165" s="299">
        <v>55</v>
      </c>
      <c r="Q165" s="301">
        <f t="shared" ref="Q165" si="997">IFERROR(P165/$G165," ")</f>
        <v>1</v>
      </c>
      <c r="R165" s="299">
        <v>55</v>
      </c>
      <c r="S165" s="301">
        <f t="shared" ref="S165" si="998">IFERROR(R165/$G165," ")</f>
        <v>1</v>
      </c>
      <c r="T165" s="299">
        <v>55</v>
      </c>
      <c r="U165" s="301">
        <f t="shared" ref="U165" si="999">IFERROR(T165/$G165," ")</f>
        <v>1</v>
      </c>
      <c r="V165" s="299">
        <v>55</v>
      </c>
      <c r="W165" s="301">
        <f t="shared" ref="W165" si="1000">IFERROR(V165/$G165," ")</f>
        <v>1</v>
      </c>
      <c r="X165" s="299">
        <v>55</v>
      </c>
      <c r="Y165" s="301">
        <f t="shared" ref="Y165" si="1001">IFERROR(X165/$G165," ")</f>
        <v>1</v>
      </c>
      <c r="Z165" s="299">
        <v>55</v>
      </c>
      <c r="AA165" s="301">
        <f t="shared" ref="AA165" si="1002">IFERROR(Z165/$G165," ")</f>
        <v>1</v>
      </c>
      <c r="AB165" s="292"/>
      <c r="AC165" s="279">
        <f t="shared" ref="AC165:AC201" si="1003">IFERROR(M165*$I165," ")</f>
        <v>601.15</v>
      </c>
      <c r="AD165" s="279">
        <f t="shared" ref="AD165:AD201" si="1004">IFERROR(O165*$I165," ")</f>
        <v>601.15</v>
      </c>
      <c r="AE165" s="279">
        <f t="shared" ref="AE165:AE201" si="1005">IFERROR(Q165*$I165," ")</f>
        <v>601.15</v>
      </c>
      <c r="AF165" s="279">
        <f t="shared" ref="AF165:AF201" si="1006">IFERROR(S165*$I165," ")</f>
        <v>601.15</v>
      </c>
      <c r="AG165" s="279">
        <f t="shared" ref="AG165:AG201" si="1007">IFERROR(U165*$I165," ")</f>
        <v>601.15</v>
      </c>
      <c r="AH165" s="279">
        <f t="shared" ref="AH165:AH201" si="1008">IFERROR(W165*$I165," ")</f>
        <v>601.15</v>
      </c>
      <c r="AI165" s="279">
        <f t="shared" ref="AI165:AI201" si="1009">IFERROR(Y165*$I165," ")</f>
        <v>601.15</v>
      </c>
      <c r="AJ165" s="279">
        <f t="shared" ref="AJ165:AJ197" si="1010">IFERROR(AA165*$I165," ")</f>
        <v>601.15</v>
      </c>
    </row>
    <row r="166" spans="1:36" x14ac:dyDescent="0.65">
      <c r="A166" s="203">
        <v>128</v>
      </c>
      <c r="B166" s="292">
        <v>1.3</v>
      </c>
      <c r="C166" s="276" t="s">
        <v>261</v>
      </c>
      <c r="D166" s="292" t="s">
        <v>54</v>
      </c>
      <c r="E166" s="321">
        <f>IFERROR(VLOOKUP(A166,Estimate!A:Q,17,FALSE)," ")</f>
        <v>398.72</v>
      </c>
      <c r="F166" s="299">
        <v>28</v>
      </c>
      <c r="G166" s="299">
        <v>28</v>
      </c>
      <c r="H166" s="298">
        <v>18.149999999999999</v>
      </c>
      <c r="I166" s="298">
        <v>508.2</v>
      </c>
      <c r="J166" s="298">
        <v>508.2</v>
      </c>
      <c r="K166" s="298"/>
      <c r="L166" s="299"/>
      <c r="M166" s="301">
        <f t="shared" si="810"/>
        <v>0</v>
      </c>
      <c r="N166" s="299"/>
      <c r="O166" s="301">
        <f t="shared" si="810"/>
        <v>0</v>
      </c>
      <c r="P166" s="299"/>
      <c r="Q166" s="301">
        <f t="shared" ref="Q166" si="1011">IFERROR(P166/$G166," ")</f>
        <v>0</v>
      </c>
      <c r="R166" s="299"/>
      <c r="S166" s="301">
        <f t="shared" ref="S166" si="1012">IFERROR(R166/$G166," ")</f>
        <v>0</v>
      </c>
      <c r="T166" s="299">
        <v>28</v>
      </c>
      <c r="U166" s="301">
        <f t="shared" ref="U166" si="1013">IFERROR(T166/$G166," ")</f>
        <v>1</v>
      </c>
      <c r="V166" s="299">
        <v>28</v>
      </c>
      <c r="W166" s="301">
        <f t="shared" ref="W166" si="1014">IFERROR(V166/$G166," ")</f>
        <v>1</v>
      </c>
      <c r="X166" s="299">
        <v>28</v>
      </c>
      <c r="Y166" s="301">
        <f t="shared" ref="Y166" si="1015">IFERROR(X166/$G166," ")</f>
        <v>1</v>
      </c>
      <c r="Z166" s="299">
        <v>28</v>
      </c>
      <c r="AA166" s="301">
        <f t="shared" ref="AA166" si="1016">IFERROR(Z166/$G166," ")</f>
        <v>1</v>
      </c>
      <c r="AB166" s="292"/>
      <c r="AC166" s="279">
        <f t="shared" si="1003"/>
        <v>0</v>
      </c>
      <c r="AD166" s="279">
        <f t="shared" si="1004"/>
        <v>0</v>
      </c>
      <c r="AE166" s="279">
        <f t="shared" si="1005"/>
        <v>0</v>
      </c>
      <c r="AF166" s="279">
        <f t="shared" si="1006"/>
        <v>0</v>
      </c>
      <c r="AG166" s="279">
        <f t="shared" si="1007"/>
        <v>508.2</v>
      </c>
      <c r="AH166" s="279">
        <f t="shared" si="1008"/>
        <v>508.2</v>
      </c>
      <c r="AI166" s="279">
        <f t="shared" si="1009"/>
        <v>508.2</v>
      </c>
      <c r="AJ166" s="279">
        <f t="shared" si="1010"/>
        <v>508.2</v>
      </c>
    </row>
    <row r="167" spans="1:36" x14ac:dyDescent="0.65">
      <c r="A167" s="203">
        <v>129</v>
      </c>
      <c r="B167" s="292">
        <v>1.4</v>
      </c>
      <c r="C167" s="276" t="s">
        <v>263</v>
      </c>
      <c r="D167" s="292" t="s">
        <v>88</v>
      </c>
      <c r="E167" s="321">
        <f>IFERROR(VLOOKUP(A167,Estimate!A:Q,17,FALSE)," ")</f>
        <v>353.02499999999998</v>
      </c>
      <c r="F167" s="299">
        <v>27</v>
      </c>
      <c r="G167" s="299">
        <v>27</v>
      </c>
      <c r="H167" s="298">
        <v>16.66</v>
      </c>
      <c r="I167" s="298">
        <v>449.82</v>
      </c>
      <c r="J167" s="298">
        <v>449.82</v>
      </c>
      <c r="K167" s="298"/>
      <c r="L167" s="299">
        <v>27</v>
      </c>
      <c r="M167" s="301">
        <f t="shared" si="810"/>
        <v>1</v>
      </c>
      <c r="N167" s="299">
        <v>27</v>
      </c>
      <c r="O167" s="301">
        <f t="shared" si="810"/>
        <v>1</v>
      </c>
      <c r="P167" s="299">
        <v>27</v>
      </c>
      <c r="Q167" s="301">
        <f t="shared" ref="Q167" si="1017">IFERROR(P167/$G167," ")</f>
        <v>1</v>
      </c>
      <c r="R167" s="299">
        <v>27</v>
      </c>
      <c r="S167" s="301">
        <f t="shared" ref="S167" si="1018">IFERROR(R167/$G167," ")</f>
        <v>1</v>
      </c>
      <c r="T167" s="299">
        <v>27</v>
      </c>
      <c r="U167" s="301">
        <f t="shared" ref="U167" si="1019">IFERROR(T167/$G167," ")</f>
        <v>1</v>
      </c>
      <c r="V167" s="299">
        <v>27</v>
      </c>
      <c r="W167" s="301">
        <f t="shared" ref="W167" si="1020">IFERROR(V167/$G167," ")</f>
        <v>1</v>
      </c>
      <c r="X167" s="299">
        <v>27</v>
      </c>
      <c r="Y167" s="301">
        <f t="shared" ref="Y167" si="1021">IFERROR(X167/$G167," ")</f>
        <v>1</v>
      </c>
      <c r="Z167" s="299">
        <v>27</v>
      </c>
      <c r="AA167" s="301">
        <f t="shared" ref="AA167" si="1022">IFERROR(Z167/$G167," ")</f>
        <v>1</v>
      </c>
      <c r="AB167" s="292"/>
      <c r="AC167" s="279">
        <f t="shared" si="1003"/>
        <v>449.82</v>
      </c>
      <c r="AD167" s="279">
        <f t="shared" si="1004"/>
        <v>449.82</v>
      </c>
      <c r="AE167" s="279">
        <f t="shared" si="1005"/>
        <v>449.82</v>
      </c>
      <c r="AF167" s="279">
        <f t="shared" si="1006"/>
        <v>449.82</v>
      </c>
      <c r="AG167" s="279">
        <f t="shared" si="1007"/>
        <v>449.82</v>
      </c>
      <c r="AH167" s="279">
        <f t="shared" si="1008"/>
        <v>449.82</v>
      </c>
      <c r="AI167" s="279">
        <f t="shared" si="1009"/>
        <v>449.82</v>
      </c>
      <c r="AJ167" s="279">
        <f t="shared" si="1010"/>
        <v>449.82</v>
      </c>
    </row>
    <row r="168" spans="1:36" ht="28.5" x14ac:dyDescent="0.65">
      <c r="A168" s="203">
        <v>130</v>
      </c>
      <c r="B168" s="292">
        <v>1.5</v>
      </c>
      <c r="C168" s="276" t="s">
        <v>265</v>
      </c>
      <c r="D168" s="292" t="s">
        <v>88</v>
      </c>
      <c r="E168" s="321">
        <f>IFERROR(VLOOKUP(A168,Estimate!A:Q,17,FALSE)," ")</f>
        <v>2999.3739662288854</v>
      </c>
      <c r="F168" s="299">
        <v>165</v>
      </c>
      <c r="G168" s="299">
        <v>165</v>
      </c>
      <c r="H168" s="298">
        <v>18.18</v>
      </c>
      <c r="I168" s="298">
        <v>2999.7</v>
      </c>
      <c r="J168" s="298">
        <v>2999.7</v>
      </c>
      <c r="K168" s="298"/>
      <c r="L168" s="299">
        <v>80</v>
      </c>
      <c r="M168" s="301">
        <f t="shared" si="810"/>
        <v>0.48484848484848486</v>
      </c>
      <c r="N168" s="299">
        <v>165</v>
      </c>
      <c r="O168" s="301">
        <f t="shared" si="810"/>
        <v>1</v>
      </c>
      <c r="P168" s="299">
        <v>165</v>
      </c>
      <c r="Q168" s="301">
        <f t="shared" ref="Q168" si="1023">IFERROR(P168/$G168," ")</f>
        <v>1</v>
      </c>
      <c r="R168" s="299">
        <v>165</v>
      </c>
      <c r="S168" s="301">
        <f t="shared" ref="S168" si="1024">IFERROR(R168/$G168," ")</f>
        <v>1</v>
      </c>
      <c r="T168" s="299">
        <v>165</v>
      </c>
      <c r="U168" s="301">
        <f t="shared" ref="U168" si="1025">IFERROR(T168/$G168," ")</f>
        <v>1</v>
      </c>
      <c r="V168" s="299">
        <v>165</v>
      </c>
      <c r="W168" s="301">
        <f t="shared" ref="W168" si="1026">IFERROR(V168/$G168," ")</f>
        <v>1</v>
      </c>
      <c r="X168" s="299">
        <v>165</v>
      </c>
      <c r="Y168" s="301">
        <f t="shared" ref="Y168" si="1027">IFERROR(X168/$G168," ")</f>
        <v>1</v>
      </c>
      <c r="Z168" s="299">
        <v>165</v>
      </c>
      <c r="AA168" s="301">
        <f t="shared" ref="AA168" si="1028">IFERROR(Z168/$G168," ")</f>
        <v>1</v>
      </c>
      <c r="AB168" s="292"/>
      <c r="AC168" s="279">
        <f t="shared" si="1003"/>
        <v>1454.3999999999999</v>
      </c>
      <c r="AD168" s="279">
        <f t="shared" si="1004"/>
        <v>2999.7</v>
      </c>
      <c r="AE168" s="279">
        <f t="shared" si="1005"/>
        <v>2999.7</v>
      </c>
      <c r="AF168" s="279">
        <f t="shared" si="1006"/>
        <v>2999.7</v>
      </c>
      <c r="AG168" s="279">
        <f t="shared" si="1007"/>
        <v>2999.7</v>
      </c>
      <c r="AH168" s="279">
        <f t="shared" si="1008"/>
        <v>2999.7</v>
      </c>
      <c r="AI168" s="279">
        <f t="shared" si="1009"/>
        <v>2999.7</v>
      </c>
      <c r="AJ168" s="279">
        <f t="shared" si="1010"/>
        <v>2999.7</v>
      </c>
    </row>
    <row r="169" spans="1:36" x14ac:dyDescent="0.65">
      <c r="A169" s="203"/>
      <c r="B169" s="302" t="s">
        <v>1069</v>
      </c>
      <c r="C169" s="303" t="s">
        <v>1094</v>
      </c>
      <c r="D169" s="302" t="s">
        <v>451</v>
      </c>
      <c r="E169" s="326" t="str">
        <f>IFERROR(VLOOKUP(A169,Estimate!A:Q,17,FALSE)," ")</f>
        <v xml:space="preserve"> </v>
      </c>
      <c r="F169" s="305" t="s">
        <v>448</v>
      </c>
      <c r="G169" s="305" t="s">
        <v>448</v>
      </c>
      <c r="H169" s="304" t="s">
        <v>448</v>
      </c>
      <c r="I169" s="304">
        <v>7072.37</v>
      </c>
      <c r="J169" s="304" t="s">
        <v>448</v>
      </c>
      <c r="K169" s="304"/>
      <c r="L169" s="305" t="s">
        <v>448</v>
      </c>
      <c r="M169" s="301" t="str">
        <f t="shared" si="810"/>
        <v xml:space="preserve"> </v>
      </c>
      <c r="N169" s="305" t="s">
        <v>448</v>
      </c>
      <c r="O169" s="301" t="str">
        <f t="shared" si="810"/>
        <v xml:space="preserve"> </v>
      </c>
      <c r="P169" s="305" t="s">
        <v>448</v>
      </c>
      <c r="Q169" s="301" t="str">
        <f t="shared" ref="Q169" si="1029">IFERROR(P169/$G169," ")</f>
        <v xml:space="preserve"> </v>
      </c>
      <c r="R169" s="305" t="s">
        <v>448</v>
      </c>
      <c r="S169" s="301" t="str">
        <f t="shared" ref="S169" si="1030">IFERROR(R169/$G169," ")</f>
        <v xml:space="preserve"> </v>
      </c>
      <c r="T169" s="305" t="s">
        <v>448</v>
      </c>
      <c r="U169" s="301" t="str">
        <f t="shared" ref="U169" si="1031">IFERROR(T169/$G169," ")</f>
        <v xml:space="preserve"> </v>
      </c>
      <c r="V169" s="305" t="s">
        <v>448</v>
      </c>
      <c r="W169" s="301" t="str">
        <f t="shared" ref="W169" si="1032">IFERROR(V169/$G169," ")</f>
        <v xml:space="preserve"> </v>
      </c>
      <c r="X169" s="305" t="s">
        <v>448</v>
      </c>
      <c r="Y169" s="301" t="str">
        <f t="shared" ref="Y169" si="1033">IFERROR(X169/$G169," ")</f>
        <v xml:space="preserve"> </v>
      </c>
      <c r="Z169" s="305" t="s">
        <v>448</v>
      </c>
      <c r="AA169" s="301" t="str">
        <f t="shared" ref="AA169" si="1034">IFERROR(Z169/$G169," ")</f>
        <v xml:space="preserve"> </v>
      </c>
      <c r="AB169" s="292"/>
      <c r="AC169" s="279" t="str">
        <f t="shared" si="1003"/>
        <v xml:space="preserve"> </v>
      </c>
      <c r="AD169" s="279" t="str">
        <f t="shared" si="1004"/>
        <v xml:space="preserve"> </v>
      </c>
      <c r="AE169" s="279" t="str">
        <f t="shared" si="1005"/>
        <v xml:space="preserve"> </v>
      </c>
      <c r="AF169" s="279" t="str">
        <f t="shared" si="1006"/>
        <v xml:space="preserve"> </v>
      </c>
      <c r="AG169" s="279" t="str">
        <f t="shared" si="1007"/>
        <v xml:space="preserve"> </v>
      </c>
      <c r="AH169" s="279" t="str">
        <f t="shared" si="1008"/>
        <v xml:space="preserve"> </v>
      </c>
      <c r="AI169" s="279" t="str">
        <f t="shared" si="1009"/>
        <v xml:space="preserve"> </v>
      </c>
      <c r="AJ169" s="279" t="str">
        <f t="shared" si="1010"/>
        <v xml:space="preserve"> </v>
      </c>
    </row>
    <row r="170" spans="1:36" x14ac:dyDescent="0.65">
      <c r="A170" s="203"/>
      <c r="B170" s="292" t="s">
        <v>1069</v>
      </c>
      <c r="C170" s="276" t="s">
        <v>448</v>
      </c>
      <c r="D170" s="292" t="s">
        <v>451</v>
      </c>
      <c r="E170" s="321" t="str">
        <f>IFERROR(VLOOKUP(A170,Estimate!A:Q,17,FALSE)," ")</f>
        <v xml:space="preserve"> </v>
      </c>
      <c r="F170" s="299" t="s">
        <v>448</v>
      </c>
      <c r="G170" s="299" t="s">
        <v>448</v>
      </c>
      <c r="H170" s="298" t="s">
        <v>448</v>
      </c>
      <c r="I170" s="298" t="s">
        <v>448</v>
      </c>
      <c r="J170" s="298" t="s">
        <v>448</v>
      </c>
      <c r="K170" s="298"/>
      <c r="L170" s="299" t="s">
        <v>448</v>
      </c>
      <c r="M170" s="301" t="str">
        <f t="shared" si="810"/>
        <v xml:space="preserve"> </v>
      </c>
      <c r="N170" s="299" t="s">
        <v>448</v>
      </c>
      <c r="O170" s="301" t="str">
        <f t="shared" si="810"/>
        <v xml:space="preserve"> </v>
      </c>
      <c r="P170" s="299" t="s">
        <v>448</v>
      </c>
      <c r="Q170" s="301" t="str">
        <f t="shared" ref="Q170" si="1035">IFERROR(P170/$G170," ")</f>
        <v xml:space="preserve"> </v>
      </c>
      <c r="R170" s="299" t="s">
        <v>448</v>
      </c>
      <c r="S170" s="301" t="str">
        <f t="shared" ref="S170" si="1036">IFERROR(R170/$G170," ")</f>
        <v xml:space="preserve"> </v>
      </c>
      <c r="T170" s="299" t="s">
        <v>448</v>
      </c>
      <c r="U170" s="301" t="str">
        <f t="shared" ref="U170" si="1037">IFERROR(T170/$G170," ")</f>
        <v xml:space="preserve"> </v>
      </c>
      <c r="V170" s="299" t="s">
        <v>448</v>
      </c>
      <c r="W170" s="301" t="str">
        <f t="shared" ref="W170" si="1038">IFERROR(V170/$G170," ")</f>
        <v xml:space="preserve"> </v>
      </c>
      <c r="X170" s="299" t="s">
        <v>448</v>
      </c>
      <c r="Y170" s="301" t="str">
        <f t="shared" ref="Y170" si="1039">IFERROR(X170/$G170," ")</f>
        <v xml:space="preserve"> </v>
      </c>
      <c r="Z170" s="299" t="s">
        <v>448</v>
      </c>
      <c r="AA170" s="301" t="str">
        <f t="shared" ref="AA170" si="1040">IFERROR(Z170/$G170," ")</f>
        <v xml:space="preserve"> </v>
      </c>
      <c r="AB170" s="292"/>
      <c r="AC170" s="279" t="str">
        <f t="shared" si="1003"/>
        <v xml:space="preserve"> </v>
      </c>
      <c r="AD170" s="279" t="str">
        <f t="shared" si="1004"/>
        <v xml:space="preserve"> </v>
      </c>
      <c r="AE170" s="279" t="str">
        <f t="shared" si="1005"/>
        <v xml:space="preserve"> </v>
      </c>
      <c r="AF170" s="279" t="str">
        <f t="shared" si="1006"/>
        <v xml:space="preserve"> </v>
      </c>
      <c r="AG170" s="279" t="str">
        <f t="shared" si="1007"/>
        <v xml:space="preserve"> </v>
      </c>
      <c r="AH170" s="279" t="str">
        <f t="shared" si="1008"/>
        <v xml:space="preserve"> </v>
      </c>
      <c r="AI170" s="279" t="str">
        <f t="shared" si="1009"/>
        <v xml:space="preserve"> </v>
      </c>
      <c r="AJ170" s="279" t="str">
        <f t="shared" si="1010"/>
        <v xml:space="preserve"> </v>
      </c>
    </row>
    <row r="171" spans="1:36" x14ac:dyDescent="0.65">
      <c r="A171" s="203">
        <v>131</v>
      </c>
      <c r="B171" s="292" t="s">
        <v>1069</v>
      </c>
      <c r="C171" s="276" t="s">
        <v>658</v>
      </c>
      <c r="D171" s="292" t="s">
        <v>451</v>
      </c>
      <c r="E171" s="321"/>
      <c r="F171" s="299" t="s">
        <v>448</v>
      </c>
      <c r="G171" s="299" t="s">
        <v>448</v>
      </c>
      <c r="H171" s="298" t="s">
        <v>448</v>
      </c>
      <c r="I171" s="298" t="s">
        <v>448</v>
      </c>
      <c r="J171" s="298" t="s">
        <v>448</v>
      </c>
      <c r="K171" s="298"/>
      <c r="L171" s="299" t="s">
        <v>448</v>
      </c>
      <c r="M171" s="301" t="str">
        <f t="shared" si="810"/>
        <v xml:space="preserve"> </v>
      </c>
      <c r="N171" s="299" t="s">
        <v>448</v>
      </c>
      <c r="O171" s="301" t="str">
        <f t="shared" si="810"/>
        <v xml:space="preserve"> </v>
      </c>
      <c r="P171" s="299" t="s">
        <v>448</v>
      </c>
      <c r="Q171" s="301" t="str">
        <f t="shared" ref="Q171" si="1041">IFERROR(P171/$G171," ")</f>
        <v xml:space="preserve"> </v>
      </c>
      <c r="R171" s="299" t="s">
        <v>448</v>
      </c>
      <c r="S171" s="301" t="str">
        <f t="shared" ref="S171" si="1042">IFERROR(R171/$G171," ")</f>
        <v xml:space="preserve"> </v>
      </c>
      <c r="T171" s="299" t="s">
        <v>448</v>
      </c>
      <c r="U171" s="301" t="str">
        <f t="shared" ref="U171" si="1043">IFERROR(T171/$G171," ")</f>
        <v xml:space="preserve"> </v>
      </c>
      <c r="V171" s="299" t="s">
        <v>448</v>
      </c>
      <c r="W171" s="301" t="str">
        <f t="shared" ref="W171" si="1044">IFERROR(V171/$G171," ")</f>
        <v xml:space="preserve"> </v>
      </c>
      <c r="X171" s="299" t="s">
        <v>448</v>
      </c>
      <c r="Y171" s="301" t="str">
        <f t="shared" ref="Y171" si="1045">IFERROR(X171/$G171," ")</f>
        <v xml:space="preserve"> </v>
      </c>
      <c r="Z171" s="299" t="s">
        <v>448</v>
      </c>
      <c r="AA171" s="301" t="str">
        <f t="shared" ref="AA171" si="1046">IFERROR(Z171/$G171," ")</f>
        <v xml:space="preserve"> </v>
      </c>
      <c r="AB171" s="292"/>
      <c r="AC171" s="279" t="str">
        <f t="shared" si="1003"/>
        <v xml:space="preserve"> </v>
      </c>
      <c r="AD171" s="279" t="str">
        <f t="shared" si="1004"/>
        <v xml:space="preserve"> </v>
      </c>
      <c r="AE171" s="279" t="str">
        <f t="shared" si="1005"/>
        <v xml:space="preserve"> </v>
      </c>
      <c r="AF171" s="279" t="str">
        <f t="shared" si="1006"/>
        <v xml:space="preserve"> </v>
      </c>
      <c r="AG171" s="279" t="str">
        <f t="shared" si="1007"/>
        <v xml:space="preserve"> </v>
      </c>
      <c r="AH171" s="279" t="str">
        <f t="shared" si="1008"/>
        <v xml:space="preserve"> </v>
      </c>
      <c r="AI171" s="279" t="str">
        <f t="shared" si="1009"/>
        <v xml:space="preserve"> </v>
      </c>
      <c r="AJ171" s="279" t="str">
        <f t="shared" si="1010"/>
        <v xml:space="preserve"> </v>
      </c>
    </row>
    <row r="172" spans="1:36" x14ac:dyDescent="0.65">
      <c r="A172" s="203">
        <v>132</v>
      </c>
      <c r="B172" s="292">
        <v>2.1</v>
      </c>
      <c r="C172" s="276" t="s">
        <v>1183</v>
      </c>
      <c r="D172" s="292" t="s">
        <v>451</v>
      </c>
      <c r="E172" s="321"/>
      <c r="F172" s="299" t="s">
        <v>448</v>
      </c>
      <c r="G172" s="299" t="s">
        <v>448</v>
      </c>
      <c r="H172" s="298" t="s">
        <v>448</v>
      </c>
      <c r="I172" s="298" t="s">
        <v>448</v>
      </c>
      <c r="J172" s="298" t="s">
        <v>448</v>
      </c>
      <c r="K172" s="298"/>
      <c r="L172" s="299" t="s">
        <v>448</v>
      </c>
      <c r="M172" s="301" t="str">
        <f t="shared" si="810"/>
        <v xml:space="preserve"> </v>
      </c>
      <c r="N172" s="299" t="s">
        <v>448</v>
      </c>
      <c r="O172" s="301" t="str">
        <f t="shared" si="810"/>
        <v xml:space="preserve"> </v>
      </c>
      <c r="P172" s="299" t="s">
        <v>448</v>
      </c>
      <c r="Q172" s="301" t="str">
        <f t="shared" ref="Q172" si="1047">IFERROR(P172/$G172," ")</f>
        <v xml:space="preserve"> </v>
      </c>
      <c r="R172" s="299" t="s">
        <v>448</v>
      </c>
      <c r="S172" s="301" t="str">
        <f t="shared" ref="S172" si="1048">IFERROR(R172/$G172," ")</f>
        <v xml:space="preserve"> </v>
      </c>
      <c r="T172" s="299" t="s">
        <v>448</v>
      </c>
      <c r="U172" s="301" t="str">
        <f t="shared" ref="U172" si="1049">IFERROR(T172/$G172," ")</f>
        <v xml:space="preserve"> </v>
      </c>
      <c r="V172" s="299" t="s">
        <v>448</v>
      </c>
      <c r="W172" s="301" t="str">
        <f t="shared" ref="W172" si="1050">IFERROR(V172/$G172," ")</f>
        <v xml:space="preserve"> </v>
      </c>
      <c r="X172" s="299" t="s">
        <v>448</v>
      </c>
      <c r="Y172" s="301" t="str">
        <f t="shared" ref="Y172" si="1051">IFERROR(X172/$G172," ")</f>
        <v xml:space="preserve"> </v>
      </c>
      <c r="Z172" s="299" t="s">
        <v>448</v>
      </c>
      <c r="AA172" s="301" t="str">
        <f t="shared" ref="AA172" si="1052">IFERROR(Z172/$G172," ")</f>
        <v xml:space="preserve"> </v>
      </c>
      <c r="AB172" s="292"/>
      <c r="AC172" s="279" t="str">
        <f t="shared" si="1003"/>
        <v xml:space="preserve"> </v>
      </c>
      <c r="AD172" s="279" t="str">
        <f t="shared" si="1004"/>
        <v xml:space="preserve"> </v>
      </c>
      <c r="AE172" s="279" t="str">
        <f t="shared" si="1005"/>
        <v xml:space="preserve"> </v>
      </c>
      <c r="AF172" s="279" t="str">
        <f t="shared" si="1006"/>
        <v xml:space="preserve"> </v>
      </c>
      <c r="AG172" s="279" t="str">
        <f t="shared" si="1007"/>
        <v xml:space="preserve"> </v>
      </c>
      <c r="AH172" s="279" t="str">
        <f t="shared" si="1008"/>
        <v xml:space="preserve"> </v>
      </c>
      <c r="AI172" s="279" t="str">
        <f t="shared" si="1009"/>
        <v xml:space="preserve"> </v>
      </c>
      <c r="AJ172" s="279" t="str">
        <f t="shared" si="1010"/>
        <v xml:space="preserve"> </v>
      </c>
    </row>
    <row r="173" spans="1:36" ht="28.5" x14ac:dyDescent="0.65">
      <c r="A173" s="203">
        <v>133</v>
      </c>
      <c r="B173" s="292" t="s">
        <v>1184</v>
      </c>
      <c r="C173" s="276" t="s">
        <v>267</v>
      </c>
      <c r="D173" s="292" t="s">
        <v>144</v>
      </c>
      <c r="E173" s="321">
        <f>IFERROR(VLOOKUP(A173,Estimate!A:Q,17,FALSE)," ")</f>
        <v>4800</v>
      </c>
      <c r="F173" s="299">
        <v>2</v>
      </c>
      <c r="G173" s="299">
        <v>2</v>
      </c>
      <c r="H173" s="298">
        <v>4317.3</v>
      </c>
      <c r="I173" s="298">
        <v>8634.6</v>
      </c>
      <c r="J173" s="298">
        <v>8634.6</v>
      </c>
      <c r="K173" s="298"/>
      <c r="L173" s="299"/>
      <c r="M173" s="301">
        <f t="shared" si="810"/>
        <v>0</v>
      </c>
      <c r="N173" s="299">
        <v>2</v>
      </c>
      <c r="O173" s="301">
        <f t="shared" si="810"/>
        <v>1</v>
      </c>
      <c r="P173" s="299">
        <v>2</v>
      </c>
      <c r="Q173" s="301">
        <f t="shared" ref="Q173" si="1053">IFERROR(P173/$G173," ")</f>
        <v>1</v>
      </c>
      <c r="R173" s="299">
        <v>2</v>
      </c>
      <c r="S173" s="301">
        <f t="shared" ref="S173" si="1054">IFERROR(R173/$G173," ")</f>
        <v>1</v>
      </c>
      <c r="T173" s="299">
        <v>2</v>
      </c>
      <c r="U173" s="301">
        <f t="shared" ref="U173" si="1055">IFERROR(T173/$G173," ")</f>
        <v>1</v>
      </c>
      <c r="V173" s="299">
        <v>2</v>
      </c>
      <c r="W173" s="301">
        <f t="shared" ref="W173" si="1056">IFERROR(V173/$G173," ")</f>
        <v>1</v>
      </c>
      <c r="X173" s="299">
        <v>2</v>
      </c>
      <c r="Y173" s="301">
        <f t="shared" ref="Y173" si="1057">IFERROR(X173/$G173," ")</f>
        <v>1</v>
      </c>
      <c r="Z173" s="299">
        <v>2</v>
      </c>
      <c r="AA173" s="301">
        <f t="shared" ref="AA173" si="1058">IFERROR(Z173/$G173," ")</f>
        <v>1</v>
      </c>
      <c r="AB173" s="292"/>
      <c r="AC173" s="279">
        <f t="shared" si="1003"/>
        <v>0</v>
      </c>
      <c r="AD173" s="279">
        <f t="shared" si="1004"/>
        <v>8634.6</v>
      </c>
      <c r="AE173" s="279">
        <f t="shared" si="1005"/>
        <v>8634.6</v>
      </c>
      <c r="AF173" s="279">
        <f t="shared" si="1006"/>
        <v>8634.6</v>
      </c>
      <c r="AG173" s="279">
        <f t="shared" si="1007"/>
        <v>8634.6</v>
      </c>
      <c r="AH173" s="279">
        <f t="shared" si="1008"/>
        <v>8634.6</v>
      </c>
      <c r="AI173" s="279">
        <f t="shared" si="1009"/>
        <v>8634.6</v>
      </c>
      <c r="AJ173" s="279">
        <f t="shared" si="1010"/>
        <v>8634.6</v>
      </c>
    </row>
    <row r="174" spans="1:36" ht="28.5" x14ac:dyDescent="0.65">
      <c r="A174" s="203">
        <v>134</v>
      </c>
      <c r="B174" s="292" t="s">
        <v>1185</v>
      </c>
      <c r="C174" s="276" t="s">
        <v>270</v>
      </c>
      <c r="D174" s="292" t="s">
        <v>14</v>
      </c>
      <c r="E174" s="321">
        <f>IFERROR(VLOOKUP(A174,Estimate!A:Q,17,FALSE)," ")</f>
        <v>4000</v>
      </c>
      <c r="F174" s="299">
        <v>2</v>
      </c>
      <c r="G174" s="299">
        <v>2</v>
      </c>
      <c r="H174" s="298">
        <v>2548.4899999999998</v>
      </c>
      <c r="I174" s="298">
        <v>5096.9799999999996</v>
      </c>
      <c r="J174" s="298">
        <v>5096.9799999999996</v>
      </c>
      <c r="K174" s="298"/>
      <c r="L174" s="299"/>
      <c r="M174" s="301">
        <f t="shared" si="810"/>
        <v>0</v>
      </c>
      <c r="N174" s="299"/>
      <c r="O174" s="301">
        <f t="shared" si="810"/>
        <v>0</v>
      </c>
      <c r="P174" s="299">
        <v>2</v>
      </c>
      <c r="Q174" s="301">
        <f t="shared" ref="Q174" si="1059">IFERROR(P174/$G174," ")</f>
        <v>1</v>
      </c>
      <c r="R174" s="299">
        <v>2</v>
      </c>
      <c r="S174" s="301">
        <f t="shared" ref="S174" si="1060">IFERROR(R174/$G174," ")</f>
        <v>1</v>
      </c>
      <c r="T174" s="299">
        <v>2</v>
      </c>
      <c r="U174" s="301">
        <f t="shared" ref="U174" si="1061">IFERROR(T174/$G174," ")</f>
        <v>1</v>
      </c>
      <c r="V174" s="299">
        <v>2</v>
      </c>
      <c r="W174" s="301">
        <f t="shared" ref="W174" si="1062">IFERROR(V174/$G174," ")</f>
        <v>1</v>
      </c>
      <c r="X174" s="299">
        <v>2</v>
      </c>
      <c r="Y174" s="301">
        <f t="shared" ref="Y174" si="1063">IFERROR(X174/$G174," ")</f>
        <v>1</v>
      </c>
      <c r="Z174" s="299">
        <v>2</v>
      </c>
      <c r="AA174" s="301">
        <f t="shared" ref="AA174" si="1064">IFERROR(Z174/$G174," ")</f>
        <v>1</v>
      </c>
      <c r="AB174" s="292"/>
      <c r="AC174" s="279">
        <f t="shared" si="1003"/>
        <v>0</v>
      </c>
      <c r="AD174" s="279">
        <f t="shared" si="1004"/>
        <v>0</v>
      </c>
      <c r="AE174" s="279">
        <f t="shared" si="1005"/>
        <v>5096.9799999999996</v>
      </c>
      <c r="AF174" s="279">
        <f t="shared" si="1006"/>
        <v>5096.9799999999996</v>
      </c>
      <c r="AG174" s="279">
        <f t="shared" si="1007"/>
        <v>5096.9799999999996</v>
      </c>
      <c r="AH174" s="279">
        <f t="shared" si="1008"/>
        <v>5096.9799999999996</v>
      </c>
      <c r="AI174" s="279">
        <f t="shared" si="1009"/>
        <v>5096.9799999999996</v>
      </c>
      <c r="AJ174" s="279">
        <f t="shared" si="1010"/>
        <v>5096.9799999999996</v>
      </c>
    </row>
    <row r="175" spans="1:36" x14ac:dyDescent="0.65">
      <c r="A175" s="203">
        <v>135</v>
      </c>
      <c r="B175" s="292">
        <v>2.2000000000000002</v>
      </c>
      <c r="C175" s="276" t="s">
        <v>1186</v>
      </c>
      <c r="D175" s="292" t="s">
        <v>451</v>
      </c>
      <c r="E175" s="321"/>
      <c r="F175" s="299" t="s">
        <v>448</v>
      </c>
      <c r="G175" s="299" t="s">
        <v>448</v>
      </c>
      <c r="H175" s="298" t="s">
        <v>448</v>
      </c>
      <c r="I175" s="298" t="s">
        <v>448</v>
      </c>
      <c r="J175" s="298" t="s">
        <v>448</v>
      </c>
      <c r="K175" s="298"/>
      <c r="L175" s="299" t="s">
        <v>448</v>
      </c>
      <c r="M175" s="301" t="str">
        <f t="shared" si="810"/>
        <v xml:space="preserve"> </v>
      </c>
      <c r="N175" s="299" t="s">
        <v>448</v>
      </c>
      <c r="O175" s="301" t="str">
        <f t="shared" si="810"/>
        <v xml:space="preserve"> </v>
      </c>
      <c r="P175" s="299" t="s">
        <v>448</v>
      </c>
      <c r="Q175" s="301" t="str">
        <f t="shared" ref="Q175" si="1065">IFERROR(P175/$G175," ")</f>
        <v xml:space="preserve"> </v>
      </c>
      <c r="R175" s="299" t="s">
        <v>448</v>
      </c>
      <c r="S175" s="301" t="str">
        <f t="shared" ref="S175" si="1066">IFERROR(R175/$G175," ")</f>
        <v xml:space="preserve"> </v>
      </c>
      <c r="T175" s="299" t="s">
        <v>448</v>
      </c>
      <c r="U175" s="301" t="str">
        <f t="shared" ref="U175" si="1067">IFERROR(T175/$G175," ")</f>
        <v xml:space="preserve"> </v>
      </c>
      <c r="V175" s="299" t="s">
        <v>448</v>
      </c>
      <c r="W175" s="301" t="str">
        <f t="shared" ref="W175" si="1068">IFERROR(V175/$G175," ")</f>
        <v xml:space="preserve"> </v>
      </c>
      <c r="X175" s="299" t="s">
        <v>448</v>
      </c>
      <c r="Y175" s="301" t="str">
        <f t="shared" ref="Y175" si="1069">IFERROR(X175/$G175," ")</f>
        <v xml:space="preserve"> </v>
      </c>
      <c r="Z175" s="299" t="s">
        <v>448</v>
      </c>
      <c r="AA175" s="301" t="str">
        <f t="shared" ref="AA175" si="1070">IFERROR(Z175/$G175," ")</f>
        <v xml:space="preserve"> </v>
      </c>
      <c r="AB175" s="292"/>
      <c r="AC175" s="279" t="str">
        <f t="shared" si="1003"/>
        <v xml:space="preserve"> </v>
      </c>
      <c r="AD175" s="279" t="str">
        <f t="shared" si="1004"/>
        <v xml:space="preserve"> </v>
      </c>
      <c r="AE175" s="279" t="str">
        <f t="shared" si="1005"/>
        <v xml:space="preserve"> </v>
      </c>
      <c r="AF175" s="279" t="str">
        <f t="shared" si="1006"/>
        <v xml:space="preserve"> </v>
      </c>
      <c r="AG175" s="279" t="str">
        <f t="shared" si="1007"/>
        <v xml:space="preserve"> </v>
      </c>
      <c r="AH175" s="279" t="str">
        <f t="shared" si="1008"/>
        <v xml:space="preserve"> </v>
      </c>
      <c r="AI175" s="279" t="str">
        <f t="shared" si="1009"/>
        <v xml:space="preserve"> </v>
      </c>
      <c r="AJ175" s="279" t="str">
        <f t="shared" si="1010"/>
        <v xml:space="preserve"> </v>
      </c>
    </row>
    <row r="176" spans="1:36" ht="28.5" x14ac:dyDescent="0.65">
      <c r="A176" s="203">
        <v>136</v>
      </c>
      <c r="B176" s="292" t="s">
        <v>1187</v>
      </c>
      <c r="C176" s="276" t="s">
        <v>272</v>
      </c>
      <c r="D176" s="292" t="s">
        <v>144</v>
      </c>
      <c r="E176" s="321">
        <f>IFERROR(VLOOKUP(A176,Estimate!A:Q,17,FALSE)," ")</f>
        <v>23520</v>
      </c>
      <c r="F176" s="299">
        <v>1</v>
      </c>
      <c r="G176" s="299">
        <v>1</v>
      </c>
      <c r="H176" s="298">
        <v>29970.29</v>
      </c>
      <c r="I176" s="298">
        <v>29970.29</v>
      </c>
      <c r="J176" s="298">
        <v>29970.29</v>
      </c>
      <c r="K176" s="298"/>
      <c r="L176" s="299"/>
      <c r="M176" s="301">
        <f t="shared" si="810"/>
        <v>0</v>
      </c>
      <c r="N176" s="299">
        <v>1</v>
      </c>
      <c r="O176" s="301">
        <f t="shared" si="810"/>
        <v>1</v>
      </c>
      <c r="P176" s="299">
        <v>1</v>
      </c>
      <c r="Q176" s="301">
        <f t="shared" ref="Q176" si="1071">IFERROR(P176/$G176," ")</f>
        <v>1</v>
      </c>
      <c r="R176" s="299">
        <v>1</v>
      </c>
      <c r="S176" s="301">
        <f t="shared" ref="S176" si="1072">IFERROR(R176/$G176," ")</f>
        <v>1</v>
      </c>
      <c r="T176" s="299">
        <v>1</v>
      </c>
      <c r="U176" s="301">
        <f t="shared" ref="U176" si="1073">IFERROR(T176/$G176," ")</f>
        <v>1</v>
      </c>
      <c r="V176" s="299">
        <v>1</v>
      </c>
      <c r="W176" s="301">
        <f t="shared" ref="W176" si="1074">IFERROR(V176/$G176," ")</f>
        <v>1</v>
      </c>
      <c r="X176" s="299">
        <v>1</v>
      </c>
      <c r="Y176" s="301">
        <f t="shared" ref="Y176" si="1075">IFERROR(X176/$G176," ")</f>
        <v>1</v>
      </c>
      <c r="Z176" s="299">
        <v>1</v>
      </c>
      <c r="AA176" s="301">
        <f t="shared" ref="AA176" si="1076">IFERROR(Z176/$G176," ")</f>
        <v>1</v>
      </c>
      <c r="AB176" s="292"/>
      <c r="AC176" s="279">
        <f t="shared" si="1003"/>
        <v>0</v>
      </c>
      <c r="AD176" s="279">
        <f t="shared" si="1004"/>
        <v>29970.29</v>
      </c>
      <c r="AE176" s="279">
        <f t="shared" si="1005"/>
        <v>29970.29</v>
      </c>
      <c r="AF176" s="279">
        <f t="shared" si="1006"/>
        <v>29970.29</v>
      </c>
      <c r="AG176" s="279">
        <f t="shared" si="1007"/>
        <v>29970.29</v>
      </c>
      <c r="AH176" s="279">
        <f t="shared" si="1008"/>
        <v>29970.29</v>
      </c>
      <c r="AI176" s="279">
        <f t="shared" si="1009"/>
        <v>29970.29</v>
      </c>
      <c r="AJ176" s="279">
        <f t="shared" si="1010"/>
        <v>29970.29</v>
      </c>
    </row>
    <row r="177" spans="1:36" ht="28.5" x14ac:dyDescent="0.65">
      <c r="A177" s="203">
        <v>137</v>
      </c>
      <c r="B177" s="292" t="s">
        <v>1188</v>
      </c>
      <c r="C177" s="276" t="s">
        <v>274</v>
      </c>
      <c r="D177" s="292" t="s">
        <v>14</v>
      </c>
      <c r="E177" s="321">
        <f>IFERROR(VLOOKUP(A177,Estimate!A:Q,17,FALSE)," ")</f>
        <v>4100</v>
      </c>
      <c r="F177" s="299">
        <v>1</v>
      </c>
      <c r="G177" s="299">
        <v>1</v>
      </c>
      <c r="H177" s="298">
        <v>5224.41</v>
      </c>
      <c r="I177" s="298">
        <v>5224.41</v>
      </c>
      <c r="J177" s="298">
        <v>5224.41</v>
      </c>
      <c r="K177" s="298"/>
      <c r="L177" s="299"/>
      <c r="M177" s="301">
        <f t="shared" si="810"/>
        <v>0</v>
      </c>
      <c r="N177" s="299">
        <v>1</v>
      </c>
      <c r="O177" s="301">
        <f t="shared" si="810"/>
        <v>1</v>
      </c>
      <c r="P177" s="299">
        <v>1</v>
      </c>
      <c r="Q177" s="301">
        <f t="shared" ref="Q177" si="1077">IFERROR(P177/$G177," ")</f>
        <v>1</v>
      </c>
      <c r="R177" s="299">
        <v>1</v>
      </c>
      <c r="S177" s="301">
        <f t="shared" ref="S177" si="1078">IFERROR(R177/$G177," ")</f>
        <v>1</v>
      </c>
      <c r="T177" s="299">
        <v>1</v>
      </c>
      <c r="U177" s="301">
        <f t="shared" ref="U177" si="1079">IFERROR(T177/$G177," ")</f>
        <v>1</v>
      </c>
      <c r="V177" s="299">
        <v>1</v>
      </c>
      <c r="W177" s="301">
        <f t="shared" ref="W177" si="1080">IFERROR(V177/$G177," ")</f>
        <v>1</v>
      </c>
      <c r="X177" s="299">
        <v>1</v>
      </c>
      <c r="Y177" s="301">
        <f t="shared" ref="Y177" si="1081">IFERROR(X177/$G177," ")</f>
        <v>1</v>
      </c>
      <c r="Z177" s="299">
        <v>1</v>
      </c>
      <c r="AA177" s="301">
        <f t="shared" ref="AA177" si="1082">IFERROR(Z177/$G177," ")</f>
        <v>1</v>
      </c>
      <c r="AB177" s="292"/>
      <c r="AC177" s="279">
        <f t="shared" si="1003"/>
        <v>0</v>
      </c>
      <c r="AD177" s="279">
        <f t="shared" si="1004"/>
        <v>5224.41</v>
      </c>
      <c r="AE177" s="279">
        <f t="shared" si="1005"/>
        <v>5224.41</v>
      </c>
      <c r="AF177" s="279">
        <f t="shared" si="1006"/>
        <v>5224.41</v>
      </c>
      <c r="AG177" s="279">
        <f t="shared" si="1007"/>
        <v>5224.41</v>
      </c>
      <c r="AH177" s="279">
        <f t="shared" si="1008"/>
        <v>5224.41</v>
      </c>
      <c r="AI177" s="279">
        <f t="shared" si="1009"/>
        <v>5224.41</v>
      </c>
      <c r="AJ177" s="279">
        <f t="shared" si="1010"/>
        <v>5224.41</v>
      </c>
    </row>
    <row r="178" spans="1:36" x14ac:dyDescent="0.65">
      <c r="A178" s="203">
        <v>138</v>
      </c>
      <c r="B178" s="292" t="s">
        <v>1189</v>
      </c>
      <c r="C178" s="276" t="s">
        <v>276</v>
      </c>
      <c r="D178" s="292" t="s">
        <v>14</v>
      </c>
      <c r="E178" s="321">
        <f>IFERROR(VLOOKUP(A178,Estimate!A:Q,17,FALSE)," ")</f>
        <v>2400</v>
      </c>
      <c r="F178" s="299">
        <v>1</v>
      </c>
      <c r="G178" s="299">
        <v>1</v>
      </c>
      <c r="H178" s="298">
        <v>3058.19</v>
      </c>
      <c r="I178" s="298">
        <v>3058.19</v>
      </c>
      <c r="J178" s="298">
        <v>3058.19</v>
      </c>
      <c r="K178" s="298"/>
      <c r="L178" s="299"/>
      <c r="M178" s="301">
        <f t="shared" si="810"/>
        <v>0</v>
      </c>
      <c r="N178" s="299">
        <v>1</v>
      </c>
      <c r="O178" s="301">
        <f t="shared" si="810"/>
        <v>1</v>
      </c>
      <c r="P178" s="299">
        <v>1</v>
      </c>
      <c r="Q178" s="301">
        <f t="shared" ref="Q178" si="1083">IFERROR(P178/$G178," ")</f>
        <v>1</v>
      </c>
      <c r="R178" s="299">
        <v>1</v>
      </c>
      <c r="S178" s="301">
        <f t="shared" ref="S178" si="1084">IFERROR(R178/$G178," ")</f>
        <v>1</v>
      </c>
      <c r="T178" s="299">
        <v>1</v>
      </c>
      <c r="U178" s="301">
        <f t="shared" ref="U178" si="1085">IFERROR(T178/$G178," ")</f>
        <v>1</v>
      </c>
      <c r="V178" s="299">
        <v>1</v>
      </c>
      <c r="W178" s="301">
        <f t="shared" ref="W178" si="1086">IFERROR(V178/$G178," ")</f>
        <v>1</v>
      </c>
      <c r="X178" s="299">
        <v>1</v>
      </c>
      <c r="Y178" s="301">
        <f t="shared" ref="Y178" si="1087">IFERROR(X178/$G178," ")</f>
        <v>1</v>
      </c>
      <c r="Z178" s="299">
        <v>1</v>
      </c>
      <c r="AA178" s="301">
        <f t="shared" ref="AA178" si="1088">IFERROR(Z178/$G178," ")</f>
        <v>1</v>
      </c>
      <c r="AB178" s="292"/>
      <c r="AC178" s="279">
        <f t="shared" si="1003"/>
        <v>0</v>
      </c>
      <c r="AD178" s="279">
        <f t="shared" si="1004"/>
        <v>3058.19</v>
      </c>
      <c r="AE178" s="279">
        <f t="shared" si="1005"/>
        <v>3058.19</v>
      </c>
      <c r="AF178" s="279">
        <f t="shared" si="1006"/>
        <v>3058.19</v>
      </c>
      <c r="AG178" s="279">
        <f t="shared" si="1007"/>
        <v>3058.19</v>
      </c>
      <c r="AH178" s="279">
        <f t="shared" si="1008"/>
        <v>3058.19</v>
      </c>
      <c r="AI178" s="279">
        <f t="shared" si="1009"/>
        <v>3058.19</v>
      </c>
      <c r="AJ178" s="279">
        <f t="shared" si="1010"/>
        <v>3058.19</v>
      </c>
    </row>
    <row r="179" spans="1:36" x14ac:dyDescent="0.65">
      <c r="A179" s="203">
        <v>139</v>
      </c>
      <c r="B179" s="292" t="s">
        <v>1190</v>
      </c>
      <c r="C179" s="276" t="s">
        <v>278</v>
      </c>
      <c r="D179" s="292" t="s">
        <v>144</v>
      </c>
      <c r="E179" s="321">
        <f>IFERROR(VLOOKUP(A179,Estimate!A:Q,17,FALSE)," ")</f>
        <v>1800</v>
      </c>
      <c r="F179" s="299">
        <v>1</v>
      </c>
      <c r="G179" s="299">
        <v>1</v>
      </c>
      <c r="H179" s="298">
        <v>2293.64</v>
      </c>
      <c r="I179" s="298">
        <v>2293.64</v>
      </c>
      <c r="J179" s="298">
        <v>2293.64</v>
      </c>
      <c r="K179" s="298"/>
      <c r="L179" s="299"/>
      <c r="M179" s="301">
        <f t="shared" si="810"/>
        <v>0</v>
      </c>
      <c r="N179" s="299"/>
      <c r="O179" s="301">
        <f t="shared" si="810"/>
        <v>0</v>
      </c>
      <c r="P179" s="299"/>
      <c r="Q179" s="301">
        <f t="shared" ref="Q179" si="1089">IFERROR(P179/$G179," ")</f>
        <v>0</v>
      </c>
      <c r="R179" s="299">
        <v>1</v>
      </c>
      <c r="S179" s="301">
        <f t="shared" ref="S179" si="1090">IFERROR(R179/$G179," ")</f>
        <v>1</v>
      </c>
      <c r="T179" s="299">
        <v>1</v>
      </c>
      <c r="U179" s="301">
        <f t="shared" ref="U179" si="1091">IFERROR(T179/$G179," ")</f>
        <v>1</v>
      </c>
      <c r="V179" s="299">
        <v>1</v>
      </c>
      <c r="W179" s="301">
        <f t="shared" ref="W179" si="1092">IFERROR(V179/$G179," ")</f>
        <v>1</v>
      </c>
      <c r="X179" s="299">
        <v>1</v>
      </c>
      <c r="Y179" s="301">
        <f t="shared" ref="Y179" si="1093">IFERROR(X179/$G179," ")</f>
        <v>1</v>
      </c>
      <c r="Z179" s="299">
        <v>1</v>
      </c>
      <c r="AA179" s="301">
        <f t="shared" ref="AA179" si="1094">IFERROR(Z179/$G179," ")</f>
        <v>1</v>
      </c>
      <c r="AB179" s="292"/>
      <c r="AC179" s="279">
        <f t="shared" si="1003"/>
        <v>0</v>
      </c>
      <c r="AD179" s="279">
        <f t="shared" si="1004"/>
        <v>0</v>
      </c>
      <c r="AE179" s="279">
        <f t="shared" si="1005"/>
        <v>0</v>
      </c>
      <c r="AF179" s="279">
        <f t="shared" si="1006"/>
        <v>2293.64</v>
      </c>
      <c r="AG179" s="279">
        <f t="shared" si="1007"/>
        <v>2293.64</v>
      </c>
      <c r="AH179" s="279">
        <f t="shared" si="1008"/>
        <v>2293.64</v>
      </c>
      <c r="AI179" s="279">
        <f t="shared" si="1009"/>
        <v>2293.64</v>
      </c>
      <c r="AJ179" s="279">
        <f t="shared" si="1010"/>
        <v>2293.64</v>
      </c>
    </row>
    <row r="180" spans="1:36" x14ac:dyDescent="0.65">
      <c r="A180" s="203">
        <v>140</v>
      </c>
      <c r="B180" s="292" t="s">
        <v>1191</v>
      </c>
      <c r="C180" s="276" t="s">
        <v>280</v>
      </c>
      <c r="D180" s="292" t="s">
        <v>14</v>
      </c>
      <c r="E180" s="321">
        <f>IFERROR(VLOOKUP(A180,Estimate!A:Q,17,FALSE)," ")</f>
        <v>3600</v>
      </c>
      <c r="F180" s="299">
        <v>1</v>
      </c>
      <c r="G180" s="299">
        <v>1</v>
      </c>
      <c r="H180" s="298">
        <v>4587.29</v>
      </c>
      <c r="I180" s="298">
        <v>4587.29</v>
      </c>
      <c r="J180" s="298">
        <v>4587.29</v>
      </c>
      <c r="K180" s="298"/>
      <c r="L180" s="299"/>
      <c r="M180" s="301">
        <f t="shared" si="810"/>
        <v>0</v>
      </c>
      <c r="N180" s="299">
        <v>1</v>
      </c>
      <c r="O180" s="301">
        <f t="shared" si="810"/>
        <v>1</v>
      </c>
      <c r="P180" s="299">
        <v>1</v>
      </c>
      <c r="Q180" s="301">
        <f t="shared" ref="Q180" si="1095">IFERROR(P180/$G180," ")</f>
        <v>1</v>
      </c>
      <c r="R180" s="299">
        <v>1</v>
      </c>
      <c r="S180" s="301">
        <f t="shared" ref="S180" si="1096">IFERROR(R180/$G180," ")</f>
        <v>1</v>
      </c>
      <c r="T180" s="299">
        <v>1</v>
      </c>
      <c r="U180" s="301">
        <f t="shared" ref="U180" si="1097">IFERROR(T180/$G180," ")</f>
        <v>1</v>
      </c>
      <c r="V180" s="299">
        <v>1</v>
      </c>
      <c r="W180" s="301">
        <f t="shared" ref="W180" si="1098">IFERROR(V180/$G180," ")</f>
        <v>1</v>
      </c>
      <c r="X180" s="299">
        <v>1</v>
      </c>
      <c r="Y180" s="301">
        <f t="shared" ref="Y180" si="1099">IFERROR(X180/$G180," ")</f>
        <v>1</v>
      </c>
      <c r="Z180" s="299">
        <v>1</v>
      </c>
      <c r="AA180" s="301">
        <f t="shared" ref="AA180" si="1100">IFERROR(Z180/$G180," ")</f>
        <v>1</v>
      </c>
      <c r="AB180" s="292"/>
      <c r="AC180" s="279">
        <f t="shared" si="1003"/>
        <v>0</v>
      </c>
      <c r="AD180" s="279">
        <f t="shared" si="1004"/>
        <v>4587.29</v>
      </c>
      <c r="AE180" s="279">
        <f t="shared" si="1005"/>
        <v>4587.29</v>
      </c>
      <c r="AF180" s="279">
        <f t="shared" si="1006"/>
        <v>4587.29</v>
      </c>
      <c r="AG180" s="279">
        <f t="shared" si="1007"/>
        <v>4587.29</v>
      </c>
      <c r="AH180" s="279">
        <f t="shared" si="1008"/>
        <v>4587.29</v>
      </c>
      <c r="AI180" s="279">
        <f t="shared" si="1009"/>
        <v>4587.29</v>
      </c>
      <c r="AJ180" s="279">
        <f t="shared" si="1010"/>
        <v>4587.29</v>
      </c>
    </row>
    <row r="181" spans="1:36" x14ac:dyDescent="0.65">
      <c r="A181" s="203">
        <v>141</v>
      </c>
      <c r="B181" s="292" t="s">
        <v>1192</v>
      </c>
      <c r="C181" s="276" t="s">
        <v>282</v>
      </c>
      <c r="D181" s="292" t="s">
        <v>14</v>
      </c>
      <c r="E181" s="321">
        <f>IFERROR(VLOOKUP(A181,Estimate!A:Q,17,FALSE)," ")</f>
        <v>2000</v>
      </c>
      <c r="F181" s="299">
        <v>1</v>
      </c>
      <c r="G181" s="299">
        <v>1</v>
      </c>
      <c r="H181" s="298">
        <v>2548.4899999999998</v>
      </c>
      <c r="I181" s="298">
        <v>2548.4899999999998</v>
      </c>
      <c r="J181" s="298">
        <v>2548.4899999999998</v>
      </c>
      <c r="K181" s="298"/>
      <c r="L181" s="299"/>
      <c r="M181" s="301">
        <f t="shared" si="810"/>
        <v>0</v>
      </c>
      <c r="N181" s="299">
        <v>1</v>
      </c>
      <c r="O181" s="301">
        <f t="shared" si="810"/>
        <v>1</v>
      </c>
      <c r="P181" s="299">
        <v>1</v>
      </c>
      <c r="Q181" s="301">
        <f t="shared" ref="Q181" si="1101">IFERROR(P181/$G181," ")</f>
        <v>1</v>
      </c>
      <c r="R181" s="299">
        <v>1</v>
      </c>
      <c r="S181" s="301">
        <f t="shared" ref="S181" si="1102">IFERROR(R181/$G181," ")</f>
        <v>1</v>
      </c>
      <c r="T181" s="299">
        <v>1</v>
      </c>
      <c r="U181" s="301">
        <f t="shared" ref="U181" si="1103">IFERROR(T181/$G181," ")</f>
        <v>1</v>
      </c>
      <c r="V181" s="299">
        <v>1</v>
      </c>
      <c r="W181" s="301">
        <f t="shared" ref="W181" si="1104">IFERROR(V181/$G181," ")</f>
        <v>1</v>
      </c>
      <c r="X181" s="299">
        <v>1</v>
      </c>
      <c r="Y181" s="301">
        <f t="shared" ref="Y181" si="1105">IFERROR(X181/$G181," ")</f>
        <v>1</v>
      </c>
      <c r="Z181" s="299">
        <v>1</v>
      </c>
      <c r="AA181" s="301">
        <f t="shared" ref="AA181" si="1106">IFERROR(Z181/$G181," ")</f>
        <v>1</v>
      </c>
      <c r="AB181" s="292"/>
      <c r="AC181" s="279">
        <f t="shared" si="1003"/>
        <v>0</v>
      </c>
      <c r="AD181" s="279">
        <f t="shared" si="1004"/>
        <v>2548.4899999999998</v>
      </c>
      <c r="AE181" s="279">
        <f t="shared" si="1005"/>
        <v>2548.4899999999998</v>
      </c>
      <c r="AF181" s="279">
        <f t="shared" si="1006"/>
        <v>2548.4899999999998</v>
      </c>
      <c r="AG181" s="279">
        <f t="shared" si="1007"/>
        <v>2548.4899999999998</v>
      </c>
      <c r="AH181" s="279">
        <f t="shared" si="1008"/>
        <v>2548.4899999999998</v>
      </c>
      <c r="AI181" s="279">
        <f t="shared" si="1009"/>
        <v>2548.4899999999998</v>
      </c>
      <c r="AJ181" s="279">
        <f t="shared" si="1010"/>
        <v>2548.4899999999998</v>
      </c>
    </row>
    <row r="182" spans="1:36" x14ac:dyDescent="0.65">
      <c r="A182" s="203">
        <v>142</v>
      </c>
      <c r="B182" s="292">
        <v>2.2999999999999998</v>
      </c>
      <c r="C182" s="276" t="s">
        <v>661</v>
      </c>
      <c r="D182" s="292" t="s">
        <v>451</v>
      </c>
      <c r="E182" s="321"/>
      <c r="F182" s="299" t="s">
        <v>448</v>
      </c>
      <c r="G182" s="299" t="s">
        <v>448</v>
      </c>
      <c r="H182" s="298" t="s">
        <v>448</v>
      </c>
      <c r="I182" s="298" t="s">
        <v>448</v>
      </c>
      <c r="J182" s="298" t="s">
        <v>448</v>
      </c>
      <c r="K182" s="298"/>
      <c r="L182" s="299" t="s">
        <v>448</v>
      </c>
      <c r="M182" s="301" t="str">
        <f t="shared" si="810"/>
        <v xml:space="preserve"> </v>
      </c>
      <c r="N182" s="299" t="s">
        <v>448</v>
      </c>
      <c r="O182" s="301" t="str">
        <f t="shared" si="810"/>
        <v xml:space="preserve"> </v>
      </c>
      <c r="P182" s="299" t="s">
        <v>448</v>
      </c>
      <c r="Q182" s="301" t="str">
        <f t="shared" ref="Q182" si="1107">IFERROR(P182/$G182," ")</f>
        <v xml:space="preserve"> </v>
      </c>
      <c r="R182" s="299" t="s">
        <v>448</v>
      </c>
      <c r="S182" s="301" t="str">
        <f t="shared" ref="S182" si="1108">IFERROR(R182/$G182," ")</f>
        <v xml:space="preserve"> </v>
      </c>
      <c r="T182" s="299" t="s">
        <v>448</v>
      </c>
      <c r="U182" s="301" t="str">
        <f t="shared" ref="U182" si="1109">IFERROR(T182/$G182," ")</f>
        <v xml:space="preserve"> </v>
      </c>
      <c r="V182" s="299" t="s">
        <v>448</v>
      </c>
      <c r="W182" s="301" t="str">
        <f t="shared" ref="W182" si="1110">IFERROR(V182/$G182," ")</f>
        <v xml:space="preserve"> </v>
      </c>
      <c r="X182" s="299" t="s">
        <v>448</v>
      </c>
      <c r="Y182" s="301" t="str">
        <f t="shared" ref="Y182" si="1111">IFERROR(X182/$G182," ")</f>
        <v xml:space="preserve"> </v>
      </c>
      <c r="Z182" s="299" t="s">
        <v>448</v>
      </c>
      <c r="AA182" s="301" t="str">
        <f t="shared" ref="AA182" si="1112">IFERROR(Z182/$G182," ")</f>
        <v xml:space="preserve"> </v>
      </c>
      <c r="AB182" s="292"/>
      <c r="AC182" s="279" t="str">
        <f t="shared" si="1003"/>
        <v xml:space="preserve"> </v>
      </c>
      <c r="AD182" s="279" t="str">
        <f t="shared" si="1004"/>
        <v xml:space="preserve"> </v>
      </c>
      <c r="AE182" s="279" t="str">
        <f t="shared" si="1005"/>
        <v xml:space="preserve"> </v>
      </c>
      <c r="AF182" s="279" t="str">
        <f t="shared" si="1006"/>
        <v xml:space="preserve"> </v>
      </c>
      <c r="AG182" s="279" t="str">
        <f t="shared" si="1007"/>
        <v xml:space="preserve"> </v>
      </c>
      <c r="AH182" s="279" t="str">
        <f t="shared" si="1008"/>
        <v xml:space="preserve"> </v>
      </c>
      <c r="AI182" s="279" t="str">
        <f t="shared" si="1009"/>
        <v xml:space="preserve"> </v>
      </c>
      <c r="AJ182" s="279" t="str">
        <f t="shared" si="1010"/>
        <v xml:space="preserve"> </v>
      </c>
    </row>
    <row r="183" spans="1:36" ht="42.75" x14ac:dyDescent="0.65">
      <c r="A183" s="203">
        <v>143</v>
      </c>
      <c r="B183" s="292" t="s">
        <v>1193</v>
      </c>
      <c r="C183" s="276" t="s">
        <v>284</v>
      </c>
      <c r="D183" s="292" t="s">
        <v>25</v>
      </c>
      <c r="E183" s="321">
        <f>IFERROR(VLOOKUP(A183,Estimate!A:Q,17,FALSE)," ")</f>
        <v>14326.4</v>
      </c>
      <c r="F183" s="299">
        <v>215</v>
      </c>
      <c r="G183" s="299">
        <v>215</v>
      </c>
      <c r="H183" s="298">
        <v>65.56</v>
      </c>
      <c r="I183" s="298">
        <v>14095.4</v>
      </c>
      <c r="J183" s="298">
        <v>14095.4</v>
      </c>
      <c r="K183" s="298"/>
      <c r="L183" s="299">
        <v>95</v>
      </c>
      <c r="M183" s="301">
        <f t="shared" si="810"/>
        <v>0.44186046511627908</v>
      </c>
      <c r="N183" s="299">
        <v>215</v>
      </c>
      <c r="O183" s="301">
        <f t="shared" si="810"/>
        <v>1</v>
      </c>
      <c r="P183" s="299">
        <v>215</v>
      </c>
      <c r="Q183" s="301">
        <f t="shared" ref="Q183" si="1113">IFERROR(P183/$G183," ")</f>
        <v>1</v>
      </c>
      <c r="R183" s="299">
        <v>215</v>
      </c>
      <c r="S183" s="301">
        <f t="shared" ref="S183" si="1114">IFERROR(R183/$G183," ")</f>
        <v>1</v>
      </c>
      <c r="T183" s="299">
        <v>215</v>
      </c>
      <c r="U183" s="301">
        <f t="shared" ref="U183" si="1115">IFERROR(T183/$G183," ")</f>
        <v>1</v>
      </c>
      <c r="V183" s="299">
        <v>215</v>
      </c>
      <c r="W183" s="301">
        <f t="shared" ref="W183" si="1116">IFERROR(V183/$G183," ")</f>
        <v>1</v>
      </c>
      <c r="X183" s="299">
        <v>215</v>
      </c>
      <c r="Y183" s="301">
        <f t="shared" ref="Y183" si="1117">IFERROR(X183/$G183," ")</f>
        <v>1</v>
      </c>
      <c r="Z183" s="299">
        <v>215</v>
      </c>
      <c r="AA183" s="301">
        <f t="shared" ref="AA183" si="1118">IFERROR(Z183/$G183," ")</f>
        <v>1</v>
      </c>
      <c r="AB183" s="292"/>
      <c r="AC183" s="279">
        <f t="shared" si="1003"/>
        <v>6228.2</v>
      </c>
      <c r="AD183" s="279">
        <f t="shared" si="1004"/>
        <v>14095.4</v>
      </c>
      <c r="AE183" s="279">
        <f t="shared" si="1005"/>
        <v>14095.4</v>
      </c>
      <c r="AF183" s="279">
        <f t="shared" si="1006"/>
        <v>14095.4</v>
      </c>
      <c r="AG183" s="279">
        <f t="shared" si="1007"/>
        <v>14095.4</v>
      </c>
      <c r="AH183" s="279">
        <f t="shared" si="1008"/>
        <v>14095.4</v>
      </c>
      <c r="AI183" s="279">
        <f t="shared" si="1009"/>
        <v>14095.4</v>
      </c>
      <c r="AJ183" s="279">
        <f t="shared" si="1010"/>
        <v>14095.4</v>
      </c>
    </row>
    <row r="184" spans="1:36" x14ac:dyDescent="0.65">
      <c r="A184" s="203">
        <v>144</v>
      </c>
      <c r="B184" s="292" t="s">
        <v>1194</v>
      </c>
      <c r="C184" s="276" t="s">
        <v>289</v>
      </c>
      <c r="D184" s="292" t="s">
        <v>14</v>
      </c>
      <c r="E184" s="321">
        <f>IFERROR(VLOOKUP(A184,Estimate!A:Q,17,FALSE)," ")</f>
        <v>1500</v>
      </c>
      <c r="F184" s="299">
        <v>1</v>
      </c>
      <c r="G184" s="299">
        <v>1</v>
      </c>
      <c r="H184" s="298">
        <v>1911.37</v>
      </c>
      <c r="I184" s="298">
        <v>1911.37</v>
      </c>
      <c r="J184" s="298">
        <v>1911.37</v>
      </c>
      <c r="K184" s="298"/>
      <c r="L184" s="299"/>
      <c r="M184" s="301">
        <f t="shared" si="810"/>
        <v>0</v>
      </c>
      <c r="N184" s="299">
        <v>1</v>
      </c>
      <c r="O184" s="301">
        <f t="shared" si="810"/>
        <v>1</v>
      </c>
      <c r="P184" s="299">
        <v>1</v>
      </c>
      <c r="Q184" s="301">
        <f t="shared" ref="Q184" si="1119">IFERROR(P184/$G184," ")</f>
        <v>1</v>
      </c>
      <c r="R184" s="299">
        <v>1</v>
      </c>
      <c r="S184" s="301">
        <f t="shared" ref="S184" si="1120">IFERROR(R184/$G184," ")</f>
        <v>1</v>
      </c>
      <c r="T184" s="299">
        <v>1</v>
      </c>
      <c r="U184" s="301">
        <f t="shared" ref="U184" si="1121">IFERROR(T184/$G184," ")</f>
        <v>1</v>
      </c>
      <c r="V184" s="299">
        <v>1</v>
      </c>
      <c r="W184" s="301">
        <f t="shared" ref="W184" si="1122">IFERROR(V184/$G184," ")</f>
        <v>1</v>
      </c>
      <c r="X184" s="299">
        <v>1</v>
      </c>
      <c r="Y184" s="301">
        <f t="shared" ref="Y184" si="1123">IFERROR(X184/$G184," ")</f>
        <v>1</v>
      </c>
      <c r="Z184" s="299">
        <v>1</v>
      </c>
      <c r="AA184" s="301">
        <f t="shared" ref="AA184" si="1124">IFERROR(Z184/$G184," ")</f>
        <v>1</v>
      </c>
      <c r="AB184" s="292"/>
      <c r="AC184" s="279">
        <f t="shared" si="1003"/>
        <v>0</v>
      </c>
      <c r="AD184" s="279">
        <f t="shared" si="1004"/>
        <v>1911.37</v>
      </c>
      <c r="AE184" s="279">
        <f t="shared" si="1005"/>
        <v>1911.37</v>
      </c>
      <c r="AF184" s="279">
        <f t="shared" si="1006"/>
        <v>1911.37</v>
      </c>
      <c r="AG184" s="279">
        <f t="shared" si="1007"/>
        <v>1911.37</v>
      </c>
      <c r="AH184" s="279">
        <f t="shared" si="1008"/>
        <v>1911.37</v>
      </c>
      <c r="AI184" s="279">
        <f t="shared" si="1009"/>
        <v>1911.37</v>
      </c>
      <c r="AJ184" s="279">
        <f t="shared" si="1010"/>
        <v>1911.37</v>
      </c>
    </row>
    <row r="185" spans="1:36" x14ac:dyDescent="0.65">
      <c r="A185" s="203">
        <v>145</v>
      </c>
      <c r="B185" s="292">
        <v>2.4</v>
      </c>
      <c r="C185" s="276" t="s">
        <v>662</v>
      </c>
      <c r="D185" s="292" t="s">
        <v>451</v>
      </c>
      <c r="E185" s="321"/>
      <c r="F185" s="299" t="s">
        <v>448</v>
      </c>
      <c r="G185" s="299" t="s">
        <v>448</v>
      </c>
      <c r="H185" s="298" t="s">
        <v>448</v>
      </c>
      <c r="I185" s="298" t="s">
        <v>448</v>
      </c>
      <c r="J185" s="298" t="s">
        <v>448</v>
      </c>
      <c r="K185" s="298"/>
      <c r="L185" s="299" t="s">
        <v>448</v>
      </c>
      <c r="M185" s="301" t="str">
        <f t="shared" si="810"/>
        <v xml:space="preserve"> </v>
      </c>
      <c r="N185" s="299" t="s">
        <v>448</v>
      </c>
      <c r="O185" s="301" t="str">
        <f t="shared" si="810"/>
        <v xml:space="preserve"> </v>
      </c>
      <c r="P185" s="299" t="s">
        <v>448</v>
      </c>
      <c r="Q185" s="301" t="str">
        <f t="shared" ref="Q185" si="1125">IFERROR(P185/$G185," ")</f>
        <v xml:space="preserve"> </v>
      </c>
      <c r="R185" s="299" t="s">
        <v>448</v>
      </c>
      <c r="S185" s="301" t="str">
        <f t="shared" ref="S185" si="1126">IFERROR(R185/$G185," ")</f>
        <v xml:space="preserve"> </v>
      </c>
      <c r="T185" s="299" t="s">
        <v>448</v>
      </c>
      <c r="U185" s="301" t="str">
        <f t="shared" ref="U185" si="1127">IFERROR(T185/$G185," ")</f>
        <v xml:space="preserve"> </v>
      </c>
      <c r="V185" s="299" t="s">
        <v>448</v>
      </c>
      <c r="W185" s="301" t="str">
        <f t="shared" ref="W185" si="1128">IFERROR(V185/$G185," ")</f>
        <v xml:space="preserve"> </v>
      </c>
      <c r="X185" s="299" t="s">
        <v>448</v>
      </c>
      <c r="Y185" s="301" t="str">
        <f t="shared" ref="Y185" si="1129">IFERROR(X185/$G185," ")</f>
        <v xml:space="preserve"> </v>
      </c>
      <c r="Z185" s="299" t="s">
        <v>448</v>
      </c>
      <c r="AA185" s="301" t="str">
        <f t="shared" ref="AA185" si="1130">IFERROR(Z185/$G185," ")</f>
        <v xml:space="preserve"> </v>
      </c>
      <c r="AB185" s="292"/>
      <c r="AC185" s="279" t="str">
        <f t="shared" si="1003"/>
        <v xml:space="preserve"> </v>
      </c>
      <c r="AD185" s="279" t="str">
        <f t="shared" si="1004"/>
        <v xml:space="preserve"> </v>
      </c>
      <c r="AE185" s="279" t="str">
        <f t="shared" si="1005"/>
        <v xml:space="preserve"> </v>
      </c>
      <c r="AF185" s="279" t="str">
        <f t="shared" si="1006"/>
        <v xml:space="preserve"> </v>
      </c>
      <c r="AG185" s="279" t="str">
        <f t="shared" si="1007"/>
        <v xml:space="preserve"> </v>
      </c>
      <c r="AH185" s="279" t="str">
        <f t="shared" si="1008"/>
        <v xml:space="preserve"> </v>
      </c>
      <c r="AI185" s="279" t="str">
        <f t="shared" si="1009"/>
        <v xml:space="preserve"> </v>
      </c>
      <c r="AJ185" s="279" t="str">
        <f t="shared" si="1010"/>
        <v xml:space="preserve"> </v>
      </c>
    </row>
    <row r="186" spans="1:36" ht="28.5" x14ac:dyDescent="0.65">
      <c r="A186" s="203">
        <v>146</v>
      </c>
      <c r="B186" s="292" t="s">
        <v>1195</v>
      </c>
      <c r="C186" s="276" t="s">
        <v>291</v>
      </c>
      <c r="D186" s="292" t="s">
        <v>25</v>
      </c>
      <c r="E186" s="321">
        <f>IFERROR(VLOOKUP(A186,Estimate!A:Q,17,FALSE)," ")</f>
        <v>13992.594880000001</v>
      </c>
      <c r="F186" s="299">
        <v>210</v>
      </c>
      <c r="G186" s="299">
        <v>210</v>
      </c>
      <c r="H186" s="298">
        <v>119.86</v>
      </c>
      <c r="I186" s="298">
        <v>25170.6</v>
      </c>
      <c r="J186" s="298">
        <v>25170.6</v>
      </c>
      <c r="K186" s="298"/>
      <c r="L186" s="299">
        <v>130</v>
      </c>
      <c r="M186" s="301">
        <f t="shared" si="810"/>
        <v>0.61904761904761907</v>
      </c>
      <c r="N186" s="299">
        <v>210</v>
      </c>
      <c r="O186" s="301">
        <f t="shared" si="810"/>
        <v>1</v>
      </c>
      <c r="P186" s="299">
        <v>210</v>
      </c>
      <c r="Q186" s="301">
        <f t="shared" ref="Q186" si="1131">IFERROR(P186/$G186," ")</f>
        <v>1</v>
      </c>
      <c r="R186" s="299">
        <v>210</v>
      </c>
      <c r="S186" s="301">
        <f t="shared" ref="S186" si="1132">IFERROR(R186/$G186," ")</f>
        <v>1</v>
      </c>
      <c r="T186" s="299">
        <v>210</v>
      </c>
      <c r="U186" s="301">
        <f t="shared" ref="U186" si="1133">IFERROR(T186/$G186," ")</f>
        <v>1</v>
      </c>
      <c r="V186" s="299">
        <v>210</v>
      </c>
      <c r="W186" s="301">
        <f t="shared" ref="W186" si="1134">IFERROR(V186/$G186," ")</f>
        <v>1</v>
      </c>
      <c r="X186" s="299">
        <v>210</v>
      </c>
      <c r="Y186" s="301">
        <f t="shared" ref="Y186" si="1135">IFERROR(X186/$G186," ")</f>
        <v>1</v>
      </c>
      <c r="Z186" s="299">
        <v>210</v>
      </c>
      <c r="AA186" s="301">
        <f t="shared" ref="AA186" si="1136">IFERROR(Z186/$G186," ")</f>
        <v>1</v>
      </c>
      <c r="AB186" s="292"/>
      <c r="AC186" s="279">
        <f t="shared" si="1003"/>
        <v>15581.8</v>
      </c>
      <c r="AD186" s="279">
        <f t="shared" si="1004"/>
        <v>25170.6</v>
      </c>
      <c r="AE186" s="279">
        <f t="shared" si="1005"/>
        <v>25170.6</v>
      </c>
      <c r="AF186" s="279">
        <f t="shared" si="1006"/>
        <v>25170.6</v>
      </c>
      <c r="AG186" s="279">
        <f t="shared" si="1007"/>
        <v>25170.6</v>
      </c>
      <c r="AH186" s="279">
        <f t="shared" si="1008"/>
        <v>25170.6</v>
      </c>
      <c r="AI186" s="279">
        <f t="shared" si="1009"/>
        <v>25170.6</v>
      </c>
      <c r="AJ186" s="279">
        <f t="shared" si="1010"/>
        <v>25170.6</v>
      </c>
    </row>
    <row r="187" spans="1:36" x14ac:dyDescent="0.65">
      <c r="A187" s="203">
        <v>147</v>
      </c>
      <c r="B187" s="292" t="s">
        <v>1196</v>
      </c>
      <c r="C187" s="276" t="s">
        <v>293</v>
      </c>
      <c r="D187" s="292" t="s">
        <v>144</v>
      </c>
      <c r="E187" s="321">
        <f>IFERROR(VLOOKUP(A187,Estimate!A:Q,17,FALSE)," ")</f>
        <v>2074.4</v>
      </c>
      <c r="F187" s="299">
        <v>1</v>
      </c>
      <c r="G187" s="299">
        <v>1</v>
      </c>
      <c r="H187" s="298">
        <v>3731.59</v>
      </c>
      <c r="I187" s="298">
        <v>3731.59</v>
      </c>
      <c r="J187" s="298">
        <v>3731.59</v>
      </c>
      <c r="K187" s="298"/>
      <c r="L187" s="299"/>
      <c r="M187" s="301">
        <f t="shared" si="810"/>
        <v>0</v>
      </c>
      <c r="N187" s="299"/>
      <c r="O187" s="301">
        <f t="shared" si="810"/>
        <v>0</v>
      </c>
      <c r="P187" s="299"/>
      <c r="Q187" s="301">
        <f t="shared" ref="Q187" si="1137">IFERROR(P187/$G187," ")</f>
        <v>0</v>
      </c>
      <c r="R187" s="299">
        <v>1</v>
      </c>
      <c r="S187" s="301">
        <f t="shared" ref="S187" si="1138">IFERROR(R187/$G187," ")</f>
        <v>1</v>
      </c>
      <c r="T187" s="299">
        <v>1</v>
      </c>
      <c r="U187" s="301">
        <f t="shared" ref="U187" si="1139">IFERROR(T187/$G187," ")</f>
        <v>1</v>
      </c>
      <c r="V187" s="299">
        <v>1</v>
      </c>
      <c r="W187" s="301">
        <f t="shared" ref="W187" si="1140">IFERROR(V187/$G187," ")</f>
        <v>1</v>
      </c>
      <c r="X187" s="299">
        <v>1</v>
      </c>
      <c r="Y187" s="301">
        <f t="shared" ref="Y187" si="1141">IFERROR(X187/$G187," ")</f>
        <v>1</v>
      </c>
      <c r="Z187" s="299">
        <v>1</v>
      </c>
      <c r="AA187" s="301">
        <f t="shared" ref="AA187" si="1142">IFERROR(Z187/$G187," ")</f>
        <v>1</v>
      </c>
      <c r="AB187" s="292"/>
      <c r="AC187" s="279">
        <f t="shared" si="1003"/>
        <v>0</v>
      </c>
      <c r="AD187" s="279">
        <f t="shared" si="1004"/>
        <v>0</v>
      </c>
      <c r="AE187" s="279">
        <f t="shared" si="1005"/>
        <v>0</v>
      </c>
      <c r="AF187" s="279">
        <f t="shared" si="1006"/>
        <v>3731.59</v>
      </c>
      <c r="AG187" s="279">
        <f t="shared" si="1007"/>
        <v>3731.59</v>
      </c>
      <c r="AH187" s="279">
        <f t="shared" si="1008"/>
        <v>3731.59</v>
      </c>
      <c r="AI187" s="279">
        <f t="shared" si="1009"/>
        <v>3731.59</v>
      </c>
      <c r="AJ187" s="279">
        <f t="shared" si="1010"/>
        <v>3731.59</v>
      </c>
    </row>
    <row r="188" spans="1:36" ht="42.75" x14ac:dyDescent="0.65">
      <c r="A188" s="203">
        <v>148</v>
      </c>
      <c r="B188" s="292" t="s">
        <v>1197</v>
      </c>
      <c r="C188" s="276" t="s">
        <v>296</v>
      </c>
      <c r="D188" s="292" t="s">
        <v>144</v>
      </c>
      <c r="E188" s="321">
        <f>IFERROR(VLOOKUP(A188,Estimate!A:Q,17,FALSE)," ")</f>
        <v>735</v>
      </c>
      <c r="F188" s="299">
        <v>3</v>
      </c>
      <c r="G188" s="299">
        <v>3</v>
      </c>
      <c r="H188" s="298">
        <v>440.73</v>
      </c>
      <c r="I188" s="298">
        <v>1322.19</v>
      </c>
      <c r="J188" s="298">
        <v>1322.19</v>
      </c>
      <c r="K188" s="298"/>
      <c r="L188" s="299"/>
      <c r="M188" s="301">
        <f t="shared" si="810"/>
        <v>0</v>
      </c>
      <c r="N188" s="299"/>
      <c r="O188" s="301">
        <f t="shared" si="810"/>
        <v>0</v>
      </c>
      <c r="P188" s="299"/>
      <c r="Q188" s="301">
        <f t="shared" ref="Q188" si="1143">IFERROR(P188/$G188," ")</f>
        <v>0</v>
      </c>
      <c r="R188" s="299">
        <v>3</v>
      </c>
      <c r="S188" s="301">
        <f t="shared" ref="S188" si="1144">IFERROR(R188/$G188," ")</f>
        <v>1</v>
      </c>
      <c r="T188" s="299">
        <v>3</v>
      </c>
      <c r="U188" s="301">
        <f t="shared" ref="U188" si="1145">IFERROR(T188/$G188," ")</f>
        <v>1</v>
      </c>
      <c r="V188" s="299">
        <v>3</v>
      </c>
      <c r="W188" s="301">
        <f t="shared" ref="W188" si="1146">IFERROR(V188/$G188," ")</f>
        <v>1</v>
      </c>
      <c r="X188" s="299">
        <v>3</v>
      </c>
      <c r="Y188" s="301">
        <f t="shared" ref="Y188" si="1147">IFERROR(X188/$G188," ")</f>
        <v>1</v>
      </c>
      <c r="Z188" s="299">
        <v>3</v>
      </c>
      <c r="AA188" s="301">
        <f t="shared" ref="AA188" si="1148">IFERROR(Z188/$G188," ")</f>
        <v>1</v>
      </c>
      <c r="AB188" s="292"/>
      <c r="AC188" s="279">
        <f t="shared" si="1003"/>
        <v>0</v>
      </c>
      <c r="AD188" s="279">
        <f t="shared" si="1004"/>
        <v>0</v>
      </c>
      <c r="AE188" s="279">
        <f t="shared" si="1005"/>
        <v>0</v>
      </c>
      <c r="AF188" s="279">
        <f t="shared" si="1006"/>
        <v>1322.19</v>
      </c>
      <c r="AG188" s="279">
        <f t="shared" si="1007"/>
        <v>1322.19</v>
      </c>
      <c r="AH188" s="279">
        <f t="shared" si="1008"/>
        <v>1322.19</v>
      </c>
      <c r="AI188" s="279">
        <f t="shared" si="1009"/>
        <v>1322.19</v>
      </c>
      <c r="AJ188" s="279">
        <f t="shared" si="1010"/>
        <v>1322.19</v>
      </c>
    </row>
    <row r="189" spans="1:36" ht="28.5" x14ac:dyDescent="0.65">
      <c r="A189" s="203">
        <v>149</v>
      </c>
      <c r="B189" s="292" t="s">
        <v>1198</v>
      </c>
      <c r="C189" s="276" t="s">
        <v>299</v>
      </c>
      <c r="D189" s="292" t="s">
        <v>25</v>
      </c>
      <c r="E189" s="321">
        <f>IFERROR(VLOOKUP(A189,Estimate!A:Q,17,FALSE)," ")</f>
        <v>4822.6483200000002</v>
      </c>
      <c r="F189" s="299">
        <v>75</v>
      </c>
      <c r="G189" s="299">
        <v>75</v>
      </c>
      <c r="H189" s="298">
        <v>115.67</v>
      </c>
      <c r="I189" s="298">
        <v>8675.25</v>
      </c>
      <c r="J189" s="298">
        <v>8675.25</v>
      </c>
      <c r="K189" s="298"/>
      <c r="L189" s="299"/>
      <c r="M189" s="301">
        <f t="shared" si="810"/>
        <v>0</v>
      </c>
      <c r="N189" s="299">
        <v>75</v>
      </c>
      <c r="O189" s="301">
        <f t="shared" si="810"/>
        <v>1</v>
      </c>
      <c r="P189" s="299">
        <v>75</v>
      </c>
      <c r="Q189" s="301">
        <f t="shared" ref="Q189" si="1149">IFERROR(P189/$G189," ")</f>
        <v>1</v>
      </c>
      <c r="R189" s="299">
        <v>75</v>
      </c>
      <c r="S189" s="301">
        <f t="shared" ref="S189" si="1150">IFERROR(R189/$G189," ")</f>
        <v>1</v>
      </c>
      <c r="T189" s="299">
        <v>75</v>
      </c>
      <c r="U189" s="301">
        <f t="shared" ref="U189" si="1151">IFERROR(T189/$G189," ")</f>
        <v>1</v>
      </c>
      <c r="V189" s="299">
        <v>75</v>
      </c>
      <c r="W189" s="301">
        <f t="shared" ref="W189" si="1152">IFERROR(V189/$G189," ")</f>
        <v>1</v>
      </c>
      <c r="X189" s="299">
        <v>75</v>
      </c>
      <c r="Y189" s="301">
        <f t="shared" ref="Y189" si="1153">IFERROR(X189/$G189," ")</f>
        <v>1</v>
      </c>
      <c r="Z189" s="299">
        <v>75</v>
      </c>
      <c r="AA189" s="301">
        <f t="shared" ref="AA189" si="1154">IFERROR(Z189/$G189," ")</f>
        <v>1</v>
      </c>
      <c r="AB189" s="292"/>
      <c r="AC189" s="279">
        <f t="shared" si="1003"/>
        <v>0</v>
      </c>
      <c r="AD189" s="279">
        <f t="shared" si="1004"/>
        <v>8675.25</v>
      </c>
      <c r="AE189" s="279">
        <f t="shared" si="1005"/>
        <v>8675.25</v>
      </c>
      <c r="AF189" s="279">
        <f t="shared" si="1006"/>
        <v>8675.25</v>
      </c>
      <c r="AG189" s="279">
        <f t="shared" si="1007"/>
        <v>8675.25</v>
      </c>
      <c r="AH189" s="279">
        <f t="shared" si="1008"/>
        <v>8675.25</v>
      </c>
      <c r="AI189" s="279">
        <f t="shared" si="1009"/>
        <v>8675.25</v>
      </c>
      <c r="AJ189" s="279">
        <f t="shared" si="1010"/>
        <v>8675.25</v>
      </c>
    </row>
    <row r="190" spans="1:36" x14ac:dyDescent="0.65">
      <c r="A190" s="203">
        <v>150</v>
      </c>
      <c r="B190" s="292">
        <v>2.5</v>
      </c>
      <c r="C190" s="276" t="s">
        <v>663</v>
      </c>
      <c r="D190" s="292" t="s">
        <v>451</v>
      </c>
      <c r="E190" s="321"/>
      <c r="F190" s="299" t="s">
        <v>448</v>
      </c>
      <c r="G190" s="299" t="s">
        <v>448</v>
      </c>
      <c r="H190" s="298" t="s">
        <v>448</v>
      </c>
      <c r="I190" s="298" t="s">
        <v>448</v>
      </c>
      <c r="J190" s="298" t="s">
        <v>448</v>
      </c>
      <c r="K190" s="298"/>
      <c r="L190" s="299" t="s">
        <v>448</v>
      </c>
      <c r="M190" s="301" t="str">
        <f t="shared" si="810"/>
        <v xml:space="preserve"> </v>
      </c>
      <c r="N190" s="299" t="s">
        <v>448</v>
      </c>
      <c r="O190" s="301" t="str">
        <f t="shared" si="810"/>
        <v xml:space="preserve"> </v>
      </c>
      <c r="P190" s="299" t="s">
        <v>448</v>
      </c>
      <c r="Q190" s="301" t="str">
        <f t="shared" ref="Q190" si="1155">IFERROR(P190/$G190," ")</f>
        <v xml:space="preserve"> </v>
      </c>
      <c r="R190" s="299" t="s">
        <v>448</v>
      </c>
      <c r="S190" s="301" t="str">
        <f t="shared" ref="S190" si="1156">IFERROR(R190/$G190," ")</f>
        <v xml:space="preserve"> </v>
      </c>
      <c r="T190" s="299" t="s">
        <v>448</v>
      </c>
      <c r="U190" s="301" t="str">
        <f t="shared" ref="U190" si="1157">IFERROR(T190/$G190," ")</f>
        <v xml:space="preserve"> </v>
      </c>
      <c r="V190" s="299" t="s">
        <v>448</v>
      </c>
      <c r="W190" s="301" t="str">
        <f t="shared" ref="W190" si="1158">IFERROR(V190/$G190," ")</f>
        <v xml:space="preserve"> </v>
      </c>
      <c r="X190" s="299" t="s">
        <v>448</v>
      </c>
      <c r="Y190" s="301" t="str">
        <f t="shared" ref="Y190" si="1159">IFERROR(X190/$G190," ")</f>
        <v xml:space="preserve"> </v>
      </c>
      <c r="Z190" s="299" t="s">
        <v>448</v>
      </c>
      <c r="AA190" s="301" t="str">
        <f t="shared" ref="AA190" si="1160">IFERROR(Z190/$G190," ")</f>
        <v xml:space="preserve"> </v>
      </c>
      <c r="AB190" s="292"/>
      <c r="AC190" s="279" t="str">
        <f t="shared" si="1003"/>
        <v xml:space="preserve"> </v>
      </c>
      <c r="AD190" s="279" t="str">
        <f t="shared" si="1004"/>
        <v xml:space="preserve"> </v>
      </c>
      <c r="AE190" s="279" t="str">
        <f t="shared" si="1005"/>
        <v xml:space="preserve"> </v>
      </c>
      <c r="AF190" s="279" t="str">
        <f t="shared" si="1006"/>
        <v xml:space="preserve"> </v>
      </c>
      <c r="AG190" s="279" t="str">
        <f t="shared" si="1007"/>
        <v xml:space="preserve"> </v>
      </c>
      <c r="AH190" s="279" t="str">
        <f t="shared" si="1008"/>
        <v xml:space="preserve"> </v>
      </c>
      <c r="AI190" s="279" t="str">
        <f t="shared" si="1009"/>
        <v xml:space="preserve"> </v>
      </c>
      <c r="AJ190" s="279" t="str">
        <f t="shared" si="1010"/>
        <v xml:space="preserve"> </v>
      </c>
    </row>
    <row r="191" spans="1:36" x14ac:dyDescent="0.65">
      <c r="A191" s="203">
        <v>151</v>
      </c>
      <c r="B191" s="292" t="s">
        <v>1199</v>
      </c>
      <c r="C191" s="276" t="s">
        <v>301</v>
      </c>
      <c r="D191" s="292" t="s">
        <v>79</v>
      </c>
      <c r="E191" s="321">
        <f>IFERROR(VLOOKUP(A191,Estimate!A:Q,17,FALSE)," ")</f>
        <v>1500.1089999999999</v>
      </c>
      <c r="F191" s="299">
        <v>1</v>
      </c>
      <c r="G191" s="299">
        <v>1</v>
      </c>
      <c r="H191" s="298">
        <v>654.96</v>
      </c>
      <c r="I191" s="298">
        <v>654.96</v>
      </c>
      <c r="J191" s="298">
        <v>654.96</v>
      </c>
      <c r="K191" s="298"/>
      <c r="L191" s="299"/>
      <c r="M191" s="301">
        <f t="shared" si="810"/>
        <v>0</v>
      </c>
      <c r="N191" s="299"/>
      <c r="O191" s="301">
        <f t="shared" si="810"/>
        <v>0</v>
      </c>
      <c r="P191" s="299"/>
      <c r="Q191" s="301">
        <f t="shared" ref="Q191" si="1161">IFERROR(P191/$G191," ")</f>
        <v>0</v>
      </c>
      <c r="R191" s="299"/>
      <c r="S191" s="301">
        <f t="shared" ref="S191" si="1162">IFERROR(R191/$G191," ")</f>
        <v>0</v>
      </c>
      <c r="T191" s="299"/>
      <c r="U191" s="301">
        <f t="shared" ref="U191" si="1163">IFERROR(T191/$G191," ")</f>
        <v>0</v>
      </c>
      <c r="V191" s="299"/>
      <c r="W191" s="301">
        <f t="shared" ref="W191" si="1164">IFERROR(V191/$G191," ")</f>
        <v>0</v>
      </c>
      <c r="X191" s="299">
        <v>1</v>
      </c>
      <c r="Y191" s="301">
        <f t="shared" ref="Y191" si="1165">IFERROR(X191/$G191," ")</f>
        <v>1</v>
      </c>
      <c r="Z191" s="299">
        <v>1</v>
      </c>
      <c r="AA191" s="301">
        <f t="shared" ref="AA191" si="1166">IFERROR(Z191/$G191," ")</f>
        <v>1</v>
      </c>
      <c r="AB191" s="292"/>
      <c r="AC191" s="279">
        <f t="shared" si="1003"/>
        <v>0</v>
      </c>
      <c r="AD191" s="279">
        <f t="shared" si="1004"/>
        <v>0</v>
      </c>
      <c r="AE191" s="279">
        <f t="shared" si="1005"/>
        <v>0</v>
      </c>
      <c r="AF191" s="279">
        <f t="shared" si="1006"/>
        <v>0</v>
      </c>
      <c r="AG191" s="279">
        <f t="shared" si="1007"/>
        <v>0</v>
      </c>
      <c r="AH191" s="279">
        <f t="shared" si="1008"/>
        <v>0</v>
      </c>
      <c r="AI191" s="279">
        <f t="shared" si="1009"/>
        <v>654.96</v>
      </c>
      <c r="AJ191" s="279">
        <f t="shared" si="1010"/>
        <v>654.96</v>
      </c>
    </row>
    <row r="192" spans="1:36" x14ac:dyDescent="0.65">
      <c r="A192" s="203"/>
      <c r="B192" s="302" t="s">
        <v>1069</v>
      </c>
      <c r="C192" s="303" t="s">
        <v>1200</v>
      </c>
      <c r="D192" s="302" t="s">
        <v>451</v>
      </c>
      <c r="E192" s="326" t="str">
        <f>IFERROR(VLOOKUP(A192,Estimate!A:Q,17,FALSE)," ")</f>
        <v xml:space="preserve"> </v>
      </c>
      <c r="F192" s="305" t="s">
        <v>448</v>
      </c>
      <c r="G192" s="305" t="s">
        <v>448</v>
      </c>
      <c r="H192" s="304" t="s">
        <v>448</v>
      </c>
      <c r="I192" s="304">
        <v>116975.25</v>
      </c>
      <c r="J192" s="304" t="s">
        <v>448</v>
      </c>
      <c r="K192" s="304"/>
      <c r="L192" s="305" t="s">
        <v>448</v>
      </c>
      <c r="M192" s="301" t="str">
        <f t="shared" si="810"/>
        <v xml:space="preserve"> </v>
      </c>
      <c r="N192" s="305" t="s">
        <v>448</v>
      </c>
      <c r="O192" s="301" t="str">
        <f t="shared" si="810"/>
        <v xml:space="preserve"> </v>
      </c>
      <c r="P192" s="305" t="s">
        <v>448</v>
      </c>
      <c r="Q192" s="301" t="str">
        <f t="shared" ref="Q192" si="1167">IFERROR(P192/$G192," ")</f>
        <v xml:space="preserve"> </v>
      </c>
      <c r="R192" s="305" t="s">
        <v>448</v>
      </c>
      <c r="S192" s="301" t="str">
        <f t="shared" ref="S192" si="1168">IFERROR(R192/$G192," ")</f>
        <v xml:space="preserve"> </v>
      </c>
      <c r="T192" s="305" t="s">
        <v>448</v>
      </c>
      <c r="U192" s="301" t="str">
        <f t="shared" ref="U192" si="1169">IFERROR(T192/$G192," ")</f>
        <v xml:space="preserve"> </v>
      </c>
      <c r="V192" s="305" t="s">
        <v>448</v>
      </c>
      <c r="W192" s="301" t="str">
        <f t="shared" ref="W192" si="1170">IFERROR(V192/$G192," ")</f>
        <v xml:space="preserve"> </v>
      </c>
      <c r="X192" s="305" t="s">
        <v>448</v>
      </c>
      <c r="Y192" s="301" t="str">
        <f t="shared" ref="Y192" si="1171">IFERROR(X192/$G192," ")</f>
        <v xml:space="preserve"> </v>
      </c>
      <c r="Z192" s="305" t="s">
        <v>448</v>
      </c>
      <c r="AA192" s="301" t="str">
        <f t="shared" ref="AA192" si="1172">IFERROR(Z192/$G192," ")</f>
        <v xml:space="preserve"> </v>
      </c>
      <c r="AB192" s="292"/>
      <c r="AC192" s="279" t="str">
        <f t="shared" si="1003"/>
        <v xml:space="preserve"> </v>
      </c>
      <c r="AD192" s="279" t="str">
        <f t="shared" si="1004"/>
        <v xml:space="preserve"> </v>
      </c>
      <c r="AE192" s="279" t="str">
        <f t="shared" si="1005"/>
        <v xml:space="preserve"> </v>
      </c>
      <c r="AF192" s="279" t="str">
        <f t="shared" si="1006"/>
        <v xml:space="preserve"> </v>
      </c>
      <c r="AG192" s="279" t="str">
        <f t="shared" si="1007"/>
        <v xml:space="preserve"> </v>
      </c>
      <c r="AH192" s="279" t="str">
        <f t="shared" si="1008"/>
        <v xml:space="preserve"> </v>
      </c>
      <c r="AI192" s="279" t="str">
        <f t="shared" si="1009"/>
        <v xml:space="preserve"> </v>
      </c>
      <c r="AJ192" s="279" t="str">
        <f t="shared" si="1010"/>
        <v xml:space="preserve"> </v>
      </c>
    </row>
    <row r="193" spans="1:36" x14ac:dyDescent="0.65">
      <c r="A193" s="203"/>
      <c r="B193" s="292" t="s">
        <v>1069</v>
      </c>
      <c r="C193" s="276" t="s">
        <v>448</v>
      </c>
      <c r="D193" s="292" t="s">
        <v>451</v>
      </c>
      <c r="E193" s="321" t="str">
        <f>IFERROR(VLOOKUP(A193,Estimate!A:Q,17,FALSE)," ")</f>
        <v xml:space="preserve"> </v>
      </c>
      <c r="F193" s="299" t="s">
        <v>448</v>
      </c>
      <c r="G193" s="299" t="s">
        <v>448</v>
      </c>
      <c r="H193" s="298" t="s">
        <v>448</v>
      </c>
      <c r="I193" s="298" t="s">
        <v>448</v>
      </c>
      <c r="J193" s="298" t="s">
        <v>448</v>
      </c>
      <c r="K193" s="298"/>
      <c r="L193" s="299" t="s">
        <v>448</v>
      </c>
      <c r="M193" s="301" t="str">
        <f t="shared" si="810"/>
        <v xml:space="preserve"> </v>
      </c>
      <c r="N193" s="299" t="s">
        <v>448</v>
      </c>
      <c r="O193" s="301" t="str">
        <f t="shared" si="810"/>
        <v xml:space="preserve"> </v>
      </c>
      <c r="P193" s="299" t="s">
        <v>448</v>
      </c>
      <c r="Q193" s="301" t="str">
        <f t="shared" ref="Q193" si="1173">IFERROR(P193/$G193," ")</f>
        <v xml:space="preserve"> </v>
      </c>
      <c r="R193" s="299" t="s">
        <v>448</v>
      </c>
      <c r="S193" s="301" t="str">
        <f t="shared" ref="S193" si="1174">IFERROR(R193/$G193," ")</f>
        <v xml:space="preserve"> </v>
      </c>
      <c r="T193" s="299" t="s">
        <v>448</v>
      </c>
      <c r="U193" s="301" t="str">
        <f t="shared" ref="U193" si="1175">IFERROR(T193/$G193," ")</f>
        <v xml:space="preserve"> </v>
      </c>
      <c r="V193" s="299" t="s">
        <v>448</v>
      </c>
      <c r="W193" s="301" t="str">
        <f t="shared" ref="W193" si="1176">IFERROR(V193/$G193," ")</f>
        <v xml:space="preserve"> </v>
      </c>
      <c r="X193" s="299" t="s">
        <v>448</v>
      </c>
      <c r="Y193" s="301" t="str">
        <f t="shared" ref="Y193" si="1177">IFERROR(X193/$G193," ")</f>
        <v xml:space="preserve"> </v>
      </c>
      <c r="Z193" s="299" t="s">
        <v>448</v>
      </c>
      <c r="AA193" s="301" t="str">
        <f t="shared" ref="AA193" si="1178">IFERROR(Z193/$G193," ")</f>
        <v xml:space="preserve"> </v>
      </c>
      <c r="AB193" s="292"/>
      <c r="AC193" s="279" t="str">
        <f t="shared" si="1003"/>
        <v xml:space="preserve"> </v>
      </c>
      <c r="AD193" s="279" t="str">
        <f t="shared" si="1004"/>
        <v xml:space="preserve"> </v>
      </c>
      <c r="AE193" s="279" t="str">
        <f t="shared" si="1005"/>
        <v xml:space="preserve"> </v>
      </c>
      <c r="AF193" s="279" t="str">
        <f t="shared" si="1006"/>
        <v xml:space="preserve"> </v>
      </c>
      <c r="AG193" s="279" t="str">
        <f t="shared" si="1007"/>
        <v xml:space="preserve"> </v>
      </c>
      <c r="AH193" s="279" t="str">
        <f t="shared" si="1008"/>
        <v xml:space="preserve"> </v>
      </c>
      <c r="AI193" s="279" t="str">
        <f t="shared" si="1009"/>
        <v xml:space="preserve"> </v>
      </c>
      <c r="AJ193" s="279" t="str">
        <f t="shared" si="1010"/>
        <v xml:space="preserve"> </v>
      </c>
    </row>
    <row r="194" spans="1:36" x14ac:dyDescent="0.65">
      <c r="A194" s="203"/>
      <c r="B194" s="292">
        <v>3</v>
      </c>
      <c r="C194" s="276" t="s">
        <v>1201</v>
      </c>
      <c r="D194" s="292" t="s">
        <v>451</v>
      </c>
      <c r="E194" s="321" t="str">
        <f>IFERROR(VLOOKUP(A194,Estimate!A:Q,17,FALSE)," ")</f>
        <v xml:space="preserve"> </v>
      </c>
      <c r="F194" s="299" t="s">
        <v>448</v>
      </c>
      <c r="G194" s="299" t="s">
        <v>448</v>
      </c>
      <c r="H194" s="298" t="s">
        <v>448</v>
      </c>
      <c r="I194" s="298" t="s">
        <v>448</v>
      </c>
      <c r="J194" s="298" t="s">
        <v>448</v>
      </c>
      <c r="K194" s="298"/>
      <c r="L194" s="299" t="s">
        <v>448</v>
      </c>
      <c r="M194" s="301" t="str">
        <f t="shared" si="810"/>
        <v xml:space="preserve"> </v>
      </c>
      <c r="N194" s="299" t="s">
        <v>448</v>
      </c>
      <c r="O194" s="301" t="str">
        <f t="shared" si="810"/>
        <v xml:space="preserve"> </v>
      </c>
      <c r="P194" s="299" t="s">
        <v>448</v>
      </c>
      <c r="Q194" s="301" t="str">
        <f t="shared" ref="Q194" si="1179">IFERROR(P194/$G194," ")</f>
        <v xml:space="preserve"> </v>
      </c>
      <c r="R194" s="299" t="s">
        <v>448</v>
      </c>
      <c r="S194" s="301" t="str">
        <f t="shared" ref="S194" si="1180">IFERROR(R194/$G194," ")</f>
        <v xml:space="preserve"> </v>
      </c>
      <c r="T194" s="299" t="s">
        <v>448</v>
      </c>
      <c r="U194" s="301" t="str">
        <f t="shared" ref="U194" si="1181">IFERROR(T194/$G194," ")</f>
        <v xml:space="preserve"> </v>
      </c>
      <c r="V194" s="299" t="s">
        <v>448</v>
      </c>
      <c r="W194" s="301" t="str">
        <f t="shared" ref="W194" si="1182">IFERROR(V194/$G194," ")</f>
        <v xml:space="preserve"> </v>
      </c>
      <c r="X194" s="299" t="s">
        <v>448</v>
      </c>
      <c r="Y194" s="301" t="str">
        <f t="shared" ref="Y194" si="1183">IFERROR(X194/$G194," ")</f>
        <v xml:space="preserve"> </v>
      </c>
      <c r="Z194" s="299" t="s">
        <v>448</v>
      </c>
      <c r="AA194" s="301" t="str">
        <f t="shared" ref="AA194" si="1184">IFERROR(Z194/$G194," ")</f>
        <v xml:space="preserve"> </v>
      </c>
      <c r="AB194" s="292"/>
      <c r="AC194" s="279" t="str">
        <f t="shared" si="1003"/>
        <v xml:space="preserve"> </v>
      </c>
      <c r="AD194" s="279" t="str">
        <f t="shared" si="1004"/>
        <v xml:space="preserve"> </v>
      </c>
      <c r="AE194" s="279" t="str">
        <f t="shared" si="1005"/>
        <v xml:space="preserve"> </v>
      </c>
      <c r="AF194" s="279" t="str">
        <f t="shared" si="1006"/>
        <v xml:space="preserve"> </v>
      </c>
      <c r="AG194" s="279" t="str">
        <f t="shared" si="1007"/>
        <v xml:space="preserve"> </v>
      </c>
      <c r="AH194" s="279" t="str">
        <f t="shared" si="1008"/>
        <v xml:space="preserve"> </v>
      </c>
      <c r="AI194" s="279" t="str">
        <f t="shared" si="1009"/>
        <v xml:space="preserve"> </v>
      </c>
      <c r="AJ194" s="279" t="str">
        <f t="shared" si="1010"/>
        <v xml:space="preserve"> </v>
      </c>
    </row>
    <row r="195" spans="1:36" ht="42.75" x14ac:dyDescent="0.65">
      <c r="A195" s="203"/>
      <c r="B195" s="292">
        <v>3.3</v>
      </c>
      <c r="C195" s="276" t="s">
        <v>1202</v>
      </c>
      <c r="D195" s="292" t="s">
        <v>1169</v>
      </c>
      <c r="E195" s="321" t="str">
        <f>IFERROR(VLOOKUP(A195,Estimate!A:Q,17,FALSE)," ")</f>
        <v xml:space="preserve"> </v>
      </c>
      <c r="F195" s="299">
        <v>1</v>
      </c>
      <c r="G195" s="299">
        <v>1</v>
      </c>
      <c r="H195" s="298">
        <v>39100</v>
      </c>
      <c r="I195" s="298">
        <v>39100</v>
      </c>
      <c r="J195" s="298">
        <v>39100</v>
      </c>
      <c r="K195" s="298"/>
      <c r="L195" s="299">
        <v>0.35799999999999998</v>
      </c>
      <c r="M195" s="301">
        <f t="shared" si="810"/>
        <v>0.35799999999999998</v>
      </c>
      <c r="N195" s="299">
        <v>0.35799999999999998</v>
      </c>
      <c r="O195" s="301">
        <f t="shared" si="810"/>
        <v>0.35799999999999998</v>
      </c>
      <c r="P195" s="299">
        <v>0.42309999999999998</v>
      </c>
      <c r="Q195" s="301">
        <f t="shared" ref="Q195" si="1185">IFERROR(P195/$G195," ")</f>
        <v>0.42309999999999998</v>
      </c>
      <c r="R195" s="299">
        <v>0.42309999999999998</v>
      </c>
      <c r="S195" s="301">
        <f t="shared" ref="S195" si="1186">IFERROR(R195/$G195," ")</f>
        <v>0.42309999999999998</v>
      </c>
      <c r="T195" s="299">
        <v>0.42309999999999998</v>
      </c>
      <c r="U195" s="301">
        <f t="shared" ref="U195" si="1187">IFERROR(T195/$G195," ")</f>
        <v>0.42309999999999998</v>
      </c>
      <c r="V195" s="299">
        <v>0.52539999999999998</v>
      </c>
      <c r="W195" s="301">
        <f t="shared" ref="W195" si="1188">IFERROR(V195/$G195," ")</f>
        <v>0.52539999999999998</v>
      </c>
      <c r="X195" s="299">
        <v>0.52539999999999998</v>
      </c>
      <c r="Y195" s="301">
        <f t="shared" ref="Y195" si="1189">IFERROR(X195/$G195," ")</f>
        <v>0.52539999999999998</v>
      </c>
      <c r="Z195" s="299">
        <v>0.52539999999999998</v>
      </c>
      <c r="AA195" s="301">
        <f t="shared" ref="AA195" si="1190">IFERROR(Z195/$G195," ")</f>
        <v>0.52539999999999998</v>
      </c>
      <c r="AB195" s="292"/>
      <c r="AC195" s="279">
        <f t="shared" si="1003"/>
        <v>13997.8</v>
      </c>
      <c r="AD195" s="279">
        <f t="shared" si="1004"/>
        <v>13997.8</v>
      </c>
      <c r="AE195" s="279">
        <f t="shared" si="1005"/>
        <v>16543.21</v>
      </c>
      <c r="AF195" s="279">
        <f t="shared" si="1006"/>
        <v>16543.21</v>
      </c>
      <c r="AG195" s="279">
        <f t="shared" si="1007"/>
        <v>16543.21</v>
      </c>
      <c r="AH195" s="279">
        <f t="shared" si="1008"/>
        <v>20543.14</v>
      </c>
      <c r="AI195" s="279">
        <f t="shared" si="1009"/>
        <v>20543.14</v>
      </c>
      <c r="AJ195" s="279">
        <f t="shared" si="1010"/>
        <v>20543.14</v>
      </c>
    </row>
    <row r="196" spans="1:36" x14ac:dyDescent="0.65">
      <c r="A196" s="203"/>
      <c r="B196" s="302" t="s">
        <v>1069</v>
      </c>
      <c r="C196" s="303" t="s">
        <v>1203</v>
      </c>
      <c r="D196" s="302" t="s">
        <v>451</v>
      </c>
      <c r="E196" s="326" t="str">
        <f>IFERROR(VLOOKUP(A196,Estimate!A:Q,17,FALSE)," ")</f>
        <v xml:space="preserve"> </v>
      </c>
      <c r="F196" s="305" t="s">
        <v>448</v>
      </c>
      <c r="G196" s="305" t="s">
        <v>448</v>
      </c>
      <c r="H196" s="304" t="s">
        <v>448</v>
      </c>
      <c r="I196" s="304">
        <v>39100</v>
      </c>
      <c r="J196" s="304" t="s">
        <v>448</v>
      </c>
      <c r="K196" s="304"/>
      <c r="L196" s="305" t="s">
        <v>448</v>
      </c>
      <c r="M196" s="301" t="str">
        <f t="shared" si="810"/>
        <v xml:space="preserve"> </v>
      </c>
      <c r="N196" s="305" t="s">
        <v>448</v>
      </c>
      <c r="O196" s="301" t="str">
        <f t="shared" si="810"/>
        <v xml:space="preserve"> </v>
      </c>
      <c r="P196" s="305" t="s">
        <v>448</v>
      </c>
      <c r="Q196" s="301" t="str">
        <f t="shared" ref="Q196" si="1191">IFERROR(P196/$G196," ")</f>
        <v xml:space="preserve"> </v>
      </c>
      <c r="R196" s="305" t="s">
        <v>448</v>
      </c>
      <c r="S196" s="301" t="str">
        <f t="shared" ref="S196" si="1192">IFERROR(R196/$G196," ")</f>
        <v xml:space="preserve"> </v>
      </c>
      <c r="T196" s="305" t="s">
        <v>448</v>
      </c>
      <c r="U196" s="301" t="str">
        <f t="shared" ref="U196" si="1193">IFERROR(T196/$G196," ")</f>
        <v xml:space="preserve"> </v>
      </c>
      <c r="V196" s="305" t="s">
        <v>448</v>
      </c>
      <c r="W196" s="301" t="str">
        <f t="shared" ref="W196" si="1194">IFERROR(V196/$G196," ")</f>
        <v xml:space="preserve"> </v>
      </c>
      <c r="X196" s="305" t="s">
        <v>448</v>
      </c>
      <c r="Y196" s="301" t="str">
        <f t="shared" ref="Y196" si="1195">IFERROR(X196/$G196," ")</f>
        <v xml:space="preserve"> </v>
      </c>
      <c r="Z196" s="305" t="s">
        <v>448</v>
      </c>
      <c r="AA196" s="301" t="str">
        <f t="shared" ref="AA196" si="1196">IFERROR(Z196/$G196," ")</f>
        <v xml:space="preserve"> </v>
      </c>
      <c r="AB196" s="292"/>
      <c r="AC196" s="279" t="str">
        <f t="shared" si="1003"/>
        <v xml:space="preserve"> </v>
      </c>
      <c r="AD196" s="279" t="str">
        <f t="shared" si="1004"/>
        <v xml:space="preserve"> </v>
      </c>
      <c r="AE196" s="279" t="str">
        <f t="shared" si="1005"/>
        <v xml:space="preserve"> </v>
      </c>
      <c r="AF196" s="279" t="str">
        <f t="shared" si="1006"/>
        <v xml:space="preserve"> </v>
      </c>
      <c r="AG196" s="279" t="str">
        <f t="shared" si="1007"/>
        <v xml:space="preserve"> </v>
      </c>
      <c r="AH196" s="279" t="str">
        <f t="shared" si="1008"/>
        <v xml:space="preserve"> </v>
      </c>
      <c r="AI196" s="279" t="str">
        <f t="shared" si="1009"/>
        <v xml:space="preserve"> </v>
      </c>
      <c r="AJ196" s="279" t="str">
        <f t="shared" si="1010"/>
        <v xml:space="preserve"> </v>
      </c>
    </row>
    <row r="197" spans="1:36" x14ac:dyDescent="0.65">
      <c r="A197" s="203"/>
      <c r="B197" s="292" t="s">
        <v>1069</v>
      </c>
      <c r="C197" s="276" t="s">
        <v>448</v>
      </c>
      <c r="D197" s="292" t="s">
        <v>451</v>
      </c>
      <c r="E197" s="321" t="str">
        <f>IFERROR(VLOOKUP(A197,Estimate!A:Q,17,FALSE)," ")</f>
        <v xml:space="preserve"> </v>
      </c>
      <c r="F197" s="299" t="s">
        <v>448</v>
      </c>
      <c r="G197" s="299" t="s">
        <v>448</v>
      </c>
      <c r="H197" s="298" t="s">
        <v>448</v>
      </c>
      <c r="I197" s="298" t="s">
        <v>448</v>
      </c>
      <c r="J197" s="298" t="s">
        <v>448</v>
      </c>
      <c r="K197" s="298"/>
      <c r="L197" s="299" t="s">
        <v>448</v>
      </c>
      <c r="M197" s="301" t="str">
        <f t="shared" si="810"/>
        <v xml:space="preserve"> </v>
      </c>
      <c r="N197" s="299" t="s">
        <v>448</v>
      </c>
      <c r="O197" s="301" t="str">
        <f t="shared" si="810"/>
        <v xml:space="preserve"> </v>
      </c>
      <c r="P197" s="299" t="s">
        <v>448</v>
      </c>
      <c r="Q197" s="301" t="str">
        <f t="shared" ref="Q197" si="1197">IFERROR(P197/$G197," ")</f>
        <v xml:space="preserve"> </v>
      </c>
      <c r="R197" s="299" t="s">
        <v>448</v>
      </c>
      <c r="S197" s="301" t="str">
        <f t="shared" ref="S197" si="1198">IFERROR(R197/$G197," ")</f>
        <v xml:space="preserve"> </v>
      </c>
      <c r="T197" s="299" t="s">
        <v>448</v>
      </c>
      <c r="U197" s="301" t="str">
        <f t="shared" ref="U197" si="1199">IFERROR(T197/$G197," ")</f>
        <v xml:space="preserve"> </v>
      </c>
      <c r="V197" s="299" t="s">
        <v>448</v>
      </c>
      <c r="W197" s="301" t="str">
        <f t="shared" ref="W197" si="1200">IFERROR(V197/$G197," ")</f>
        <v xml:space="preserve"> </v>
      </c>
      <c r="X197" s="299" t="s">
        <v>448</v>
      </c>
      <c r="Y197" s="301" t="str">
        <f t="shared" ref="Y197" si="1201">IFERROR(X197/$G197," ")</f>
        <v xml:space="preserve"> </v>
      </c>
      <c r="Z197" s="299" t="s">
        <v>448</v>
      </c>
      <c r="AA197" s="301" t="str">
        <f t="shared" ref="AA197" si="1202">IFERROR(Z197/$G197," ")</f>
        <v xml:space="preserve"> </v>
      </c>
      <c r="AB197" s="292"/>
      <c r="AC197" s="279" t="str">
        <f t="shared" si="1003"/>
        <v xml:space="preserve"> </v>
      </c>
      <c r="AD197" s="279" t="str">
        <f t="shared" si="1004"/>
        <v xml:space="preserve"> </v>
      </c>
      <c r="AE197" s="279" t="str">
        <f t="shared" si="1005"/>
        <v xml:space="preserve"> </v>
      </c>
      <c r="AF197" s="279" t="str">
        <f t="shared" si="1006"/>
        <v xml:space="preserve"> </v>
      </c>
      <c r="AG197" s="279" t="str">
        <f t="shared" si="1007"/>
        <v xml:space="preserve"> </v>
      </c>
      <c r="AH197" s="279" t="str">
        <f t="shared" si="1008"/>
        <v xml:space="preserve"> </v>
      </c>
      <c r="AI197" s="279" t="str">
        <f t="shared" si="1009"/>
        <v xml:space="preserve"> </v>
      </c>
      <c r="AJ197" s="279" t="str">
        <f t="shared" si="1010"/>
        <v xml:space="preserve"> </v>
      </c>
    </row>
    <row r="198" spans="1:36" x14ac:dyDescent="0.65">
      <c r="A198" s="203"/>
      <c r="B198" s="302" t="s">
        <v>1069</v>
      </c>
      <c r="C198" s="303" t="s">
        <v>1200</v>
      </c>
      <c r="D198" s="302" t="s">
        <v>451</v>
      </c>
      <c r="E198" s="326">
        <f>SUBTOTAL(9,E5:E196)</f>
        <v>1426642.6384931523</v>
      </c>
      <c r="F198" s="305" t="s">
        <v>448</v>
      </c>
      <c r="G198" s="305" t="s">
        <v>448</v>
      </c>
      <c r="H198" s="304" t="s">
        <v>448</v>
      </c>
      <c r="I198" s="304">
        <v>163147.62</v>
      </c>
      <c r="J198" s="304" t="s">
        <v>448</v>
      </c>
      <c r="K198" s="304"/>
      <c r="L198" s="305" t="s">
        <v>448</v>
      </c>
      <c r="M198" s="301" t="str">
        <f t="shared" ref="M198:O261" si="1203">IFERROR(L198/$G198," ")</f>
        <v xml:space="preserve"> </v>
      </c>
      <c r="N198" s="305" t="s">
        <v>448</v>
      </c>
      <c r="O198" s="301" t="str">
        <f t="shared" si="1203"/>
        <v xml:space="preserve"> </v>
      </c>
      <c r="P198" s="305" t="s">
        <v>448</v>
      </c>
      <c r="Q198" s="301" t="str">
        <f t="shared" ref="Q198" si="1204">IFERROR(P198/$G198," ")</f>
        <v xml:space="preserve"> </v>
      </c>
      <c r="R198" s="305" t="s">
        <v>448</v>
      </c>
      <c r="S198" s="301" t="str">
        <f t="shared" ref="S198" si="1205">IFERROR(R198/$G198," ")</f>
        <v xml:space="preserve"> </v>
      </c>
      <c r="T198" s="305" t="s">
        <v>448</v>
      </c>
      <c r="U198" s="301" t="str">
        <f t="shared" ref="U198" si="1206">IFERROR(T198/$G198," ")</f>
        <v xml:space="preserve"> </v>
      </c>
      <c r="V198" s="305" t="s">
        <v>448</v>
      </c>
      <c r="W198" s="301" t="str">
        <f t="shared" ref="W198" si="1207">IFERROR(V198/$G198," ")</f>
        <v xml:space="preserve"> </v>
      </c>
      <c r="X198" s="305" t="s">
        <v>448</v>
      </c>
      <c r="Y198" s="301" t="str">
        <f t="shared" ref="Y198" si="1208">IFERROR(X198/$G198," ")</f>
        <v xml:space="preserve"> </v>
      </c>
      <c r="Z198" s="305" t="s">
        <v>448</v>
      </c>
      <c r="AA198" s="301" t="str">
        <f t="shared" ref="AA198" si="1209">IFERROR(Z198/$G198," ")</f>
        <v xml:space="preserve"> </v>
      </c>
      <c r="AB198" s="292"/>
      <c r="AC198" s="279" t="str">
        <f t="shared" si="1003"/>
        <v xml:space="preserve"> </v>
      </c>
      <c r="AD198" s="279" t="str">
        <f t="shared" si="1004"/>
        <v xml:space="preserve"> </v>
      </c>
      <c r="AE198" s="279" t="str">
        <f t="shared" si="1005"/>
        <v xml:space="preserve"> </v>
      </c>
      <c r="AF198" s="279" t="str">
        <f t="shared" si="1006"/>
        <v xml:space="preserve"> </v>
      </c>
      <c r="AG198" s="279" t="str">
        <f t="shared" si="1007"/>
        <v xml:space="preserve"> </v>
      </c>
      <c r="AH198" s="279" t="str">
        <f t="shared" si="1008"/>
        <v xml:space="preserve"> </v>
      </c>
      <c r="AI198" s="279" t="str">
        <f t="shared" si="1009"/>
        <v xml:space="preserve"> </v>
      </c>
      <c r="AJ198" s="279">
        <f>SUBTOTAL(9,AJ5:AJ195)</f>
        <v>1871582.06</v>
      </c>
    </row>
    <row r="199" spans="1:36" x14ac:dyDescent="0.65">
      <c r="A199" s="203"/>
      <c r="B199" s="292" t="s">
        <v>1069</v>
      </c>
      <c r="C199" s="276" t="s">
        <v>448</v>
      </c>
      <c r="D199" s="292" t="s">
        <v>451</v>
      </c>
      <c r="E199" s="321" t="str">
        <f>IFERROR(VLOOKUP(A199,Estimate!A:Q,17,FALSE)," ")</f>
        <v xml:space="preserve"> </v>
      </c>
      <c r="F199" s="299" t="s">
        <v>448</v>
      </c>
      <c r="G199" s="299" t="s">
        <v>448</v>
      </c>
      <c r="H199" s="298" t="s">
        <v>448</v>
      </c>
      <c r="I199" s="298" t="s">
        <v>448</v>
      </c>
      <c r="J199" s="298" t="s">
        <v>448</v>
      </c>
      <c r="K199" s="298"/>
      <c r="L199" s="299" t="s">
        <v>448</v>
      </c>
      <c r="M199" s="301" t="str">
        <f t="shared" si="1203"/>
        <v xml:space="preserve"> </v>
      </c>
      <c r="N199" s="299" t="s">
        <v>448</v>
      </c>
      <c r="O199" s="301" t="str">
        <f t="shared" si="1203"/>
        <v xml:space="preserve"> </v>
      </c>
      <c r="P199" s="299" t="s">
        <v>448</v>
      </c>
      <c r="Q199" s="301" t="str">
        <f t="shared" ref="Q199" si="1210">IFERROR(P199/$G199," ")</f>
        <v xml:space="preserve"> </v>
      </c>
      <c r="R199" s="299" t="s">
        <v>448</v>
      </c>
      <c r="S199" s="301" t="str">
        <f t="shared" ref="S199" si="1211">IFERROR(R199/$G199," ")</f>
        <v xml:space="preserve"> </v>
      </c>
      <c r="T199" s="299" t="s">
        <v>448</v>
      </c>
      <c r="U199" s="301" t="str">
        <f t="shared" ref="U199" si="1212">IFERROR(T199/$G199," ")</f>
        <v xml:space="preserve"> </v>
      </c>
      <c r="V199" s="299" t="s">
        <v>448</v>
      </c>
      <c r="W199" s="301" t="str">
        <f t="shared" ref="W199" si="1213">IFERROR(V199/$G199," ")</f>
        <v xml:space="preserve"> </v>
      </c>
      <c r="X199" s="299" t="s">
        <v>448</v>
      </c>
      <c r="Y199" s="301" t="str">
        <f t="shared" ref="Y199" si="1214">IFERROR(X199/$G199," ")</f>
        <v xml:space="preserve"> </v>
      </c>
      <c r="Z199" s="299" t="s">
        <v>448</v>
      </c>
      <c r="AA199" s="301" t="str">
        <f t="shared" ref="AA199" si="1215">IFERROR(Z199/$G199," ")</f>
        <v xml:space="preserve"> </v>
      </c>
      <c r="AB199" s="292"/>
      <c r="AC199" s="279" t="str">
        <f t="shared" si="1003"/>
        <v xml:space="preserve"> </v>
      </c>
      <c r="AD199" s="279" t="str">
        <f t="shared" si="1004"/>
        <v xml:space="preserve"> </v>
      </c>
      <c r="AE199" s="279" t="str">
        <f t="shared" si="1005"/>
        <v xml:space="preserve"> </v>
      </c>
      <c r="AF199" s="279" t="str">
        <f t="shared" si="1006"/>
        <v xml:space="preserve"> </v>
      </c>
      <c r="AG199" s="279" t="str">
        <f t="shared" si="1007"/>
        <v xml:space="preserve"> </v>
      </c>
      <c r="AH199" s="279" t="str">
        <f t="shared" si="1008"/>
        <v xml:space="preserve"> </v>
      </c>
      <c r="AI199" s="279" t="str">
        <f t="shared" si="1009"/>
        <v xml:space="preserve"> </v>
      </c>
      <c r="AJ199" s="279" t="str">
        <f>IFERROR(AA199*$I199," ")</f>
        <v xml:space="preserve"> </v>
      </c>
    </row>
    <row r="200" spans="1:36" x14ac:dyDescent="0.65">
      <c r="A200" s="203"/>
      <c r="B200" s="292" t="s">
        <v>448</v>
      </c>
      <c r="C200" s="276" t="s">
        <v>448</v>
      </c>
      <c r="D200" s="292" t="s">
        <v>448</v>
      </c>
      <c r="E200" s="321" t="str">
        <f>IFERROR(VLOOKUP(A200,Estimate!A:Q,17,FALSE)," ")</f>
        <v xml:space="preserve"> </v>
      </c>
      <c r="F200" s="299" t="s">
        <v>448</v>
      </c>
      <c r="G200" s="299" t="s">
        <v>448</v>
      </c>
      <c r="H200" s="298" t="s">
        <v>448</v>
      </c>
      <c r="I200" s="298" t="s">
        <v>448</v>
      </c>
      <c r="J200" s="298" t="s">
        <v>448</v>
      </c>
      <c r="K200" s="298"/>
      <c r="L200" s="299" t="s">
        <v>448</v>
      </c>
      <c r="M200" s="301" t="str">
        <f t="shared" si="1203"/>
        <v xml:space="preserve"> </v>
      </c>
      <c r="N200" s="299" t="s">
        <v>448</v>
      </c>
      <c r="O200" s="301" t="str">
        <f t="shared" si="1203"/>
        <v xml:space="preserve"> </v>
      </c>
      <c r="P200" s="299" t="s">
        <v>448</v>
      </c>
      <c r="Q200" s="301" t="str">
        <f t="shared" ref="Q200" si="1216">IFERROR(P200/$G200," ")</f>
        <v xml:space="preserve"> </v>
      </c>
      <c r="R200" s="299" t="s">
        <v>448</v>
      </c>
      <c r="S200" s="301" t="str">
        <f t="shared" ref="S200" si="1217">IFERROR(R200/$G200," ")</f>
        <v xml:space="preserve"> </v>
      </c>
      <c r="T200" s="299" t="s">
        <v>448</v>
      </c>
      <c r="U200" s="301" t="str">
        <f t="shared" ref="U200" si="1218">IFERROR(T200/$G200," ")</f>
        <v xml:space="preserve"> </v>
      </c>
      <c r="V200" s="299" t="s">
        <v>448</v>
      </c>
      <c r="W200" s="301" t="str">
        <f t="shared" ref="W200" si="1219">IFERROR(V200/$G200," ")</f>
        <v xml:space="preserve"> </v>
      </c>
      <c r="X200" s="299" t="s">
        <v>448</v>
      </c>
      <c r="Y200" s="301" t="str">
        <f t="shared" ref="Y200" si="1220">IFERROR(X200/$G200," ")</f>
        <v xml:space="preserve"> </v>
      </c>
      <c r="Z200" s="299" t="s">
        <v>448</v>
      </c>
      <c r="AA200" s="301" t="str">
        <f t="shared" ref="AA200" si="1221">IFERROR(Z200/$G200," ")</f>
        <v xml:space="preserve"> </v>
      </c>
      <c r="AB200" s="292"/>
      <c r="AC200" s="279" t="str">
        <f t="shared" si="1003"/>
        <v xml:space="preserve"> </v>
      </c>
      <c r="AD200" s="279" t="str">
        <f t="shared" si="1004"/>
        <v xml:space="preserve"> </v>
      </c>
      <c r="AE200" s="279" t="str">
        <f t="shared" si="1005"/>
        <v xml:space="preserve"> </v>
      </c>
      <c r="AF200" s="279" t="str">
        <f t="shared" si="1006"/>
        <v xml:space="preserve"> </v>
      </c>
      <c r="AG200" s="279" t="str">
        <f t="shared" si="1007"/>
        <v xml:space="preserve"> </v>
      </c>
      <c r="AH200" s="279" t="str">
        <f t="shared" si="1008"/>
        <v xml:space="preserve"> </v>
      </c>
      <c r="AI200" s="279" t="str">
        <f t="shared" si="1009"/>
        <v xml:space="preserve"> </v>
      </c>
      <c r="AJ200" s="279" t="str">
        <f>IFERROR(AA200*$I200," ")</f>
        <v xml:space="preserve"> </v>
      </c>
    </row>
    <row r="201" spans="1:36" x14ac:dyDescent="0.65">
      <c r="A201" s="203"/>
      <c r="B201" s="292" t="s">
        <v>448</v>
      </c>
      <c r="C201" s="276" t="s">
        <v>448</v>
      </c>
      <c r="D201" s="292" t="s">
        <v>448</v>
      </c>
      <c r="E201" s="321" t="str">
        <f>IFERROR(VLOOKUP(A201,Estimate!A:Q,17,FALSE)," ")</f>
        <v xml:space="preserve"> </v>
      </c>
      <c r="F201" s="299" t="s">
        <v>448</v>
      </c>
      <c r="G201" s="299" t="s">
        <v>448</v>
      </c>
      <c r="H201" s="298" t="s">
        <v>448</v>
      </c>
      <c r="I201" s="298" t="s">
        <v>448</v>
      </c>
      <c r="J201" s="298" t="s">
        <v>448</v>
      </c>
      <c r="K201" s="298"/>
      <c r="L201" s="299" t="s">
        <v>448</v>
      </c>
      <c r="M201" s="301" t="str">
        <f t="shared" si="1203"/>
        <v xml:space="preserve"> </v>
      </c>
      <c r="N201" s="299" t="s">
        <v>448</v>
      </c>
      <c r="O201" s="301" t="str">
        <f t="shared" si="1203"/>
        <v xml:space="preserve"> </v>
      </c>
      <c r="P201" s="299" t="s">
        <v>448</v>
      </c>
      <c r="Q201" s="301" t="str">
        <f t="shared" ref="Q201" si="1222">IFERROR(P201/$G201," ")</f>
        <v xml:space="preserve"> </v>
      </c>
      <c r="R201" s="299" t="s">
        <v>448</v>
      </c>
      <c r="S201" s="301" t="str">
        <f t="shared" ref="S201" si="1223">IFERROR(R201/$G201," ")</f>
        <v xml:space="preserve"> </v>
      </c>
      <c r="T201" s="299" t="s">
        <v>448</v>
      </c>
      <c r="U201" s="301" t="str">
        <f t="shared" ref="U201" si="1224">IFERROR(T201/$G201," ")</f>
        <v xml:space="preserve"> </v>
      </c>
      <c r="V201" s="299" t="s">
        <v>448</v>
      </c>
      <c r="W201" s="301" t="str">
        <f t="shared" ref="W201" si="1225">IFERROR(V201/$G201," ")</f>
        <v xml:space="preserve"> </v>
      </c>
      <c r="X201" s="299" t="s">
        <v>448</v>
      </c>
      <c r="Y201" s="301" t="str">
        <f t="shared" ref="Y201" si="1226">IFERROR(X201/$G201," ")</f>
        <v xml:space="preserve"> </v>
      </c>
      <c r="Z201" s="299" t="s">
        <v>448</v>
      </c>
      <c r="AA201" s="301" t="str">
        <f t="shared" ref="AA201" si="1227">IFERROR(Z201/$G201," ")</f>
        <v xml:space="preserve"> </v>
      </c>
      <c r="AB201" s="292"/>
      <c r="AC201" s="279" t="str">
        <f t="shared" si="1003"/>
        <v xml:space="preserve"> </v>
      </c>
      <c r="AD201" s="279" t="str">
        <f t="shared" si="1004"/>
        <v xml:space="preserve"> </v>
      </c>
      <c r="AE201" s="279" t="str">
        <f t="shared" si="1005"/>
        <v xml:space="preserve"> </v>
      </c>
      <c r="AF201" s="279" t="str">
        <f t="shared" si="1006"/>
        <v xml:space="preserve"> </v>
      </c>
      <c r="AG201" s="279" t="str">
        <f t="shared" si="1007"/>
        <v xml:space="preserve"> </v>
      </c>
      <c r="AH201" s="279" t="str">
        <f t="shared" si="1008"/>
        <v xml:space="preserve"> </v>
      </c>
      <c r="AI201" s="279" t="str">
        <f t="shared" si="1009"/>
        <v xml:space="preserve"> </v>
      </c>
      <c r="AJ201" s="279" t="str">
        <f>IFERROR(AA201*$I201," ")</f>
        <v xml:space="preserve"> </v>
      </c>
    </row>
    <row r="202" spans="1:36" x14ac:dyDescent="0.65">
      <c r="A202" s="203"/>
      <c r="B202" s="293" t="s">
        <v>448</v>
      </c>
      <c r="C202" s="294" t="s">
        <v>1204</v>
      </c>
      <c r="D202" s="293" t="s">
        <v>448</v>
      </c>
      <c r="E202" s="325" t="s">
        <v>448</v>
      </c>
      <c r="F202" s="296" t="s">
        <v>448</v>
      </c>
      <c r="G202" s="296" t="s">
        <v>448</v>
      </c>
      <c r="H202" s="295" t="s">
        <v>448</v>
      </c>
      <c r="I202" s="295" t="s">
        <v>448</v>
      </c>
      <c r="J202" s="295" t="s">
        <v>448</v>
      </c>
      <c r="K202" s="295"/>
      <c r="L202" s="296" t="s">
        <v>448</v>
      </c>
      <c r="M202" s="296" t="s">
        <v>448</v>
      </c>
      <c r="N202" s="296" t="s">
        <v>448</v>
      </c>
      <c r="O202" s="296" t="s">
        <v>448</v>
      </c>
      <c r="P202" s="296" t="s">
        <v>448</v>
      </c>
      <c r="Q202" s="296" t="s">
        <v>448</v>
      </c>
      <c r="R202" s="296" t="s">
        <v>448</v>
      </c>
      <c r="S202" s="296" t="s">
        <v>448</v>
      </c>
      <c r="T202" s="296" t="s">
        <v>448</v>
      </c>
      <c r="U202" s="296" t="s">
        <v>448</v>
      </c>
      <c r="V202" s="296" t="s">
        <v>448</v>
      </c>
      <c r="W202" s="296" t="s">
        <v>448</v>
      </c>
      <c r="X202" s="296" t="s">
        <v>448</v>
      </c>
      <c r="Y202" s="296" t="s">
        <v>448</v>
      </c>
      <c r="Z202" s="296" t="s">
        <v>448</v>
      </c>
      <c r="AA202" s="296" t="s">
        <v>448</v>
      </c>
      <c r="AB202" s="296" t="s">
        <v>448</v>
      </c>
      <c r="AC202" s="296" t="s">
        <v>448</v>
      </c>
      <c r="AD202" s="296" t="s">
        <v>448</v>
      </c>
      <c r="AE202" s="296" t="s">
        <v>448</v>
      </c>
      <c r="AF202" s="296" t="s">
        <v>448</v>
      </c>
      <c r="AG202" s="296" t="s">
        <v>448</v>
      </c>
      <c r="AH202" s="296" t="s">
        <v>448</v>
      </c>
      <c r="AI202" s="296" t="s">
        <v>448</v>
      </c>
      <c r="AJ202" s="296" t="s">
        <v>448</v>
      </c>
    </row>
    <row r="203" spans="1:36" x14ac:dyDescent="0.65">
      <c r="A203" s="203"/>
      <c r="B203" s="292" t="s">
        <v>448</v>
      </c>
      <c r="C203" s="276" t="s">
        <v>448</v>
      </c>
      <c r="D203" s="292" t="s">
        <v>448</v>
      </c>
      <c r="E203" s="321" t="str">
        <f>IFERROR(VLOOKUP(A203,Estimate!A:Q,17,FALSE)," ")</f>
        <v xml:space="preserve"> </v>
      </c>
      <c r="F203" s="299" t="s">
        <v>448</v>
      </c>
      <c r="G203" s="299" t="s">
        <v>448</v>
      </c>
      <c r="H203" s="298" t="s">
        <v>448</v>
      </c>
      <c r="I203" s="298" t="s">
        <v>448</v>
      </c>
      <c r="J203" s="298" t="s">
        <v>448</v>
      </c>
      <c r="K203" s="298"/>
      <c r="L203" s="299" t="s">
        <v>448</v>
      </c>
      <c r="M203" s="301" t="str">
        <f t="shared" si="1203"/>
        <v xml:space="preserve"> </v>
      </c>
      <c r="N203" s="299" t="s">
        <v>448</v>
      </c>
      <c r="O203" s="301" t="str">
        <f t="shared" si="1203"/>
        <v xml:space="preserve"> </v>
      </c>
      <c r="P203" s="299" t="s">
        <v>448</v>
      </c>
      <c r="Q203" s="301" t="str">
        <f t="shared" ref="Q203" si="1228">IFERROR(P203/$G203," ")</f>
        <v xml:space="preserve"> </v>
      </c>
      <c r="R203" s="299" t="s">
        <v>448</v>
      </c>
      <c r="S203" s="301" t="str">
        <f t="shared" ref="S203" si="1229">IFERROR(R203/$G203," ")</f>
        <v xml:space="preserve"> </v>
      </c>
      <c r="T203" s="299" t="s">
        <v>448</v>
      </c>
      <c r="U203" s="301" t="str">
        <f t="shared" ref="U203" si="1230">IFERROR(T203/$G203," ")</f>
        <v xml:space="preserve"> </v>
      </c>
      <c r="V203" s="299" t="s">
        <v>448</v>
      </c>
      <c r="W203" s="301" t="str">
        <f t="shared" ref="W203" si="1231">IFERROR(V203/$G203," ")</f>
        <v xml:space="preserve"> </v>
      </c>
      <c r="X203" s="299" t="s">
        <v>448</v>
      </c>
      <c r="Y203" s="301" t="str">
        <f t="shared" ref="Y203" si="1232">IFERROR(X203/$G203," ")</f>
        <v xml:space="preserve"> </v>
      </c>
      <c r="Z203" s="299" t="s">
        <v>448</v>
      </c>
      <c r="AA203" s="301" t="str">
        <f t="shared" ref="AA203" si="1233">IFERROR(Z203/$G203," ")</f>
        <v xml:space="preserve"> </v>
      </c>
      <c r="AB203" s="292"/>
      <c r="AC203" s="279" t="str">
        <f t="shared" ref="AC203:AC234" si="1234">IFERROR(M203*$I203," ")</f>
        <v xml:space="preserve"> </v>
      </c>
      <c r="AD203" s="279" t="str">
        <f t="shared" ref="AD203:AD234" si="1235">IFERROR(O203*$I203," ")</f>
        <v xml:space="preserve"> </v>
      </c>
      <c r="AE203" s="279" t="str">
        <f t="shared" ref="AE203:AE234" si="1236">IFERROR(Q203*$I203," ")</f>
        <v xml:space="preserve"> </v>
      </c>
      <c r="AF203" s="279" t="str">
        <f t="shared" ref="AF203:AF234" si="1237">IFERROR(S203*$I203," ")</f>
        <v xml:space="preserve"> </v>
      </c>
      <c r="AG203" s="279" t="str">
        <f t="shared" ref="AG203:AG234" si="1238">IFERROR(U203*$I203," ")</f>
        <v xml:space="preserve"> </v>
      </c>
      <c r="AH203" s="279" t="str">
        <f t="shared" ref="AH203:AH234" si="1239">IFERROR(W203*$I203," ")</f>
        <v xml:space="preserve"> </v>
      </c>
      <c r="AI203" s="279" t="str">
        <f t="shared" ref="AI203:AI234" si="1240">IFERROR(Y203*$I203," ")</f>
        <v xml:space="preserve"> </v>
      </c>
      <c r="AJ203" s="279" t="str">
        <f t="shared" ref="AJ203:AJ234" si="1241">IFERROR(AA203*$I203," ")</f>
        <v xml:space="preserve"> </v>
      </c>
    </row>
    <row r="204" spans="1:36" x14ac:dyDescent="0.65">
      <c r="A204" s="203"/>
      <c r="B204" s="292" t="s">
        <v>1205</v>
      </c>
      <c r="C204" s="276" t="s">
        <v>1206</v>
      </c>
      <c r="D204" s="292" t="s">
        <v>79</v>
      </c>
      <c r="E204" s="321"/>
      <c r="F204" s="299">
        <v>1</v>
      </c>
      <c r="G204" s="299">
        <v>1</v>
      </c>
      <c r="H204" s="298">
        <v>-99682.79</v>
      </c>
      <c r="I204" s="298">
        <v>-99682.79</v>
      </c>
      <c r="J204" s="298">
        <v>-99682.79</v>
      </c>
      <c r="K204" s="298"/>
      <c r="L204" s="299"/>
      <c r="M204" s="301">
        <f t="shared" si="1203"/>
        <v>0</v>
      </c>
      <c r="N204" s="299">
        <v>1</v>
      </c>
      <c r="O204" s="301">
        <f t="shared" si="1203"/>
        <v>1</v>
      </c>
      <c r="P204" s="299">
        <v>1</v>
      </c>
      <c r="Q204" s="301">
        <f t="shared" ref="Q204" si="1242">IFERROR(P204/$G204," ")</f>
        <v>1</v>
      </c>
      <c r="R204" s="299">
        <v>1</v>
      </c>
      <c r="S204" s="301">
        <f t="shared" ref="S204" si="1243">IFERROR(R204/$G204," ")</f>
        <v>1</v>
      </c>
      <c r="T204" s="299">
        <v>1</v>
      </c>
      <c r="U204" s="301">
        <f t="shared" ref="U204" si="1244">IFERROR(T204/$G204," ")</f>
        <v>1</v>
      </c>
      <c r="V204" s="299">
        <v>1</v>
      </c>
      <c r="W204" s="301">
        <f t="shared" ref="W204" si="1245">IFERROR(V204/$G204," ")</f>
        <v>1</v>
      </c>
      <c r="X204" s="299">
        <v>1</v>
      </c>
      <c r="Y204" s="301">
        <f t="shared" ref="Y204" si="1246">IFERROR(X204/$G204," ")</f>
        <v>1</v>
      </c>
      <c r="Z204" s="299">
        <v>1</v>
      </c>
      <c r="AA204" s="301">
        <f t="shared" ref="AA204" si="1247">IFERROR(Z204/$G204," ")</f>
        <v>1</v>
      </c>
      <c r="AB204" s="292"/>
      <c r="AC204" s="279">
        <f t="shared" si="1234"/>
        <v>0</v>
      </c>
      <c r="AD204" s="279">
        <f t="shared" si="1235"/>
        <v>-99682.79</v>
      </c>
      <c r="AE204" s="279">
        <f t="shared" si="1236"/>
        <v>-99682.79</v>
      </c>
      <c r="AF204" s="279">
        <f t="shared" si="1237"/>
        <v>-99682.79</v>
      </c>
      <c r="AG204" s="279">
        <f t="shared" si="1238"/>
        <v>-99682.79</v>
      </c>
      <c r="AH204" s="279">
        <f t="shared" si="1239"/>
        <v>-99682.79</v>
      </c>
      <c r="AI204" s="279">
        <f t="shared" si="1240"/>
        <v>-99682.79</v>
      </c>
      <c r="AJ204" s="279">
        <f t="shared" si="1241"/>
        <v>-99682.79</v>
      </c>
    </row>
    <row r="205" spans="1:36" ht="28.5" x14ac:dyDescent="0.65">
      <c r="A205" s="203">
        <v>159</v>
      </c>
      <c r="B205" s="292" t="s">
        <v>446</v>
      </c>
      <c r="C205" s="276" t="s">
        <v>447</v>
      </c>
      <c r="D205" s="292" t="s">
        <v>79</v>
      </c>
      <c r="E205" s="321">
        <f>IFERROR(VLOOKUP(A205,Estimate!A:Q,17,FALSE)," ")</f>
        <v>2728</v>
      </c>
      <c r="F205" s="299">
        <v>1</v>
      </c>
      <c r="G205" s="299">
        <v>1</v>
      </c>
      <c r="H205" s="298">
        <v>3375.9</v>
      </c>
      <c r="I205" s="298">
        <v>3375.9</v>
      </c>
      <c r="J205" s="298">
        <v>3375.9</v>
      </c>
      <c r="K205" s="298"/>
      <c r="L205" s="299">
        <v>1</v>
      </c>
      <c r="M205" s="301">
        <f t="shared" si="1203"/>
        <v>1</v>
      </c>
      <c r="N205" s="299">
        <v>1</v>
      </c>
      <c r="O205" s="301">
        <f t="shared" si="1203"/>
        <v>1</v>
      </c>
      <c r="P205" s="299">
        <v>1</v>
      </c>
      <c r="Q205" s="301">
        <f t="shared" ref="Q205" si="1248">IFERROR(P205/$G205," ")</f>
        <v>1</v>
      </c>
      <c r="R205" s="299">
        <v>1</v>
      </c>
      <c r="S205" s="301">
        <f t="shared" ref="S205" si="1249">IFERROR(R205/$G205," ")</f>
        <v>1</v>
      </c>
      <c r="T205" s="299">
        <v>1</v>
      </c>
      <c r="U205" s="301">
        <f t="shared" ref="U205" si="1250">IFERROR(T205/$G205," ")</f>
        <v>1</v>
      </c>
      <c r="V205" s="299">
        <v>1</v>
      </c>
      <c r="W205" s="301">
        <f t="shared" ref="W205" si="1251">IFERROR(V205/$G205," ")</f>
        <v>1</v>
      </c>
      <c r="X205" s="299">
        <v>1</v>
      </c>
      <c r="Y205" s="301">
        <f t="shared" ref="Y205" si="1252">IFERROR(X205/$G205," ")</f>
        <v>1</v>
      </c>
      <c r="Z205" s="299">
        <v>1</v>
      </c>
      <c r="AA205" s="301">
        <f t="shared" ref="AA205" si="1253">IFERROR(Z205/$G205," ")</f>
        <v>1</v>
      </c>
      <c r="AB205" s="292"/>
      <c r="AC205" s="279">
        <f t="shared" si="1234"/>
        <v>3375.9</v>
      </c>
      <c r="AD205" s="279">
        <f t="shared" si="1235"/>
        <v>3375.9</v>
      </c>
      <c r="AE205" s="279">
        <f t="shared" si="1236"/>
        <v>3375.9</v>
      </c>
      <c r="AF205" s="279">
        <f t="shared" si="1237"/>
        <v>3375.9</v>
      </c>
      <c r="AG205" s="279">
        <f t="shared" si="1238"/>
        <v>3375.9</v>
      </c>
      <c r="AH205" s="279">
        <f t="shared" si="1239"/>
        <v>3375.9</v>
      </c>
      <c r="AI205" s="279">
        <f t="shared" si="1240"/>
        <v>3375.9</v>
      </c>
      <c r="AJ205" s="279">
        <f t="shared" si="1241"/>
        <v>3375.9</v>
      </c>
    </row>
    <row r="206" spans="1:36" ht="28.5" x14ac:dyDescent="0.65">
      <c r="A206" s="203">
        <v>162</v>
      </c>
      <c r="B206" s="276" t="s">
        <v>449</v>
      </c>
      <c r="C206" s="276" t="s">
        <v>450</v>
      </c>
      <c r="D206" s="292"/>
      <c r="E206" s="321"/>
      <c r="F206" s="299">
        <v>1</v>
      </c>
      <c r="G206" s="299">
        <f>VLOOKUP(A206,Estimate!A:H,8,FALSE)</f>
        <v>1</v>
      </c>
      <c r="H206" s="298">
        <v>1</v>
      </c>
      <c r="I206" s="298"/>
      <c r="J206" s="298"/>
      <c r="K206" s="298"/>
      <c r="L206" s="299"/>
      <c r="M206" s="301"/>
      <c r="N206" s="299"/>
      <c r="O206" s="301"/>
      <c r="P206" s="299"/>
      <c r="Q206" s="301"/>
      <c r="R206" s="299"/>
      <c r="S206" s="301"/>
      <c r="T206" s="299"/>
      <c r="U206" s="301"/>
      <c r="V206" s="299"/>
      <c r="W206" s="301"/>
      <c r="X206" s="299"/>
      <c r="Y206" s="301"/>
      <c r="Z206" s="299"/>
      <c r="AA206" s="301"/>
      <c r="AB206" s="292"/>
      <c r="AC206" s="279"/>
      <c r="AD206" s="279"/>
      <c r="AE206" s="279"/>
      <c r="AF206" s="279"/>
      <c r="AG206" s="279"/>
      <c r="AH206" s="279"/>
      <c r="AI206" s="279"/>
      <c r="AJ206" s="279"/>
    </row>
    <row r="207" spans="1:36" x14ac:dyDescent="0.65">
      <c r="A207" s="203">
        <v>163</v>
      </c>
      <c r="B207" s="276" t="s">
        <v>452</v>
      </c>
      <c r="C207" s="276" t="s">
        <v>453</v>
      </c>
      <c r="D207" s="299" t="s">
        <v>72</v>
      </c>
      <c r="E207" s="321">
        <f>IFERROR(VLOOKUP(A207,Estimate!A:Q,17,FALSE)," ")</f>
        <v>837.23177605483636</v>
      </c>
      <c r="F207" s="299">
        <v>62</v>
      </c>
      <c r="G207" s="299">
        <f>VLOOKUP(A207,Estimate!A:H,8,FALSE)</f>
        <v>62</v>
      </c>
      <c r="H207" s="298">
        <v>62</v>
      </c>
      <c r="I207" s="298">
        <f>J207</f>
        <v>1067.02</v>
      </c>
      <c r="J207" s="298">
        <v>1067.02</v>
      </c>
      <c r="K207" s="298">
        <f>I207</f>
        <v>1067.02</v>
      </c>
      <c r="L207" s="299"/>
      <c r="M207" s="301">
        <f t="shared" si="1203"/>
        <v>0</v>
      </c>
      <c r="N207" s="299"/>
      <c r="O207" s="301">
        <f t="shared" si="1203"/>
        <v>0</v>
      </c>
      <c r="P207" s="299">
        <v>62</v>
      </c>
      <c r="Q207" s="301">
        <f t="shared" ref="Q207" si="1254">IFERROR(P207/$G207," ")</f>
        <v>1</v>
      </c>
      <c r="R207" s="299">
        <v>62</v>
      </c>
      <c r="S207" s="301">
        <f t="shared" ref="S207" si="1255">IFERROR(R207/$G207," ")</f>
        <v>1</v>
      </c>
      <c r="T207" s="299">
        <v>62</v>
      </c>
      <c r="U207" s="301">
        <f t="shared" ref="U207" si="1256">IFERROR(T207/$G207," ")</f>
        <v>1</v>
      </c>
      <c r="V207" s="299">
        <v>62</v>
      </c>
      <c r="W207" s="301">
        <f t="shared" ref="W207" si="1257">IFERROR(V207/$G207," ")</f>
        <v>1</v>
      </c>
      <c r="X207" s="299">
        <v>62</v>
      </c>
      <c r="Y207" s="301">
        <f t="shared" ref="Y207" si="1258">IFERROR(X207/$G207," ")</f>
        <v>1</v>
      </c>
      <c r="Z207" s="299">
        <v>62</v>
      </c>
      <c r="AA207" s="301">
        <f t="shared" ref="AA207" si="1259">IFERROR(Z207/$G207," ")</f>
        <v>1</v>
      </c>
      <c r="AB207" s="292"/>
      <c r="AC207" s="279">
        <f t="shared" si="1234"/>
        <v>0</v>
      </c>
      <c r="AD207" s="279">
        <f t="shared" si="1235"/>
        <v>0</v>
      </c>
      <c r="AE207" s="279">
        <f t="shared" si="1236"/>
        <v>1067.02</v>
      </c>
      <c r="AF207" s="279">
        <f t="shared" si="1237"/>
        <v>1067.02</v>
      </c>
      <c r="AG207" s="279">
        <f t="shared" si="1238"/>
        <v>1067.02</v>
      </c>
      <c r="AH207" s="279">
        <f t="shared" si="1239"/>
        <v>1067.02</v>
      </c>
      <c r="AI207" s="279">
        <f t="shared" si="1240"/>
        <v>1067.02</v>
      </c>
      <c r="AJ207" s="279">
        <f t="shared" si="1241"/>
        <v>1067.02</v>
      </c>
    </row>
    <row r="208" spans="1:36" x14ac:dyDescent="0.65">
      <c r="A208" s="203">
        <v>164</v>
      </c>
      <c r="B208" s="276" t="s">
        <v>454</v>
      </c>
      <c r="C208" s="276" t="s">
        <v>455</v>
      </c>
      <c r="D208" s="299" t="s">
        <v>83</v>
      </c>
      <c r="E208" s="321">
        <f>IFERROR(VLOOKUP(A208,Estimate!A:Q,17,FALSE)," ")</f>
        <v>162.99682539682539</v>
      </c>
      <c r="F208" s="299">
        <v>80</v>
      </c>
      <c r="G208" s="299">
        <f>VLOOKUP(A208,Estimate!A:H,8,FALSE)</f>
        <v>80</v>
      </c>
      <c r="H208" s="298">
        <v>80</v>
      </c>
      <c r="I208" s="298">
        <f t="shared" ref="I208:I271" si="1260">J208</f>
        <v>208</v>
      </c>
      <c r="J208" s="298">
        <v>208</v>
      </c>
      <c r="K208" s="298">
        <f t="shared" ref="K208:K212" si="1261">I208</f>
        <v>208</v>
      </c>
      <c r="L208" s="299"/>
      <c r="M208" s="301">
        <f t="shared" si="1203"/>
        <v>0</v>
      </c>
      <c r="N208" s="299"/>
      <c r="O208" s="301">
        <f t="shared" si="1203"/>
        <v>0</v>
      </c>
      <c r="P208" s="299">
        <v>80</v>
      </c>
      <c r="Q208" s="301">
        <f t="shared" ref="Q208" si="1262">IFERROR(P208/$G208," ")</f>
        <v>1</v>
      </c>
      <c r="R208" s="299">
        <v>80</v>
      </c>
      <c r="S208" s="301">
        <f t="shared" ref="S208" si="1263">IFERROR(R208/$G208," ")</f>
        <v>1</v>
      </c>
      <c r="T208" s="299">
        <v>80</v>
      </c>
      <c r="U208" s="301">
        <f t="shared" ref="U208" si="1264">IFERROR(T208/$G208," ")</f>
        <v>1</v>
      </c>
      <c r="V208" s="299">
        <v>80</v>
      </c>
      <c r="W208" s="301">
        <f t="shared" ref="W208" si="1265">IFERROR(V208/$G208," ")</f>
        <v>1</v>
      </c>
      <c r="X208" s="299">
        <v>80</v>
      </c>
      <c r="Y208" s="301">
        <f t="shared" ref="Y208" si="1266">IFERROR(X208/$G208," ")</f>
        <v>1</v>
      </c>
      <c r="Z208" s="299">
        <v>80</v>
      </c>
      <c r="AA208" s="301">
        <f t="shared" ref="AA208" si="1267">IFERROR(Z208/$G208," ")</f>
        <v>1</v>
      </c>
      <c r="AB208" s="292"/>
      <c r="AC208" s="279">
        <f t="shared" si="1234"/>
        <v>0</v>
      </c>
      <c r="AD208" s="279">
        <f t="shared" si="1235"/>
        <v>0</v>
      </c>
      <c r="AE208" s="279">
        <f t="shared" si="1236"/>
        <v>208</v>
      </c>
      <c r="AF208" s="279">
        <f t="shared" si="1237"/>
        <v>208</v>
      </c>
      <c r="AG208" s="279">
        <f t="shared" si="1238"/>
        <v>208</v>
      </c>
      <c r="AH208" s="279">
        <f t="shared" si="1239"/>
        <v>208</v>
      </c>
      <c r="AI208" s="279">
        <f t="shared" si="1240"/>
        <v>208</v>
      </c>
      <c r="AJ208" s="279">
        <f t="shared" si="1241"/>
        <v>208</v>
      </c>
    </row>
    <row r="209" spans="1:36" x14ac:dyDescent="0.65">
      <c r="A209" s="203">
        <v>165</v>
      </c>
      <c r="B209" s="276" t="s">
        <v>460</v>
      </c>
      <c r="C209" s="276" t="s">
        <v>461</v>
      </c>
      <c r="D209" s="299" t="s">
        <v>72</v>
      </c>
      <c r="E209" s="321">
        <f>IFERROR(VLOOKUP(A209,Estimate!A:Q,17,FALSE)," ")</f>
        <v>489.22944180159487</v>
      </c>
      <c r="F209" s="299">
        <v>8</v>
      </c>
      <c r="G209" s="299">
        <f>VLOOKUP(A209,Estimate!A:H,8,FALSE)</f>
        <v>8</v>
      </c>
      <c r="H209" s="298">
        <v>8</v>
      </c>
      <c r="I209" s="298">
        <f t="shared" si="1260"/>
        <v>623.36</v>
      </c>
      <c r="J209" s="298">
        <v>623.36</v>
      </c>
      <c r="K209" s="298">
        <f t="shared" si="1261"/>
        <v>623.36</v>
      </c>
      <c r="L209" s="299"/>
      <c r="M209" s="301">
        <f t="shared" si="1203"/>
        <v>0</v>
      </c>
      <c r="N209" s="299"/>
      <c r="O209" s="301">
        <f t="shared" si="1203"/>
        <v>0</v>
      </c>
      <c r="P209" s="299"/>
      <c r="Q209" s="301">
        <f t="shared" ref="Q209" si="1268">IFERROR(P209/$G209," ")</f>
        <v>0</v>
      </c>
      <c r="R209" s="299"/>
      <c r="S209" s="301">
        <f t="shared" ref="S209" si="1269">IFERROR(R209/$G209," ")</f>
        <v>0</v>
      </c>
      <c r="T209" s="299">
        <v>8</v>
      </c>
      <c r="U209" s="301">
        <f t="shared" ref="U209" si="1270">IFERROR(T209/$G209," ")</f>
        <v>1</v>
      </c>
      <c r="V209" s="299">
        <v>8</v>
      </c>
      <c r="W209" s="301">
        <f t="shared" ref="W209" si="1271">IFERROR(V209/$G209," ")</f>
        <v>1</v>
      </c>
      <c r="X209" s="299">
        <v>8</v>
      </c>
      <c r="Y209" s="301">
        <f t="shared" ref="Y209" si="1272">IFERROR(X209/$G209," ")</f>
        <v>1</v>
      </c>
      <c r="Z209" s="299">
        <v>8</v>
      </c>
      <c r="AA209" s="301">
        <f t="shared" ref="AA209" si="1273">IFERROR(Z209/$G209," ")</f>
        <v>1</v>
      </c>
      <c r="AB209" s="292"/>
      <c r="AC209" s="279">
        <f t="shared" si="1234"/>
        <v>0</v>
      </c>
      <c r="AD209" s="279">
        <f t="shared" si="1235"/>
        <v>0</v>
      </c>
      <c r="AE209" s="279">
        <f t="shared" si="1236"/>
        <v>0</v>
      </c>
      <c r="AF209" s="279">
        <f t="shared" si="1237"/>
        <v>0</v>
      </c>
      <c r="AG209" s="279">
        <f t="shared" si="1238"/>
        <v>623.36</v>
      </c>
      <c r="AH209" s="279">
        <f t="shared" si="1239"/>
        <v>623.36</v>
      </c>
      <c r="AI209" s="279">
        <f t="shared" si="1240"/>
        <v>623.36</v>
      </c>
      <c r="AJ209" s="279">
        <f t="shared" si="1241"/>
        <v>623.36</v>
      </c>
    </row>
    <row r="210" spans="1:36" x14ac:dyDescent="0.65">
      <c r="A210" s="203">
        <v>166</v>
      </c>
      <c r="B210" s="276" t="s">
        <v>462</v>
      </c>
      <c r="C210" s="276" t="s">
        <v>463</v>
      </c>
      <c r="D210" s="299" t="s">
        <v>72</v>
      </c>
      <c r="E210" s="321">
        <f>IFERROR(VLOOKUP(A210,Estimate!A:Q,17,FALSE)," ")</f>
        <v>550.51657697049438</v>
      </c>
      <c r="F210" s="299">
        <v>8.75</v>
      </c>
      <c r="G210" s="299">
        <f>VLOOKUP(A210,Estimate!A:H,8,FALSE)</f>
        <v>8.75</v>
      </c>
      <c r="H210" s="298">
        <v>8.75</v>
      </c>
      <c r="I210" s="298">
        <f t="shared" si="1260"/>
        <v>701.49</v>
      </c>
      <c r="J210" s="298">
        <v>701.49</v>
      </c>
      <c r="K210" s="298">
        <f t="shared" si="1261"/>
        <v>701.49</v>
      </c>
      <c r="L210" s="299"/>
      <c r="M210" s="301">
        <f t="shared" si="1203"/>
        <v>0</v>
      </c>
      <c r="N210" s="299"/>
      <c r="O210" s="301">
        <f t="shared" si="1203"/>
        <v>0</v>
      </c>
      <c r="P210" s="299"/>
      <c r="Q210" s="301">
        <f t="shared" ref="Q210" si="1274">IFERROR(P210/$G210," ")</f>
        <v>0</v>
      </c>
      <c r="R210" s="299"/>
      <c r="S210" s="301">
        <f t="shared" ref="S210" si="1275">IFERROR(R210/$G210," ")</f>
        <v>0</v>
      </c>
      <c r="T210" s="299">
        <v>8.75</v>
      </c>
      <c r="U210" s="301">
        <f t="shared" ref="U210" si="1276">IFERROR(T210/$G210," ")</f>
        <v>1</v>
      </c>
      <c r="V210" s="299">
        <v>8.75</v>
      </c>
      <c r="W210" s="301">
        <f t="shared" ref="W210" si="1277">IFERROR(V210/$G210," ")</f>
        <v>1</v>
      </c>
      <c r="X210" s="299">
        <v>8.75</v>
      </c>
      <c r="Y210" s="301">
        <f t="shared" ref="Y210" si="1278">IFERROR(X210/$G210," ")</f>
        <v>1</v>
      </c>
      <c r="Z210" s="299">
        <v>8.75</v>
      </c>
      <c r="AA210" s="301">
        <f t="shared" ref="AA210" si="1279">IFERROR(Z210/$G210," ")</f>
        <v>1</v>
      </c>
      <c r="AB210" s="292"/>
      <c r="AC210" s="279">
        <f t="shared" si="1234"/>
        <v>0</v>
      </c>
      <c r="AD210" s="279">
        <f t="shared" si="1235"/>
        <v>0</v>
      </c>
      <c r="AE210" s="279">
        <f t="shared" si="1236"/>
        <v>0</v>
      </c>
      <c r="AF210" s="279">
        <f t="shared" si="1237"/>
        <v>0</v>
      </c>
      <c r="AG210" s="279">
        <f t="shared" si="1238"/>
        <v>701.49</v>
      </c>
      <c r="AH210" s="279">
        <f t="shared" si="1239"/>
        <v>701.49</v>
      </c>
      <c r="AI210" s="279">
        <f t="shared" si="1240"/>
        <v>701.49</v>
      </c>
      <c r="AJ210" s="279">
        <f t="shared" si="1241"/>
        <v>701.49</v>
      </c>
    </row>
    <row r="211" spans="1:36" x14ac:dyDescent="0.65">
      <c r="A211" s="203">
        <v>167</v>
      </c>
      <c r="B211" s="276" t="s">
        <v>456</v>
      </c>
      <c r="C211" s="276" t="s">
        <v>457</v>
      </c>
      <c r="D211" s="299" t="s">
        <v>72</v>
      </c>
      <c r="E211" s="321">
        <f>IFERROR(VLOOKUP(A211,Estimate!A:Q,17,FALSE)," ")</f>
        <v>172.35555555555555</v>
      </c>
      <c r="F211" s="299">
        <v>70</v>
      </c>
      <c r="G211" s="299">
        <f>VLOOKUP(A211,Estimate!A:H,8,FALSE)</f>
        <v>70</v>
      </c>
      <c r="H211" s="298">
        <v>70</v>
      </c>
      <c r="I211" s="298">
        <f t="shared" si="1260"/>
        <v>219.8</v>
      </c>
      <c r="J211" s="298">
        <v>219.8</v>
      </c>
      <c r="K211" s="298">
        <f t="shared" si="1261"/>
        <v>219.8</v>
      </c>
      <c r="L211" s="299"/>
      <c r="M211" s="301">
        <f t="shared" si="1203"/>
        <v>0</v>
      </c>
      <c r="N211" s="299"/>
      <c r="O211" s="301">
        <f t="shared" si="1203"/>
        <v>0</v>
      </c>
      <c r="P211" s="299"/>
      <c r="Q211" s="301">
        <f t="shared" ref="Q211" si="1280">IFERROR(P211/$G211," ")</f>
        <v>0</v>
      </c>
      <c r="R211" s="299"/>
      <c r="S211" s="301">
        <f t="shared" ref="S211" si="1281">IFERROR(R211/$G211," ")</f>
        <v>0</v>
      </c>
      <c r="T211" s="299">
        <v>70</v>
      </c>
      <c r="U211" s="301">
        <f t="shared" ref="U211" si="1282">IFERROR(T211/$G211," ")</f>
        <v>1</v>
      </c>
      <c r="V211" s="299">
        <v>70</v>
      </c>
      <c r="W211" s="301">
        <f t="shared" ref="W211" si="1283">IFERROR(V211/$G211," ")</f>
        <v>1</v>
      </c>
      <c r="X211" s="299">
        <v>70</v>
      </c>
      <c r="Y211" s="301">
        <f t="shared" ref="Y211" si="1284">IFERROR(X211/$G211," ")</f>
        <v>1</v>
      </c>
      <c r="Z211" s="299">
        <v>70</v>
      </c>
      <c r="AA211" s="301">
        <f t="shared" ref="AA211" si="1285">IFERROR(Z211/$G211," ")</f>
        <v>1</v>
      </c>
      <c r="AB211" s="292"/>
      <c r="AC211" s="279">
        <f t="shared" si="1234"/>
        <v>0</v>
      </c>
      <c r="AD211" s="279">
        <f t="shared" si="1235"/>
        <v>0</v>
      </c>
      <c r="AE211" s="279">
        <f t="shared" si="1236"/>
        <v>0</v>
      </c>
      <c r="AF211" s="279">
        <f t="shared" si="1237"/>
        <v>0</v>
      </c>
      <c r="AG211" s="279">
        <f t="shared" si="1238"/>
        <v>219.8</v>
      </c>
      <c r="AH211" s="279">
        <f t="shared" si="1239"/>
        <v>219.8</v>
      </c>
      <c r="AI211" s="279">
        <f t="shared" si="1240"/>
        <v>219.8</v>
      </c>
      <c r="AJ211" s="279">
        <f t="shared" si="1241"/>
        <v>219.8</v>
      </c>
    </row>
    <row r="212" spans="1:36" x14ac:dyDescent="0.65">
      <c r="A212" s="203">
        <v>168</v>
      </c>
      <c r="B212" s="276" t="s">
        <v>458</v>
      </c>
      <c r="C212" s="276" t="s">
        <v>1207</v>
      </c>
      <c r="D212" s="299" t="s">
        <v>83</v>
      </c>
      <c r="E212" s="321">
        <f>IFERROR(VLOOKUP(A212,Estimate!A:Q,17,FALSE)," ")</f>
        <v>330.01500000000004</v>
      </c>
      <c r="F212" s="299">
        <v>70</v>
      </c>
      <c r="G212" s="299">
        <f>VLOOKUP(A212,Estimate!A:H,8,FALSE)</f>
        <v>70</v>
      </c>
      <c r="H212" s="298">
        <v>70</v>
      </c>
      <c r="I212" s="298">
        <f t="shared" si="1260"/>
        <v>420.7</v>
      </c>
      <c r="J212" s="298">
        <v>420.7</v>
      </c>
      <c r="K212" s="298">
        <f t="shared" si="1261"/>
        <v>420.7</v>
      </c>
      <c r="L212" s="299"/>
      <c r="M212" s="301">
        <f t="shared" si="1203"/>
        <v>0</v>
      </c>
      <c r="N212" s="299"/>
      <c r="O212" s="301">
        <f t="shared" si="1203"/>
        <v>0</v>
      </c>
      <c r="P212" s="299"/>
      <c r="Q212" s="301">
        <f t="shared" ref="Q212" si="1286">IFERROR(P212/$G212," ")</f>
        <v>0</v>
      </c>
      <c r="R212" s="299"/>
      <c r="S212" s="301">
        <f t="shared" ref="S212" si="1287">IFERROR(R212/$G212," ")</f>
        <v>0</v>
      </c>
      <c r="T212" s="299">
        <v>70</v>
      </c>
      <c r="U212" s="301">
        <f t="shared" ref="U212" si="1288">IFERROR(T212/$G212," ")</f>
        <v>1</v>
      </c>
      <c r="V212" s="299">
        <v>70</v>
      </c>
      <c r="W212" s="301">
        <f t="shared" ref="W212" si="1289">IFERROR(V212/$G212," ")</f>
        <v>1</v>
      </c>
      <c r="X212" s="299">
        <v>70</v>
      </c>
      <c r="Y212" s="301">
        <f t="shared" ref="Y212" si="1290">IFERROR(X212/$G212," ")</f>
        <v>1</v>
      </c>
      <c r="Z212" s="299">
        <v>70</v>
      </c>
      <c r="AA212" s="301">
        <f t="shared" ref="AA212" si="1291">IFERROR(Z212/$G212," ")</f>
        <v>1</v>
      </c>
      <c r="AB212" s="292"/>
      <c r="AC212" s="279">
        <f t="shared" si="1234"/>
        <v>0</v>
      </c>
      <c r="AD212" s="279">
        <f t="shared" si="1235"/>
        <v>0</v>
      </c>
      <c r="AE212" s="279">
        <f t="shared" si="1236"/>
        <v>0</v>
      </c>
      <c r="AF212" s="279">
        <f t="shared" si="1237"/>
        <v>0</v>
      </c>
      <c r="AG212" s="279">
        <f t="shared" si="1238"/>
        <v>420.7</v>
      </c>
      <c r="AH212" s="279">
        <f t="shared" si="1239"/>
        <v>420.7</v>
      </c>
      <c r="AI212" s="279">
        <f t="shared" si="1240"/>
        <v>420.7</v>
      </c>
      <c r="AJ212" s="279">
        <f t="shared" si="1241"/>
        <v>420.7</v>
      </c>
    </row>
    <row r="213" spans="1:36" x14ac:dyDescent="0.65">
      <c r="A213" s="203">
        <v>169</v>
      </c>
      <c r="B213" s="276" t="s">
        <v>459</v>
      </c>
      <c r="C213" s="276" t="s">
        <v>1208</v>
      </c>
      <c r="D213" s="299" t="s">
        <v>64</v>
      </c>
      <c r="E213" s="321">
        <f>IFERROR(VLOOKUP(A213,Estimate!A:Q,17,FALSE)," ")</f>
        <v>2009</v>
      </c>
      <c r="F213" s="299">
        <v>7</v>
      </c>
      <c r="G213" s="299">
        <f>VLOOKUP(A213,Estimate!A:H,8,FALSE)</f>
        <v>7</v>
      </c>
      <c r="H213" s="298">
        <v>7</v>
      </c>
      <c r="I213" s="298">
        <f t="shared" si="1260"/>
        <v>2059.4</v>
      </c>
      <c r="J213" s="298">
        <v>2059.4</v>
      </c>
      <c r="K213" s="298"/>
      <c r="L213" s="299"/>
      <c r="M213" s="301">
        <f t="shared" si="1203"/>
        <v>0</v>
      </c>
      <c r="N213" s="299"/>
      <c r="O213" s="301">
        <f t="shared" si="1203"/>
        <v>0</v>
      </c>
      <c r="P213" s="299"/>
      <c r="Q213" s="301">
        <f t="shared" ref="Q213" si="1292">IFERROR(P213/$G213," ")</f>
        <v>0</v>
      </c>
      <c r="R213" s="299"/>
      <c r="S213" s="301">
        <f t="shared" ref="S213" si="1293">IFERROR(R213/$G213," ")</f>
        <v>0</v>
      </c>
      <c r="T213" s="299"/>
      <c r="U213" s="301">
        <f t="shared" ref="U213" si="1294">IFERROR(T213/$G213," ")</f>
        <v>0</v>
      </c>
      <c r="V213" s="299">
        <v>7</v>
      </c>
      <c r="W213" s="301">
        <f t="shared" ref="W213" si="1295">IFERROR(V213/$G213," ")</f>
        <v>1</v>
      </c>
      <c r="X213" s="299">
        <v>7</v>
      </c>
      <c r="Y213" s="301">
        <f t="shared" ref="Y213" si="1296">IFERROR(X213/$G213," ")</f>
        <v>1</v>
      </c>
      <c r="Z213" s="299">
        <v>7</v>
      </c>
      <c r="AA213" s="301">
        <f t="shared" ref="AA213" si="1297">IFERROR(Z213/$G213," ")</f>
        <v>1</v>
      </c>
      <c r="AB213" s="292"/>
      <c r="AC213" s="279">
        <f t="shared" si="1234"/>
        <v>0</v>
      </c>
      <c r="AD213" s="279">
        <f t="shared" si="1235"/>
        <v>0</v>
      </c>
      <c r="AE213" s="279">
        <f t="shared" si="1236"/>
        <v>0</v>
      </c>
      <c r="AF213" s="279">
        <f t="shared" si="1237"/>
        <v>0</v>
      </c>
      <c r="AG213" s="279">
        <f t="shared" si="1238"/>
        <v>0</v>
      </c>
      <c r="AH213" s="279">
        <f t="shared" si="1239"/>
        <v>2059.4</v>
      </c>
      <c r="AI213" s="279">
        <f t="shared" si="1240"/>
        <v>2059.4</v>
      </c>
      <c r="AJ213" s="279">
        <f t="shared" si="1241"/>
        <v>2059.4</v>
      </c>
    </row>
    <row r="214" spans="1:36" x14ac:dyDescent="0.65">
      <c r="A214" s="203">
        <v>160</v>
      </c>
      <c r="B214" s="276" t="s">
        <v>464</v>
      </c>
      <c r="C214" s="276" t="s">
        <v>465</v>
      </c>
      <c r="D214" s="299" t="s">
        <v>451</v>
      </c>
      <c r="E214" s="321">
        <f>IFERROR(VLOOKUP(A214,Estimate!A:Q,17,FALSE)," ")</f>
        <v>0</v>
      </c>
      <c r="F214" s="299">
        <v>1</v>
      </c>
      <c r="G214" s="299">
        <f>VLOOKUP(A214,Estimate!A:H,8,FALSE)</f>
        <v>1</v>
      </c>
      <c r="H214" s="298">
        <v>1</v>
      </c>
      <c r="I214" s="298"/>
      <c r="J214" s="298"/>
      <c r="K214" s="298"/>
      <c r="L214" s="299"/>
      <c r="M214" s="301"/>
      <c r="N214" s="299"/>
      <c r="O214" s="301"/>
      <c r="P214" s="299"/>
      <c r="Q214" s="301"/>
      <c r="R214" s="299"/>
      <c r="S214" s="301"/>
      <c r="T214" s="299"/>
      <c r="U214" s="301"/>
      <c r="V214" s="299"/>
      <c r="W214" s="301"/>
      <c r="X214" s="299"/>
      <c r="Y214" s="301"/>
      <c r="Z214" s="299"/>
      <c r="AA214" s="301"/>
      <c r="AB214" s="292"/>
      <c r="AC214" s="279"/>
      <c r="AD214" s="279"/>
      <c r="AE214" s="279"/>
      <c r="AF214" s="279"/>
      <c r="AG214" s="279"/>
      <c r="AH214" s="279"/>
      <c r="AI214" s="279"/>
      <c r="AJ214" s="279"/>
    </row>
    <row r="215" spans="1:36" s="200" customFormat="1" x14ac:dyDescent="0.65">
      <c r="A215" s="203">
        <v>161</v>
      </c>
      <c r="B215" s="204" t="s">
        <v>466</v>
      </c>
      <c r="C215" s="204" t="s">
        <v>467</v>
      </c>
      <c r="D215" s="306" t="s">
        <v>72</v>
      </c>
      <c r="E215" s="327">
        <f>IFERROR(VLOOKUP(A215,Estimate!A:Q,17,FALSE)," ")</f>
        <v>0</v>
      </c>
      <c r="F215" s="306">
        <v>704</v>
      </c>
      <c r="G215" s="306">
        <v>704</v>
      </c>
      <c r="H215" s="307">
        <v>704</v>
      </c>
      <c r="I215" s="307">
        <f t="shared" si="1260"/>
        <v>12115.84</v>
      </c>
      <c r="J215" s="307">
        <v>12115.84</v>
      </c>
      <c r="K215" s="307"/>
      <c r="L215" s="306"/>
      <c r="M215" s="308">
        <v>0</v>
      </c>
      <c r="N215" s="306">
        <v>704</v>
      </c>
      <c r="O215" s="308">
        <f t="shared" si="1203"/>
        <v>1</v>
      </c>
      <c r="P215" s="306">
        <v>704</v>
      </c>
      <c r="Q215" s="308">
        <f t="shared" ref="Q215" si="1298">IFERROR(P215/$G215," ")</f>
        <v>1</v>
      </c>
      <c r="R215" s="306">
        <v>704</v>
      </c>
      <c r="S215" s="308">
        <f t="shared" ref="S215" si="1299">IFERROR(R215/$G215," ")</f>
        <v>1</v>
      </c>
      <c r="T215" s="306">
        <v>704</v>
      </c>
      <c r="U215" s="308">
        <f t="shared" ref="U215" si="1300">IFERROR(T215/$G215," ")</f>
        <v>1</v>
      </c>
      <c r="V215" s="306">
        <v>704</v>
      </c>
      <c r="W215" s="308">
        <f t="shared" ref="W215" si="1301">IFERROR(V215/$G215," ")</f>
        <v>1</v>
      </c>
      <c r="X215" s="306">
        <v>704</v>
      </c>
      <c r="Y215" s="308">
        <f t="shared" ref="Y215" si="1302">IFERROR(X215/$G215," ")</f>
        <v>1</v>
      </c>
      <c r="Z215" s="306">
        <v>704</v>
      </c>
      <c r="AA215" s="308">
        <f t="shared" ref="AA215" si="1303">IFERROR(Z215/$G215," ")</f>
        <v>1</v>
      </c>
      <c r="AB215" s="309"/>
      <c r="AC215" s="310">
        <f t="shared" si="1234"/>
        <v>0</v>
      </c>
      <c r="AD215" s="310">
        <f t="shared" si="1235"/>
        <v>12115.84</v>
      </c>
      <c r="AE215" s="310">
        <f t="shared" si="1236"/>
        <v>12115.84</v>
      </c>
      <c r="AF215" s="310">
        <f t="shared" si="1237"/>
        <v>12115.84</v>
      </c>
      <c r="AG215" s="310">
        <f t="shared" si="1238"/>
        <v>12115.84</v>
      </c>
      <c r="AH215" s="310">
        <f t="shared" si="1239"/>
        <v>12115.84</v>
      </c>
      <c r="AI215" s="310">
        <f t="shared" si="1240"/>
        <v>12115.84</v>
      </c>
      <c r="AJ215" s="310">
        <f t="shared" si="1241"/>
        <v>12115.84</v>
      </c>
    </row>
    <row r="216" spans="1:36" x14ac:dyDescent="0.65">
      <c r="A216" s="203">
        <v>170</v>
      </c>
      <c r="B216" s="276" t="s">
        <v>468</v>
      </c>
      <c r="C216" s="276" t="s">
        <v>469</v>
      </c>
      <c r="D216" s="299" t="s">
        <v>451</v>
      </c>
      <c r="E216" s="321">
        <f>IFERROR(VLOOKUP(A216,Estimate!A:Q,17,FALSE)," ")</f>
        <v>0</v>
      </c>
      <c r="F216" s="299">
        <v>1</v>
      </c>
      <c r="G216" s="299">
        <f>VLOOKUP(A216,Estimate!A:H,8,FALSE)</f>
        <v>1</v>
      </c>
      <c r="H216" s="298">
        <v>1</v>
      </c>
      <c r="I216" s="298"/>
      <c r="J216" s="298"/>
      <c r="K216" s="298"/>
      <c r="L216" s="299"/>
      <c r="M216" s="301"/>
      <c r="N216" s="299"/>
      <c r="O216" s="301"/>
      <c r="P216" s="299"/>
      <c r="Q216" s="301"/>
      <c r="R216" s="299"/>
      <c r="S216" s="301"/>
      <c r="T216" s="299"/>
      <c r="U216" s="301"/>
      <c r="V216" s="299"/>
      <c r="W216" s="301"/>
      <c r="X216" s="299"/>
      <c r="Y216" s="301"/>
      <c r="Z216" s="299"/>
      <c r="AA216" s="301"/>
      <c r="AB216" s="292"/>
      <c r="AC216" s="279"/>
      <c r="AD216" s="279"/>
      <c r="AE216" s="279"/>
      <c r="AF216" s="279"/>
      <c r="AG216" s="279"/>
      <c r="AH216" s="279"/>
      <c r="AI216" s="279"/>
      <c r="AJ216" s="279"/>
    </row>
    <row r="217" spans="1:36" x14ac:dyDescent="0.65">
      <c r="A217" s="203">
        <v>171</v>
      </c>
      <c r="B217" s="276" t="s">
        <v>470</v>
      </c>
      <c r="C217" s="276" t="s">
        <v>471</v>
      </c>
      <c r="D217" s="299" t="s">
        <v>25</v>
      </c>
      <c r="E217" s="321">
        <f>IFERROR(VLOOKUP(A217,Estimate!A:Q,17,FALSE)," ")</f>
        <v>820.16455401790904</v>
      </c>
      <c r="F217" s="299">
        <v>20</v>
      </c>
      <c r="G217" s="299">
        <f>VLOOKUP(A217,Estimate!A:H,8,FALSE)</f>
        <v>20</v>
      </c>
      <c r="H217" s="298">
        <v>20</v>
      </c>
      <c r="I217" s="298">
        <f t="shared" si="1260"/>
        <v>1045</v>
      </c>
      <c r="J217" s="298">
        <v>1045</v>
      </c>
      <c r="K217" s="298"/>
      <c r="L217" s="299"/>
      <c r="M217" s="301">
        <f t="shared" si="1203"/>
        <v>0</v>
      </c>
      <c r="N217" s="299"/>
      <c r="O217" s="301">
        <f t="shared" si="1203"/>
        <v>0</v>
      </c>
      <c r="P217" s="299"/>
      <c r="Q217" s="301">
        <f t="shared" ref="Q217" si="1304">IFERROR(P217/$G217," ")</f>
        <v>0</v>
      </c>
      <c r="R217" s="299"/>
      <c r="S217" s="301">
        <f t="shared" ref="S217" si="1305">IFERROR(R217/$G217," ")</f>
        <v>0</v>
      </c>
      <c r="T217" s="299">
        <v>20</v>
      </c>
      <c r="U217" s="301">
        <f t="shared" ref="U217" si="1306">IFERROR(T217/$G217," ")</f>
        <v>1</v>
      </c>
      <c r="V217" s="299">
        <v>20</v>
      </c>
      <c r="W217" s="301">
        <f t="shared" ref="W217" si="1307">IFERROR(V217/$G217," ")</f>
        <v>1</v>
      </c>
      <c r="X217" s="299">
        <v>20</v>
      </c>
      <c r="Y217" s="301">
        <f t="shared" ref="Y217" si="1308">IFERROR(X217/$G217," ")</f>
        <v>1</v>
      </c>
      <c r="Z217" s="299">
        <v>20</v>
      </c>
      <c r="AA217" s="301">
        <f t="shared" ref="AA217" si="1309">IFERROR(Z217/$G217," ")</f>
        <v>1</v>
      </c>
      <c r="AB217" s="292"/>
      <c r="AC217" s="279">
        <f t="shared" si="1234"/>
        <v>0</v>
      </c>
      <c r="AD217" s="279">
        <f t="shared" si="1235"/>
        <v>0</v>
      </c>
      <c r="AE217" s="279">
        <f t="shared" si="1236"/>
        <v>0</v>
      </c>
      <c r="AF217" s="279">
        <f t="shared" si="1237"/>
        <v>0</v>
      </c>
      <c r="AG217" s="279">
        <f t="shared" si="1238"/>
        <v>1045</v>
      </c>
      <c r="AH217" s="279">
        <f t="shared" si="1239"/>
        <v>1045</v>
      </c>
      <c r="AI217" s="279">
        <f t="shared" si="1240"/>
        <v>1045</v>
      </c>
      <c r="AJ217" s="279">
        <f t="shared" si="1241"/>
        <v>1045</v>
      </c>
    </row>
    <row r="218" spans="1:36" x14ac:dyDescent="0.65">
      <c r="A218" s="203">
        <v>172</v>
      </c>
      <c r="B218" s="276" t="s">
        <v>472</v>
      </c>
      <c r="C218" s="276" t="s">
        <v>473</v>
      </c>
      <c r="D218" s="299" t="s">
        <v>451</v>
      </c>
      <c r="E218" s="321">
        <f>IFERROR(VLOOKUP(A218,Estimate!A:Q,17,FALSE)," ")</f>
        <v>0</v>
      </c>
      <c r="F218" s="299">
        <v>1</v>
      </c>
      <c r="G218" s="299">
        <f>VLOOKUP(A218,Estimate!A:H,8,FALSE)</f>
        <v>1</v>
      </c>
      <c r="H218" s="298">
        <v>1</v>
      </c>
      <c r="I218" s="298"/>
      <c r="J218" s="298"/>
      <c r="K218" s="298"/>
      <c r="L218" s="299"/>
      <c r="M218" s="301"/>
      <c r="N218" s="299"/>
      <c r="O218" s="301"/>
      <c r="P218" s="299"/>
      <c r="Q218" s="301"/>
      <c r="R218" s="299"/>
      <c r="S218" s="301"/>
      <c r="T218" s="299"/>
      <c r="U218" s="301"/>
      <c r="V218" s="299"/>
      <c r="W218" s="301"/>
      <c r="X218" s="299"/>
      <c r="Y218" s="301"/>
      <c r="Z218" s="299"/>
      <c r="AA218" s="301"/>
      <c r="AB218" s="292"/>
      <c r="AC218" s="279"/>
      <c r="AD218" s="279"/>
      <c r="AE218" s="279"/>
      <c r="AF218" s="279"/>
      <c r="AG218" s="279"/>
      <c r="AH218" s="279"/>
      <c r="AI218" s="279"/>
      <c r="AJ218" s="279"/>
    </row>
    <row r="219" spans="1:36" ht="28.5" x14ac:dyDescent="0.65">
      <c r="A219" s="203">
        <v>173</v>
      </c>
      <c r="B219" s="276" t="s">
        <v>474</v>
      </c>
      <c r="C219" s="276" t="s">
        <v>475</v>
      </c>
      <c r="D219" s="299" t="s">
        <v>83</v>
      </c>
      <c r="E219" s="321">
        <f>IFERROR(VLOOKUP(A219,Estimate!A:Q,17,FALSE)," ")</f>
        <v>1353.7869014043195</v>
      </c>
      <c r="F219" s="299">
        <v>24.5</v>
      </c>
      <c r="G219" s="299">
        <f>VLOOKUP(A219,Estimate!A:H,8,FALSE)</f>
        <v>24.5</v>
      </c>
      <c r="H219" s="298">
        <v>24.5</v>
      </c>
      <c r="I219" s="298">
        <f t="shared" si="1260"/>
        <v>1725.05</v>
      </c>
      <c r="J219" s="298">
        <v>1725.05</v>
      </c>
      <c r="K219" s="298"/>
      <c r="L219" s="299"/>
      <c r="M219" s="301">
        <f t="shared" si="1203"/>
        <v>0</v>
      </c>
      <c r="N219" s="299"/>
      <c r="O219" s="301">
        <f t="shared" si="1203"/>
        <v>0</v>
      </c>
      <c r="P219" s="299"/>
      <c r="Q219" s="301">
        <f t="shared" ref="Q219" si="1310">IFERROR(P219/$G219," ")</f>
        <v>0</v>
      </c>
      <c r="R219" s="299"/>
      <c r="S219" s="301">
        <f t="shared" ref="S219" si="1311">IFERROR(R219/$G219," ")</f>
        <v>0</v>
      </c>
      <c r="T219" s="299">
        <v>24.5</v>
      </c>
      <c r="U219" s="301">
        <f t="shared" ref="U219" si="1312">IFERROR(T219/$G219," ")</f>
        <v>1</v>
      </c>
      <c r="V219" s="299">
        <v>24.5</v>
      </c>
      <c r="W219" s="301">
        <f t="shared" ref="W219" si="1313">IFERROR(V219/$G219," ")</f>
        <v>1</v>
      </c>
      <c r="X219" s="299">
        <v>24.5</v>
      </c>
      <c r="Y219" s="301">
        <f t="shared" ref="Y219" si="1314">IFERROR(X219/$G219," ")</f>
        <v>1</v>
      </c>
      <c r="Z219" s="299">
        <v>24.5</v>
      </c>
      <c r="AA219" s="301">
        <f t="shared" ref="AA219" si="1315">IFERROR(Z219/$G219," ")</f>
        <v>1</v>
      </c>
      <c r="AB219" s="292"/>
      <c r="AC219" s="279">
        <f t="shared" si="1234"/>
        <v>0</v>
      </c>
      <c r="AD219" s="279">
        <f t="shared" si="1235"/>
        <v>0</v>
      </c>
      <c r="AE219" s="279">
        <f t="shared" si="1236"/>
        <v>0</v>
      </c>
      <c r="AF219" s="279">
        <f t="shared" si="1237"/>
        <v>0</v>
      </c>
      <c r="AG219" s="279">
        <f t="shared" si="1238"/>
        <v>1725.05</v>
      </c>
      <c r="AH219" s="279">
        <f t="shared" si="1239"/>
        <v>1725.05</v>
      </c>
      <c r="AI219" s="279">
        <f t="shared" si="1240"/>
        <v>1725.05</v>
      </c>
      <c r="AJ219" s="279">
        <f t="shared" si="1241"/>
        <v>1725.05</v>
      </c>
    </row>
    <row r="220" spans="1:36" x14ac:dyDescent="0.65">
      <c r="A220" s="203">
        <v>174</v>
      </c>
      <c r="B220" s="276" t="s">
        <v>476</v>
      </c>
      <c r="C220" s="276" t="s">
        <v>477</v>
      </c>
      <c r="D220" s="299" t="s">
        <v>451</v>
      </c>
      <c r="E220" s="321">
        <f>IFERROR(VLOOKUP(A220,Estimate!A:Q,17,FALSE)," ")</f>
        <v>0</v>
      </c>
      <c r="F220" s="299">
        <v>1</v>
      </c>
      <c r="G220" s="299">
        <f>VLOOKUP(A220,Estimate!A:H,8,FALSE)</f>
        <v>1</v>
      </c>
      <c r="H220" s="298">
        <v>1</v>
      </c>
      <c r="I220" s="298"/>
      <c r="J220" s="298"/>
      <c r="K220" s="298"/>
      <c r="L220" s="299"/>
      <c r="M220" s="301"/>
      <c r="N220" s="299"/>
      <c r="O220" s="301"/>
      <c r="P220" s="299"/>
      <c r="Q220" s="301"/>
      <c r="R220" s="299"/>
      <c r="S220" s="301"/>
      <c r="T220" s="299"/>
      <c r="U220" s="301"/>
      <c r="V220" s="299"/>
      <c r="W220" s="301"/>
      <c r="X220" s="299"/>
      <c r="Y220" s="301"/>
      <c r="Z220" s="299"/>
      <c r="AA220" s="301"/>
      <c r="AB220" s="292"/>
      <c r="AC220" s="279"/>
      <c r="AD220" s="279"/>
      <c r="AE220" s="279"/>
      <c r="AF220" s="279"/>
      <c r="AG220" s="279"/>
      <c r="AH220" s="279"/>
      <c r="AI220" s="279"/>
      <c r="AJ220" s="279"/>
    </row>
    <row r="221" spans="1:36" x14ac:dyDescent="0.65">
      <c r="A221" s="203">
        <v>175</v>
      </c>
      <c r="B221" s="276" t="s">
        <v>478</v>
      </c>
      <c r="C221" s="276" t="s">
        <v>479</v>
      </c>
      <c r="D221" s="299" t="s">
        <v>25</v>
      </c>
      <c r="E221" s="321">
        <f>IFERROR(VLOOKUP(A221,Estimate!A:Q,17,FALSE)," ")</f>
        <v>691.29113808309592</v>
      </c>
      <c r="F221" s="299">
        <v>4.88</v>
      </c>
      <c r="G221" s="299">
        <f>VLOOKUP(A221,Estimate!A:H,8,FALSE)</f>
        <v>4.88</v>
      </c>
      <c r="H221" s="298">
        <v>4.88</v>
      </c>
      <c r="I221" s="298">
        <f t="shared" si="1260"/>
        <v>880.89</v>
      </c>
      <c r="J221" s="298">
        <v>880.89</v>
      </c>
      <c r="K221" s="298"/>
      <c r="L221" s="299"/>
      <c r="M221" s="301">
        <f t="shared" si="1203"/>
        <v>0</v>
      </c>
      <c r="N221" s="299"/>
      <c r="O221" s="301">
        <f t="shared" si="1203"/>
        <v>0</v>
      </c>
      <c r="P221" s="299">
        <v>4.88</v>
      </c>
      <c r="Q221" s="301">
        <f t="shared" ref="Q221" si="1316">IFERROR(P221/$G221," ")</f>
        <v>1</v>
      </c>
      <c r="R221" s="299">
        <v>4.88</v>
      </c>
      <c r="S221" s="301">
        <f t="shared" ref="S221" si="1317">IFERROR(R221/$G221," ")</f>
        <v>1</v>
      </c>
      <c r="T221" s="299">
        <v>4.88</v>
      </c>
      <c r="U221" s="301">
        <f t="shared" ref="U221" si="1318">IFERROR(T221/$G221," ")</f>
        <v>1</v>
      </c>
      <c r="V221" s="299">
        <v>4.88</v>
      </c>
      <c r="W221" s="301">
        <f t="shared" ref="W221" si="1319">IFERROR(V221/$G221," ")</f>
        <v>1</v>
      </c>
      <c r="X221" s="299">
        <v>4.88</v>
      </c>
      <c r="Y221" s="301">
        <f t="shared" ref="Y221" si="1320">IFERROR(X221/$G221," ")</f>
        <v>1</v>
      </c>
      <c r="Z221" s="299">
        <v>4.88</v>
      </c>
      <c r="AA221" s="301">
        <f t="shared" ref="AA221" si="1321">IFERROR(Z221/$G221," ")</f>
        <v>1</v>
      </c>
      <c r="AB221" s="292"/>
      <c r="AC221" s="279">
        <f t="shared" si="1234"/>
        <v>0</v>
      </c>
      <c r="AD221" s="279">
        <f t="shared" si="1235"/>
        <v>0</v>
      </c>
      <c r="AE221" s="279">
        <f t="shared" si="1236"/>
        <v>880.89</v>
      </c>
      <c r="AF221" s="279">
        <f t="shared" si="1237"/>
        <v>880.89</v>
      </c>
      <c r="AG221" s="279">
        <f t="shared" si="1238"/>
        <v>880.89</v>
      </c>
      <c r="AH221" s="279">
        <f t="shared" si="1239"/>
        <v>880.89</v>
      </c>
      <c r="AI221" s="279">
        <f t="shared" si="1240"/>
        <v>880.89</v>
      </c>
      <c r="AJ221" s="279">
        <f t="shared" si="1241"/>
        <v>880.89</v>
      </c>
    </row>
    <row r="222" spans="1:36" ht="28.5" x14ac:dyDescent="0.65">
      <c r="A222" s="203">
        <v>176</v>
      </c>
      <c r="B222" s="276" t="s">
        <v>480</v>
      </c>
      <c r="C222" s="276" t="s">
        <v>481</v>
      </c>
      <c r="D222" s="299" t="s">
        <v>451</v>
      </c>
      <c r="E222" s="321">
        <f>IFERROR(VLOOKUP(A222,Estimate!A:Q,17,FALSE)," ")</f>
        <v>0</v>
      </c>
      <c r="F222" s="299">
        <v>1</v>
      </c>
      <c r="G222" s="299">
        <f>VLOOKUP(A222,Estimate!A:H,8,FALSE)</f>
        <v>1</v>
      </c>
      <c r="H222" s="298">
        <v>1</v>
      </c>
      <c r="I222" s="298"/>
      <c r="J222" s="298"/>
      <c r="K222" s="298"/>
      <c r="L222" s="299"/>
      <c r="M222" s="301"/>
      <c r="N222" s="299"/>
      <c r="O222" s="301"/>
      <c r="P222" s="299"/>
      <c r="Q222" s="301"/>
      <c r="R222" s="299"/>
      <c r="S222" s="301"/>
      <c r="T222" s="299"/>
      <c r="U222" s="301"/>
      <c r="V222" s="299"/>
      <c r="W222" s="301"/>
      <c r="X222" s="299"/>
      <c r="Y222" s="301"/>
      <c r="Z222" s="299"/>
      <c r="AA222" s="301"/>
      <c r="AB222" s="292"/>
      <c r="AC222" s="279"/>
      <c r="AD222" s="279"/>
      <c r="AE222" s="279"/>
      <c r="AF222" s="279"/>
      <c r="AG222" s="279"/>
      <c r="AH222" s="279"/>
      <c r="AI222" s="279"/>
      <c r="AJ222" s="279"/>
    </row>
    <row r="223" spans="1:36" x14ac:dyDescent="0.65">
      <c r="A223" s="203">
        <v>177</v>
      </c>
      <c r="B223" s="276" t="s">
        <v>482</v>
      </c>
      <c r="C223" s="276" t="s">
        <v>483</v>
      </c>
      <c r="D223" s="299" t="s">
        <v>72</v>
      </c>
      <c r="E223" s="321">
        <f>IFERROR(VLOOKUP(A223,Estimate!A:Q,17,FALSE)," ")</f>
        <v>3090.7430907430912</v>
      </c>
      <c r="F223" s="299">
        <v>460</v>
      </c>
      <c r="G223" s="299">
        <f>VLOOKUP(A223,Estimate!A:H,8,FALSE)</f>
        <v>460</v>
      </c>
      <c r="H223" s="298">
        <v>460</v>
      </c>
      <c r="I223" s="298">
        <f t="shared" si="1260"/>
        <v>4181.3999999999996</v>
      </c>
      <c r="J223" s="298">
        <v>4181.3999999999996</v>
      </c>
      <c r="K223" s="298"/>
      <c r="L223" s="299"/>
      <c r="M223" s="301">
        <f t="shared" si="1203"/>
        <v>0</v>
      </c>
      <c r="N223" s="299">
        <v>460</v>
      </c>
      <c r="O223" s="301">
        <f t="shared" si="1203"/>
        <v>1</v>
      </c>
      <c r="P223" s="299">
        <v>460</v>
      </c>
      <c r="Q223" s="301">
        <f t="shared" ref="Q223" si="1322">IFERROR(P223/$G223," ")</f>
        <v>1</v>
      </c>
      <c r="R223" s="299">
        <v>460</v>
      </c>
      <c r="S223" s="301">
        <f t="shared" ref="S223" si="1323">IFERROR(R223/$G223," ")</f>
        <v>1</v>
      </c>
      <c r="T223" s="299">
        <v>460</v>
      </c>
      <c r="U223" s="301">
        <f t="shared" ref="U223" si="1324">IFERROR(T223/$G223," ")</f>
        <v>1</v>
      </c>
      <c r="V223" s="299">
        <v>460</v>
      </c>
      <c r="W223" s="301">
        <f t="shared" ref="W223" si="1325">IFERROR(V223/$G223," ")</f>
        <v>1</v>
      </c>
      <c r="X223" s="299">
        <v>460</v>
      </c>
      <c r="Y223" s="301">
        <f t="shared" ref="Y223" si="1326">IFERROR(X223/$G223," ")</f>
        <v>1</v>
      </c>
      <c r="Z223" s="299">
        <v>460</v>
      </c>
      <c r="AA223" s="301">
        <f t="shared" ref="AA223" si="1327">IFERROR(Z223/$G223," ")</f>
        <v>1</v>
      </c>
      <c r="AB223" s="292"/>
      <c r="AC223" s="279">
        <f t="shared" si="1234"/>
        <v>0</v>
      </c>
      <c r="AD223" s="279">
        <f t="shared" si="1235"/>
        <v>4181.3999999999996</v>
      </c>
      <c r="AE223" s="279">
        <f t="shared" si="1236"/>
        <v>4181.3999999999996</v>
      </c>
      <c r="AF223" s="279">
        <f t="shared" si="1237"/>
        <v>4181.3999999999996</v>
      </c>
      <c r="AG223" s="279">
        <f t="shared" si="1238"/>
        <v>4181.3999999999996</v>
      </c>
      <c r="AH223" s="279">
        <f t="shared" si="1239"/>
        <v>4181.3999999999996</v>
      </c>
      <c r="AI223" s="279">
        <f t="shared" si="1240"/>
        <v>4181.3999999999996</v>
      </c>
      <c r="AJ223" s="279">
        <f t="shared" si="1241"/>
        <v>4181.3999999999996</v>
      </c>
    </row>
    <row r="224" spans="1:36" x14ac:dyDescent="0.65">
      <c r="A224" s="203">
        <v>178</v>
      </c>
      <c r="B224" s="276" t="s">
        <v>484</v>
      </c>
      <c r="C224" s="276" t="s">
        <v>485</v>
      </c>
      <c r="D224" s="299" t="s">
        <v>451</v>
      </c>
      <c r="E224" s="321"/>
      <c r="F224" s="299">
        <v>1</v>
      </c>
      <c r="G224" s="299">
        <f>VLOOKUP(A224,Estimate!A:H,8,FALSE)</f>
        <v>1</v>
      </c>
      <c r="H224" s="298">
        <v>1</v>
      </c>
      <c r="I224" s="298"/>
      <c r="J224" s="298"/>
      <c r="K224" s="298"/>
      <c r="L224" s="299"/>
      <c r="M224" s="301"/>
      <c r="N224" s="299"/>
      <c r="O224" s="301"/>
      <c r="P224" s="299"/>
      <c r="Q224" s="301"/>
      <c r="R224" s="299"/>
      <c r="S224" s="301"/>
      <c r="T224" s="299"/>
      <c r="U224" s="301"/>
      <c r="V224" s="299"/>
      <c r="W224" s="301"/>
      <c r="X224" s="299"/>
      <c r="Y224" s="301"/>
      <c r="Z224" s="299"/>
      <c r="AA224" s="301"/>
      <c r="AB224" s="292"/>
      <c r="AC224" s="279"/>
      <c r="AD224" s="279"/>
      <c r="AE224" s="279"/>
      <c r="AF224" s="279"/>
      <c r="AG224" s="279"/>
      <c r="AH224" s="279"/>
      <c r="AI224" s="279"/>
      <c r="AJ224" s="279"/>
    </row>
    <row r="225" spans="1:36" x14ac:dyDescent="0.65">
      <c r="A225" s="203">
        <v>179</v>
      </c>
      <c r="B225" s="276" t="s">
        <v>486</v>
      </c>
      <c r="C225" s="276" t="s">
        <v>487</v>
      </c>
      <c r="D225" s="299" t="s">
        <v>25</v>
      </c>
      <c r="E225" s="321">
        <f>IFERROR(VLOOKUP(A225,Estimate!A:Q,17,FALSE)," ")</f>
        <v>346.71364012719744</v>
      </c>
      <c r="F225" s="299">
        <v>10</v>
      </c>
      <c r="G225" s="299">
        <f>VLOOKUP(A225,Estimate!A:H,8,FALSE)</f>
        <v>10</v>
      </c>
      <c r="H225" s="298">
        <v>10</v>
      </c>
      <c r="I225" s="298">
        <f t="shared" si="1260"/>
        <v>441.8</v>
      </c>
      <c r="J225" s="298">
        <v>441.8</v>
      </c>
      <c r="K225" s="298"/>
      <c r="L225" s="299"/>
      <c r="M225" s="301">
        <f t="shared" si="1203"/>
        <v>0</v>
      </c>
      <c r="N225" s="299">
        <v>10</v>
      </c>
      <c r="O225" s="301">
        <f t="shared" si="1203"/>
        <v>1</v>
      </c>
      <c r="P225" s="299">
        <v>10</v>
      </c>
      <c r="Q225" s="301">
        <f t="shared" ref="Q225" si="1328">IFERROR(P225/$G225," ")</f>
        <v>1</v>
      </c>
      <c r="R225" s="299">
        <v>10</v>
      </c>
      <c r="S225" s="301">
        <f t="shared" ref="S225" si="1329">IFERROR(R225/$G225," ")</f>
        <v>1</v>
      </c>
      <c r="T225" s="299">
        <v>10</v>
      </c>
      <c r="U225" s="301">
        <f t="shared" ref="U225" si="1330">IFERROR(T225/$G225," ")</f>
        <v>1</v>
      </c>
      <c r="V225" s="299">
        <v>10</v>
      </c>
      <c r="W225" s="301">
        <f t="shared" ref="W225" si="1331">IFERROR(V225/$G225," ")</f>
        <v>1</v>
      </c>
      <c r="X225" s="299">
        <v>10</v>
      </c>
      <c r="Y225" s="301">
        <f t="shared" ref="Y225" si="1332">IFERROR(X225/$G225," ")</f>
        <v>1</v>
      </c>
      <c r="Z225" s="299">
        <v>10</v>
      </c>
      <c r="AA225" s="301">
        <f t="shared" ref="AA225" si="1333">IFERROR(Z225/$G225," ")</f>
        <v>1</v>
      </c>
      <c r="AB225" s="292"/>
      <c r="AC225" s="279">
        <f t="shared" si="1234"/>
        <v>0</v>
      </c>
      <c r="AD225" s="279">
        <f t="shared" si="1235"/>
        <v>441.8</v>
      </c>
      <c r="AE225" s="279">
        <f t="shared" si="1236"/>
        <v>441.8</v>
      </c>
      <c r="AF225" s="279">
        <f t="shared" si="1237"/>
        <v>441.8</v>
      </c>
      <c r="AG225" s="279">
        <f t="shared" si="1238"/>
        <v>441.8</v>
      </c>
      <c r="AH225" s="279">
        <f t="shared" si="1239"/>
        <v>441.8</v>
      </c>
      <c r="AI225" s="279">
        <f t="shared" si="1240"/>
        <v>441.8</v>
      </c>
      <c r="AJ225" s="279">
        <f t="shared" si="1241"/>
        <v>441.8</v>
      </c>
    </row>
    <row r="226" spans="1:36" x14ac:dyDescent="0.65">
      <c r="A226" s="203">
        <v>180</v>
      </c>
      <c r="B226" s="276" t="s">
        <v>488</v>
      </c>
      <c r="C226" s="276" t="s">
        <v>489</v>
      </c>
      <c r="D226" s="299" t="s">
        <v>25</v>
      </c>
      <c r="E226" s="321">
        <f>IFERROR(VLOOKUP(A226,Estimate!A:Q,17,FALSE)," ")</f>
        <v>46.725000000000001</v>
      </c>
      <c r="F226" s="299">
        <v>20</v>
      </c>
      <c r="G226" s="299">
        <v>20</v>
      </c>
      <c r="H226" s="298">
        <v>6.95</v>
      </c>
      <c r="I226" s="298">
        <f t="shared" si="1260"/>
        <v>139</v>
      </c>
      <c r="J226" s="298">
        <v>139</v>
      </c>
      <c r="K226" s="298"/>
      <c r="L226" s="299"/>
      <c r="M226" s="301">
        <f t="shared" si="1203"/>
        <v>0</v>
      </c>
      <c r="N226" s="299">
        <v>20</v>
      </c>
      <c r="O226" s="301">
        <f t="shared" si="1203"/>
        <v>1</v>
      </c>
      <c r="P226" s="299">
        <v>20</v>
      </c>
      <c r="Q226" s="301">
        <f t="shared" ref="Q226" si="1334">IFERROR(P226/$G226," ")</f>
        <v>1</v>
      </c>
      <c r="R226" s="299">
        <v>20</v>
      </c>
      <c r="S226" s="301">
        <f t="shared" ref="S226" si="1335">IFERROR(R226/$G226," ")</f>
        <v>1</v>
      </c>
      <c r="T226" s="299">
        <v>20</v>
      </c>
      <c r="U226" s="301">
        <f t="shared" ref="U226" si="1336">IFERROR(T226/$G226," ")</f>
        <v>1</v>
      </c>
      <c r="V226" s="299">
        <v>20</v>
      </c>
      <c r="W226" s="301">
        <f t="shared" ref="W226" si="1337">IFERROR(V226/$G226," ")</f>
        <v>1</v>
      </c>
      <c r="X226" s="299">
        <v>20</v>
      </c>
      <c r="Y226" s="301">
        <f t="shared" ref="Y226" si="1338">IFERROR(X226/$G226," ")</f>
        <v>1</v>
      </c>
      <c r="Z226" s="299">
        <v>20</v>
      </c>
      <c r="AA226" s="301">
        <f t="shared" ref="AA226" si="1339">IFERROR(Z226/$G226," ")</f>
        <v>1</v>
      </c>
      <c r="AB226" s="292"/>
      <c r="AC226" s="279">
        <f t="shared" si="1234"/>
        <v>0</v>
      </c>
      <c r="AD226" s="279">
        <f t="shared" si="1235"/>
        <v>139</v>
      </c>
      <c r="AE226" s="279">
        <f t="shared" si="1236"/>
        <v>139</v>
      </c>
      <c r="AF226" s="279">
        <f t="shared" si="1237"/>
        <v>139</v>
      </c>
      <c r="AG226" s="279">
        <f t="shared" si="1238"/>
        <v>139</v>
      </c>
      <c r="AH226" s="279">
        <f t="shared" si="1239"/>
        <v>139</v>
      </c>
      <c r="AI226" s="279">
        <f t="shared" si="1240"/>
        <v>139</v>
      </c>
      <c r="AJ226" s="279">
        <f t="shared" si="1241"/>
        <v>139</v>
      </c>
    </row>
    <row r="227" spans="1:36" x14ac:dyDescent="0.65">
      <c r="A227" s="203">
        <v>181</v>
      </c>
      <c r="B227" s="276" t="s">
        <v>490</v>
      </c>
      <c r="C227" s="276" t="s">
        <v>491</v>
      </c>
      <c r="D227" s="299" t="s">
        <v>25</v>
      </c>
      <c r="E227" s="321">
        <f>IFERROR(VLOOKUP(A227,Estimate!A:Q,17,FALSE)," ")</f>
        <v>109.07000000000001</v>
      </c>
      <c r="F227" s="299">
        <v>10</v>
      </c>
      <c r="G227" s="299">
        <v>10</v>
      </c>
      <c r="H227" s="298">
        <v>10</v>
      </c>
      <c r="I227" s="298">
        <f t="shared" si="1260"/>
        <v>79</v>
      </c>
      <c r="J227" s="298">
        <v>79</v>
      </c>
      <c r="K227" s="298"/>
      <c r="L227" s="299"/>
      <c r="M227" s="301">
        <f t="shared" si="1203"/>
        <v>0</v>
      </c>
      <c r="N227" s="299">
        <v>10</v>
      </c>
      <c r="O227" s="301">
        <f t="shared" si="1203"/>
        <v>1</v>
      </c>
      <c r="P227" s="299">
        <v>10</v>
      </c>
      <c r="Q227" s="301">
        <f t="shared" ref="Q227" si="1340">IFERROR(P227/$G227," ")</f>
        <v>1</v>
      </c>
      <c r="R227" s="299">
        <v>10</v>
      </c>
      <c r="S227" s="301">
        <f t="shared" ref="S227" si="1341">IFERROR(R227/$G227," ")</f>
        <v>1</v>
      </c>
      <c r="T227" s="299">
        <v>10</v>
      </c>
      <c r="U227" s="301">
        <f t="shared" ref="U227" si="1342">IFERROR(T227/$G227," ")</f>
        <v>1</v>
      </c>
      <c r="V227" s="299">
        <v>10</v>
      </c>
      <c r="W227" s="301">
        <f t="shared" ref="W227" si="1343">IFERROR(V227/$G227," ")</f>
        <v>1</v>
      </c>
      <c r="X227" s="299">
        <v>10</v>
      </c>
      <c r="Y227" s="301">
        <f t="shared" ref="Y227" si="1344">IFERROR(X227/$G227," ")</f>
        <v>1</v>
      </c>
      <c r="Z227" s="299">
        <v>10</v>
      </c>
      <c r="AA227" s="301">
        <f t="shared" ref="AA227" si="1345">IFERROR(Z227/$G227," ")</f>
        <v>1</v>
      </c>
      <c r="AB227" s="292"/>
      <c r="AC227" s="279">
        <f t="shared" si="1234"/>
        <v>0</v>
      </c>
      <c r="AD227" s="279">
        <f t="shared" si="1235"/>
        <v>79</v>
      </c>
      <c r="AE227" s="279">
        <f t="shared" si="1236"/>
        <v>79</v>
      </c>
      <c r="AF227" s="279">
        <f t="shared" si="1237"/>
        <v>79</v>
      </c>
      <c r="AG227" s="279">
        <f t="shared" si="1238"/>
        <v>79</v>
      </c>
      <c r="AH227" s="279">
        <f t="shared" si="1239"/>
        <v>79</v>
      </c>
      <c r="AI227" s="279">
        <f t="shared" si="1240"/>
        <v>79</v>
      </c>
      <c r="AJ227" s="279">
        <f t="shared" si="1241"/>
        <v>79</v>
      </c>
    </row>
    <row r="228" spans="1:36" x14ac:dyDescent="0.65">
      <c r="A228" s="203">
        <v>182</v>
      </c>
      <c r="B228" s="292" t="s">
        <v>492</v>
      </c>
      <c r="C228" s="276" t="s">
        <v>493</v>
      </c>
      <c r="D228" s="292" t="s">
        <v>72</v>
      </c>
      <c r="E228" s="321">
        <f>IFERROR(VLOOKUP(A228,Estimate!A:Q,17,FALSE)," ")</f>
        <v>5113.1159905323047</v>
      </c>
      <c r="F228" s="299">
        <v>100</v>
      </c>
      <c r="G228" s="299">
        <v>100</v>
      </c>
      <c r="H228" s="298">
        <v>51.13</v>
      </c>
      <c r="I228" s="298">
        <f t="shared" si="1260"/>
        <v>5113</v>
      </c>
      <c r="J228" s="298">
        <v>5113</v>
      </c>
      <c r="K228" s="298"/>
      <c r="L228" s="299"/>
      <c r="M228" s="301">
        <f t="shared" si="1203"/>
        <v>0</v>
      </c>
      <c r="N228" s="299">
        <v>100</v>
      </c>
      <c r="O228" s="301">
        <f t="shared" si="1203"/>
        <v>1</v>
      </c>
      <c r="P228" s="299">
        <v>100</v>
      </c>
      <c r="Q228" s="301">
        <f t="shared" ref="Q228" si="1346">IFERROR(P228/$G228," ")</f>
        <v>1</v>
      </c>
      <c r="R228" s="299">
        <v>100</v>
      </c>
      <c r="S228" s="301">
        <f t="shared" ref="S228" si="1347">IFERROR(R228/$G228," ")</f>
        <v>1</v>
      </c>
      <c r="T228" s="299">
        <v>100</v>
      </c>
      <c r="U228" s="301">
        <f t="shared" ref="U228" si="1348">IFERROR(T228/$G228," ")</f>
        <v>1</v>
      </c>
      <c r="V228" s="299">
        <v>100</v>
      </c>
      <c r="W228" s="301">
        <f t="shared" ref="W228" si="1349">IFERROR(V228/$G228," ")</f>
        <v>1</v>
      </c>
      <c r="X228" s="299">
        <v>100</v>
      </c>
      <c r="Y228" s="301">
        <f t="shared" ref="Y228" si="1350">IFERROR(X228/$G228," ")</f>
        <v>1</v>
      </c>
      <c r="Z228" s="299">
        <v>100</v>
      </c>
      <c r="AA228" s="301">
        <f t="shared" ref="AA228" si="1351">IFERROR(Z228/$G228," ")</f>
        <v>1</v>
      </c>
      <c r="AB228" s="292"/>
      <c r="AC228" s="279">
        <f t="shared" si="1234"/>
        <v>0</v>
      </c>
      <c r="AD228" s="279">
        <f t="shared" si="1235"/>
        <v>5113</v>
      </c>
      <c r="AE228" s="279">
        <f t="shared" si="1236"/>
        <v>5113</v>
      </c>
      <c r="AF228" s="279">
        <f t="shared" si="1237"/>
        <v>5113</v>
      </c>
      <c r="AG228" s="279">
        <f t="shared" si="1238"/>
        <v>5113</v>
      </c>
      <c r="AH228" s="279">
        <f t="shared" si="1239"/>
        <v>5113</v>
      </c>
      <c r="AI228" s="279">
        <f t="shared" si="1240"/>
        <v>5113</v>
      </c>
      <c r="AJ228" s="279">
        <f t="shared" si="1241"/>
        <v>5113</v>
      </c>
    </row>
    <row r="229" spans="1:36" x14ac:dyDescent="0.65">
      <c r="A229" s="203">
        <v>183</v>
      </c>
      <c r="B229" s="292" t="s">
        <v>494</v>
      </c>
      <c r="C229" s="276" t="s">
        <v>495</v>
      </c>
      <c r="D229" s="292" t="s">
        <v>79</v>
      </c>
      <c r="E229" s="321">
        <f>IFERROR(VLOOKUP(A229,Estimate!A:Q,17,FALSE)," ")</f>
        <v>3834.8369928992274</v>
      </c>
      <c r="F229" s="299">
        <v>1</v>
      </c>
      <c r="G229" s="299">
        <v>1</v>
      </c>
      <c r="H229" s="298">
        <v>4130.09</v>
      </c>
      <c r="I229" s="298">
        <f t="shared" si="1260"/>
        <v>4130.09</v>
      </c>
      <c r="J229" s="298">
        <v>4130.09</v>
      </c>
      <c r="K229" s="298"/>
      <c r="L229" s="299"/>
      <c r="M229" s="301">
        <f t="shared" si="1203"/>
        <v>0</v>
      </c>
      <c r="N229" s="299">
        <v>1</v>
      </c>
      <c r="O229" s="301">
        <f t="shared" si="1203"/>
        <v>1</v>
      </c>
      <c r="P229" s="299">
        <v>1</v>
      </c>
      <c r="Q229" s="301">
        <f t="shared" ref="Q229" si="1352">IFERROR(P229/$G229," ")</f>
        <v>1</v>
      </c>
      <c r="R229" s="299">
        <v>1</v>
      </c>
      <c r="S229" s="301">
        <f t="shared" ref="S229" si="1353">IFERROR(R229/$G229," ")</f>
        <v>1</v>
      </c>
      <c r="T229" s="299">
        <v>1</v>
      </c>
      <c r="U229" s="301">
        <f t="shared" ref="U229" si="1354">IFERROR(T229/$G229," ")</f>
        <v>1</v>
      </c>
      <c r="V229" s="299">
        <v>1</v>
      </c>
      <c r="W229" s="301">
        <f t="shared" ref="W229" si="1355">IFERROR(V229/$G229," ")</f>
        <v>1</v>
      </c>
      <c r="X229" s="299">
        <v>1</v>
      </c>
      <c r="Y229" s="301">
        <f t="shared" ref="Y229" si="1356">IFERROR(X229/$G229," ")</f>
        <v>1</v>
      </c>
      <c r="Z229" s="299">
        <v>1</v>
      </c>
      <c r="AA229" s="301">
        <f t="shared" ref="AA229" si="1357">IFERROR(Z229/$G229," ")</f>
        <v>1</v>
      </c>
      <c r="AB229" s="292"/>
      <c r="AC229" s="279">
        <f t="shared" si="1234"/>
        <v>0</v>
      </c>
      <c r="AD229" s="279">
        <f t="shared" si="1235"/>
        <v>4130.09</v>
      </c>
      <c r="AE229" s="279">
        <f t="shared" si="1236"/>
        <v>4130.09</v>
      </c>
      <c r="AF229" s="279">
        <f t="shared" si="1237"/>
        <v>4130.09</v>
      </c>
      <c r="AG229" s="279">
        <f t="shared" si="1238"/>
        <v>4130.09</v>
      </c>
      <c r="AH229" s="279">
        <f t="shared" si="1239"/>
        <v>4130.09</v>
      </c>
      <c r="AI229" s="279">
        <f t="shared" si="1240"/>
        <v>4130.09</v>
      </c>
      <c r="AJ229" s="279">
        <f t="shared" si="1241"/>
        <v>4130.09</v>
      </c>
    </row>
    <row r="230" spans="1:36" x14ac:dyDescent="0.65">
      <c r="A230" s="203">
        <v>184</v>
      </c>
      <c r="B230" s="276" t="s">
        <v>496</v>
      </c>
      <c r="C230" s="276" t="s">
        <v>497</v>
      </c>
      <c r="D230" s="299" t="s">
        <v>79</v>
      </c>
      <c r="E230" s="321"/>
      <c r="F230" s="299">
        <v>1</v>
      </c>
      <c r="G230" s="299">
        <f>VLOOKUP(A230,Estimate!A:H,8,FALSE)</f>
        <v>1</v>
      </c>
      <c r="H230" s="298">
        <v>1</v>
      </c>
      <c r="I230" s="298"/>
      <c r="J230" s="298"/>
      <c r="K230" s="298"/>
      <c r="L230" s="299"/>
      <c r="M230" s="301"/>
      <c r="N230" s="299"/>
      <c r="O230" s="301"/>
      <c r="P230" s="299"/>
      <c r="Q230" s="301"/>
      <c r="R230" s="299"/>
      <c r="S230" s="301"/>
      <c r="T230" s="299"/>
      <c r="U230" s="301"/>
      <c r="V230" s="299"/>
      <c r="W230" s="301"/>
      <c r="X230" s="299"/>
      <c r="Y230" s="301"/>
      <c r="Z230" s="299"/>
      <c r="AA230" s="301"/>
      <c r="AB230" s="292"/>
      <c r="AC230" s="279"/>
      <c r="AD230" s="279"/>
      <c r="AE230" s="279"/>
      <c r="AF230" s="279"/>
      <c r="AG230" s="279"/>
      <c r="AH230" s="279"/>
      <c r="AI230" s="279"/>
      <c r="AJ230" s="279"/>
    </row>
    <row r="231" spans="1:36" x14ac:dyDescent="0.65">
      <c r="A231" s="203">
        <v>185</v>
      </c>
      <c r="B231" s="276" t="s">
        <v>518</v>
      </c>
      <c r="C231" s="276" t="s">
        <v>519</v>
      </c>
      <c r="D231" s="299" t="s">
        <v>83</v>
      </c>
      <c r="E231" s="321">
        <f>IFERROR(VLOOKUP(A231,Estimate!A:Q,17,FALSE)," ")</f>
        <v>192</v>
      </c>
      <c r="F231" s="299">
        <v>1800</v>
      </c>
      <c r="G231" s="299">
        <f>VLOOKUP(A231,Estimate!A:H,8,FALSE)</f>
        <v>1800</v>
      </c>
      <c r="H231" s="298">
        <v>1800</v>
      </c>
      <c r="I231" s="298">
        <f t="shared" si="1260"/>
        <v>2430</v>
      </c>
      <c r="J231" s="298">
        <v>2430</v>
      </c>
      <c r="K231" s="298"/>
      <c r="L231" s="299"/>
      <c r="M231" s="301">
        <f t="shared" si="1203"/>
        <v>0</v>
      </c>
      <c r="N231" s="299"/>
      <c r="O231" s="301">
        <f t="shared" si="1203"/>
        <v>0</v>
      </c>
      <c r="P231" s="299">
        <v>1800</v>
      </c>
      <c r="Q231" s="301">
        <f t="shared" ref="Q231" si="1358">IFERROR(P231/$G231," ")</f>
        <v>1</v>
      </c>
      <c r="R231" s="299">
        <v>1800</v>
      </c>
      <c r="S231" s="301">
        <f t="shared" ref="S231" si="1359">IFERROR(R231/$G231," ")</f>
        <v>1</v>
      </c>
      <c r="T231" s="299">
        <v>1800</v>
      </c>
      <c r="U231" s="301">
        <f t="shared" ref="U231" si="1360">IFERROR(T231/$G231," ")</f>
        <v>1</v>
      </c>
      <c r="V231" s="299">
        <v>1800</v>
      </c>
      <c r="W231" s="301">
        <f t="shared" ref="W231" si="1361">IFERROR(V231/$G231," ")</f>
        <v>1</v>
      </c>
      <c r="X231" s="299">
        <v>1800</v>
      </c>
      <c r="Y231" s="301">
        <f t="shared" ref="Y231" si="1362">IFERROR(X231/$G231," ")</f>
        <v>1</v>
      </c>
      <c r="Z231" s="299">
        <v>1800</v>
      </c>
      <c r="AA231" s="301">
        <f t="shared" ref="AA231" si="1363">IFERROR(Z231/$G231," ")</f>
        <v>1</v>
      </c>
      <c r="AB231" s="292"/>
      <c r="AC231" s="279">
        <f t="shared" si="1234"/>
        <v>0</v>
      </c>
      <c r="AD231" s="279">
        <f t="shared" si="1235"/>
        <v>0</v>
      </c>
      <c r="AE231" s="279">
        <f t="shared" si="1236"/>
        <v>2430</v>
      </c>
      <c r="AF231" s="279">
        <f t="shared" si="1237"/>
        <v>2430</v>
      </c>
      <c r="AG231" s="279">
        <f t="shared" si="1238"/>
        <v>2430</v>
      </c>
      <c r="AH231" s="279">
        <f t="shared" si="1239"/>
        <v>2430</v>
      </c>
      <c r="AI231" s="279">
        <f t="shared" si="1240"/>
        <v>2430</v>
      </c>
      <c r="AJ231" s="279">
        <f t="shared" si="1241"/>
        <v>2430</v>
      </c>
    </row>
    <row r="232" spans="1:36" x14ac:dyDescent="0.65">
      <c r="A232" s="203">
        <v>186</v>
      </c>
      <c r="B232" s="276" t="s">
        <v>500</v>
      </c>
      <c r="C232" s="276" t="s">
        <v>501</v>
      </c>
      <c r="D232" s="299" t="s">
        <v>72</v>
      </c>
      <c r="E232" s="321">
        <f>IFERROR(VLOOKUP(A232,Estimate!A:Q,17,FALSE)," ")</f>
        <v>1543.5</v>
      </c>
      <c r="F232" s="299">
        <v>180</v>
      </c>
      <c r="G232" s="299">
        <f>VLOOKUP(A232,Estimate!A:H,8,FALSE)</f>
        <v>180</v>
      </c>
      <c r="H232" s="298">
        <v>180</v>
      </c>
      <c r="I232" s="298">
        <f t="shared" si="1260"/>
        <v>1967.4</v>
      </c>
      <c r="J232" s="298">
        <v>1967.4</v>
      </c>
      <c r="K232" s="298"/>
      <c r="L232" s="299"/>
      <c r="M232" s="301">
        <f t="shared" si="1203"/>
        <v>0</v>
      </c>
      <c r="N232" s="299"/>
      <c r="O232" s="301">
        <f t="shared" si="1203"/>
        <v>0</v>
      </c>
      <c r="P232" s="299">
        <v>180</v>
      </c>
      <c r="Q232" s="301">
        <f t="shared" ref="Q232" si="1364">IFERROR(P232/$G232," ")</f>
        <v>1</v>
      </c>
      <c r="R232" s="299">
        <v>180</v>
      </c>
      <c r="S232" s="301">
        <f t="shared" ref="S232" si="1365">IFERROR(R232/$G232," ")</f>
        <v>1</v>
      </c>
      <c r="T232" s="299">
        <v>180</v>
      </c>
      <c r="U232" s="301">
        <f t="shared" ref="U232" si="1366">IFERROR(T232/$G232," ")</f>
        <v>1</v>
      </c>
      <c r="V232" s="299">
        <v>180</v>
      </c>
      <c r="W232" s="301">
        <f t="shared" ref="W232" si="1367">IFERROR(V232/$G232," ")</f>
        <v>1</v>
      </c>
      <c r="X232" s="299">
        <v>180</v>
      </c>
      <c r="Y232" s="301">
        <f t="shared" ref="Y232" si="1368">IFERROR(X232/$G232," ")</f>
        <v>1</v>
      </c>
      <c r="Z232" s="299">
        <v>180</v>
      </c>
      <c r="AA232" s="301">
        <f t="shared" ref="AA232" si="1369">IFERROR(Z232/$G232," ")</f>
        <v>1</v>
      </c>
      <c r="AB232" s="292"/>
      <c r="AC232" s="279">
        <f t="shared" si="1234"/>
        <v>0</v>
      </c>
      <c r="AD232" s="279">
        <f t="shared" si="1235"/>
        <v>0</v>
      </c>
      <c r="AE232" s="279">
        <f t="shared" si="1236"/>
        <v>1967.4</v>
      </c>
      <c r="AF232" s="279">
        <f t="shared" si="1237"/>
        <v>1967.4</v>
      </c>
      <c r="AG232" s="279">
        <f t="shared" si="1238"/>
        <v>1967.4</v>
      </c>
      <c r="AH232" s="279">
        <f t="shared" si="1239"/>
        <v>1967.4</v>
      </c>
      <c r="AI232" s="279">
        <f t="shared" si="1240"/>
        <v>1967.4</v>
      </c>
      <c r="AJ232" s="279">
        <f t="shared" si="1241"/>
        <v>1967.4</v>
      </c>
    </row>
    <row r="233" spans="1:36" x14ac:dyDescent="0.65">
      <c r="A233" s="203">
        <v>187</v>
      </c>
      <c r="B233" s="276" t="s">
        <v>510</v>
      </c>
      <c r="C233" s="276" t="s">
        <v>511</v>
      </c>
      <c r="D233" s="299" t="s">
        <v>72</v>
      </c>
      <c r="E233" s="321">
        <f>IFERROR(VLOOKUP(A233,Estimate!A:Q,17,FALSE)," ")</f>
        <v>14584.037389342309</v>
      </c>
      <c r="F233" s="299">
        <v>1080</v>
      </c>
      <c r="G233" s="299">
        <f>VLOOKUP(A233,Estimate!A:H,8,FALSE)</f>
        <v>1080</v>
      </c>
      <c r="H233" s="298">
        <v>1080</v>
      </c>
      <c r="I233" s="298">
        <f t="shared" si="1260"/>
        <v>18586.8</v>
      </c>
      <c r="J233" s="298">
        <v>18586.8</v>
      </c>
      <c r="K233" s="298"/>
      <c r="L233" s="299"/>
      <c r="M233" s="301">
        <f t="shared" si="1203"/>
        <v>0</v>
      </c>
      <c r="N233" s="299"/>
      <c r="O233" s="301">
        <f t="shared" si="1203"/>
        <v>0</v>
      </c>
      <c r="P233" s="299"/>
      <c r="Q233" s="301">
        <f t="shared" ref="Q233" si="1370">IFERROR(P233/$G233," ")</f>
        <v>0</v>
      </c>
      <c r="R233" s="299">
        <v>1080</v>
      </c>
      <c r="S233" s="301">
        <f t="shared" ref="S233" si="1371">IFERROR(R233/$G233," ")</f>
        <v>1</v>
      </c>
      <c r="T233" s="299">
        <v>1080</v>
      </c>
      <c r="U233" s="301">
        <f t="shared" ref="U233" si="1372">IFERROR(T233/$G233," ")</f>
        <v>1</v>
      </c>
      <c r="V233" s="299">
        <v>1080</v>
      </c>
      <c r="W233" s="301">
        <f t="shared" ref="W233" si="1373">IFERROR(V233/$G233," ")</f>
        <v>1</v>
      </c>
      <c r="X233" s="299">
        <v>1080</v>
      </c>
      <c r="Y233" s="301">
        <f t="shared" ref="Y233" si="1374">IFERROR(X233/$G233," ")</f>
        <v>1</v>
      </c>
      <c r="Z233" s="299">
        <v>1080</v>
      </c>
      <c r="AA233" s="301">
        <f t="shared" ref="AA233" si="1375">IFERROR(Z233/$G233," ")</f>
        <v>1</v>
      </c>
      <c r="AB233" s="292"/>
      <c r="AC233" s="279">
        <f t="shared" si="1234"/>
        <v>0</v>
      </c>
      <c r="AD233" s="279">
        <f t="shared" si="1235"/>
        <v>0</v>
      </c>
      <c r="AE233" s="279">
        <f t="shared" si="1236"/>
        <v>0</v>
      </c>
      <c r="AF233" s="279">
        <f t="shared" si="1237"/>
        <v>18586.8</v>
      </c>
      <c r="AG233" s="279">
        <f t="shared" si="1238"/>
        <v>18586.8</v>
      </c>
      <c r="AH233" s="279">
        <f t="shared" si="1239"/>
        <v>18586.8</v>
      </c>
      <c r="AI233" s="279">
        <f t="shared" si="1240"/>
        <v>18586.8</v>
      </c>
      <c r="AJ233" s="279">
        <f t="shared" si="1241"/>
        <v>18586.8</v>
      </c>
    </row>
    <row r="234" spans="1:36" x14ac:dyDescent="0.65">
      <c r="A234" s="203">
        <v>188</v>
      </c>
      <c r="B234" s="276" t="s">
        <v>506</v>
      </c>
      <c r="C234" s="276" t="s">
        <v>507</v>
      </c>
      <c r="D234" s="299" t="s">
        <v>83</v>
      </c>
      <c r="E234" s="321">
        <f>IFERROR(VLOOKUP(A234,Estimate!A:Q,17,FALSE)," ")</f>
        <v>3667.4285714285716</v>
      </c>
      <c r="F234" s="299">
        <v>1800</v>
      </c>
      <c r="G234" s="299">
        <f>VLOOKUP(A234,Estimate!A:H,8,FALSE)</f>
        <v>1800</v>
      </c>
      <c r="H234" s="298">
        <v>1800</v>
      </c>
      <c r="I234" s="298">
        <f t="shared" si="1260"/>
        <v>4680</v>
      </c>
      <c r="J234" s="298">
        <v>4680</v>
      </c>
      <c r="K234" s="298"/>
      <c r="L234" s="299"/>
      <c r="M234" s="301">
        <f t="shared" si="1203"/>
        <v>0</v>
      </c>
      <c r="N234" s="299"/>
      <c r="O234" s="301">
        <f t="shared" si="1203"/>
        <v>0</v>
      </c>
      <c r="P234" s="299"/>
      <c r="Q234" s="301">
        <f t="shared" ref="Q234" si="1376">IFERROR(P234/$G234," ")</f>
        <v>0</v>
      </c>
      <c r="R234" s="299">
        <v>1800</v>
      </c>
      <c r="S234" s="301">
        <f t="shared" ref="S234" si="1377">IFERROR(R234/$G234," ")</f>
        <v>1</v>
      </c>
      <c r="T234" s="299">
        <v>1800</v>
      </c>
      <c r="U234" s="301">
        <f t="shared" ref="U234" si="1378">IFERROR(T234/$G234," ")</f>
        <v>1</v>
      </c>
      <c r="V234" s="299">
        <v>1800</v>
      </c>
      <c r="W234" s="301">
        <f t="shared" ref="W234" si="1379">IFERROR(V234/$G234," ")</f>
        <v>1</v>
      </c>
      <c r="X234" s="299">
        <v>1800</v>
      </c>
      <c r="Y234" s="301">
        <f t="shared" ref="Y234" si="1380">IFERROR(X234/$G234," ")</f>
        <v>1</v>
      </c>
      <c r="Z234" s="299">
        <v>1800</v>
      </c>
      <c r="AA234" s="301">
        <f t="shared" ref="AA234" si="1381">IFERROR(Z234/$G234," ")</f>
        <v>1</v>
      </c>
      <c r="AB234" s="292"/>
      <c r="AC234" s="279">
        <f t="shared" si="1234"/>
        <v>0</v>
      </c>
      <c r="AD234" s="279">
        <f t="shared" si="1235"/>
        <v>0</v>
      </c>
      <c r="AE234" s="279">
        <f t="shared" si="1236"/>
        <v>0</v>
      </c>
      <c r="AF234" s="279">
        <f t="shared" si="1237"/>
        <v>4680</v>
      </c>
      <c r="AG234" s="279">
        <f t="shared" si="1238"/>
        <v>4680</v>
      </c>
      <c r="AH234" s="279">
        <f t="shared" si="1239"/>
        <v>4680</v>
      </c>
      <c r="AI234" s="279">
        <f t="shared" si="1240"/>
        <v>4680</v>
      </c>
      <c r="AJ234" s="279">
        <f t="shared" si="1241"/>
        <v>4680</v>
      </c>
    </row>
    <row r="235" spans="1:36" x14ac:dyDescent="0.65">
      <c r="A235" s="203">
        <v>189</v>
      </c>
      <c r="B235" s="276" t="s">
        <v>514</v>
      </c>
      <c r="C235" s="276" t="s">
        <v>515</v>
      </c>
      <c r="D235" s="299" t="s">
        <v>72</v>
      </c>
      <c r="E235" s="321">
        <f>IFERROR(VLOOKUP(A235,Estimate!A:Q,17,FALSE)," ")</f>
        <v>14156.140550669856</v>
      </c>
      <c r="F235" s="299">
        <v>225</v>
      </c>
      <c r="G235" s="299">
        <f>VLOOKUP(A235,Estimate!A:H,8,FALSE)</f>
        <v>225</v>
      </c>
      <c r="H235" s="298">
        <v>225</v>
      </c>
      <c r="I235" s="298">
        <f t="shared" si="1260"/>
        <v>18038.25</v>
      </c>
      <c r="J235" s="298">
        <v>18038.25</v>
      </c>
      <c r="K235" s="298"/>
      <c r="L235" s="299"/>
      <c r="M235" s="301">
        <f t="shared" si="1203"/>
        <v>0</v>
      </c>
      <c r="N235" s="299"/>
      <c r="O235" s="301">
        <f t="shared" si="1203"/>
        <v>0</v>
      </c>
      <c r="P235" s="299"/>
      <c r="Q235" s="301">
        <f t="shared" ref="Q235" si="1382">IFERROR(P235/$G235," ")</f>
        <v>0</v>
      </c>
      <c r="R235" s="299">
        <v>225</v>
      </c>
      <c r="S235" s="301">
        <f t="shared" ref="S235" si="1383">IFERROR(R235/$G235," ")</f>
        <v>1</v>
      </c>
      <c r="T235" s="299">
        <v>225</v>
      </c>
      <c r="U235" s="301">
        <f t="shared" ref="U235" si="1384">IFERROR(T235/$G235," ")</f>
        <v>1</v>
      </c>
      <c r="V235" s="299">
        <v>225</v>
      </c>
      <c r="W235" s="301">
        <f t="shared" ref="W235" si="1385">IFERROR(V235/$G235," ")</f>
        <v>1</v>
      </c>
      <c r="X235" s="299">
        <v>225</v>
      </c>
      <c r="Y235" s="301">
        <f t="shared" ref="Y235" si="1386">IFERROR(X235/$G235," ")</f>
        <v>1</v>
      </c>
      <c r="Z235" s="299">
        <v>225</v>
      </c>
      <c r="AA235" s="301">
        <f t="shared" ref="AA235" si="1387">IFERROR(Z235/$G235," ")</f>
        <v>1</v>
      </c>
      <c r="AB235" s="292"/>
      <c r="AC235" s="279">
        <f t="shared" ref="AC235:AC266" si="1388">IFERROR(M235*$I235," ")</f>
        <v>0</v>
      </c>
      <c r="AD235" s="279">
        <f t="shared" ref="AD235:AD266" si="1389">IFERROR(O235*$I235," ")</f>
        <v>0</v>
      </c>
      <c r="AE235" s="279">
        <f t="shared" ref="AE235:AE266" si="1390">IFERROR(Q235*$I235," ")</f>
        <v>0</v>
      </c>
      <c r="AF235" s="279">
        <f t="shared" ref="AF235:AF266" si="1391">IFERROR(S235*$I235," ")</f>
        <v>18038.25</v>
      </c>
      <c r="AG235" s="279">
        <f t="shared" ref="AG235:AG266" si="1392">IFERROR(U235*$I235," ")</f>
        <v>18038.25</v>
      </c>
      <c r="AH235" s="279">
        <f t="shared" ref="AH235:AH266" si="1393">IFERROR(W235*$I235," ")</f>
        <v>18038.25</v>
      </c>
      <c r="AI235" s="279">
        <f t="shared" ref="AI235:AI266" si="1394">IFERROR(Y235*$I235," ")</f>
        <v>18038.25</v>
      </c>
      <c r="AJ235" s="279">
        <f t="shared" ref="AJ235:AJ266" si="1395">IFERROR(AA235*$I235," ")</f>
        <v>18038.25</v>
      </c>
    </row>
    <row r="236" spans="1:36" x14ac:dyDescent="0.65">
      <c r="A236" s="203">
        <v>190</v>
      </c>
      <c r="B236" s="276" t="s">
        <v>512</v>
      </c>
      <c r="C236" s="276" t="s">
        <v>513</v>
      </c>
      <c r="D236" s="299" t="s">
        <v>451</v>
      </c>
      <c r="E236" s="321">
        <f>IFERROR(VLOOKUP(A236,Estimate!A:Q,17,FALSE)," ")</f>
        <v>11007.662440535883</v>
      </c>
      <c r="F236" s="299">
        <v>180</v>
      </c>
      <c r="G236" s="299">
        <f>VLOOKUP(A236,Estimate!A:H,8,FALSE)</f>
        <v>180</v>
      </c>
      <c r="H236" s="298">
        <v>180</v>
      </c>
      <c r="I236" s="298">
        <f t="shared" si="1260"/>
        <v>14025.6</v>
      </c>
      <c r="J236" s="298">
        <v>14025.6</v>
      </c>
      <c r="K236" s="298"/>
      <c r="L236" s="299"/>
      <c r="M236" s="301">
        <f t="shared" si="1203"/>
        <v>0</v>
      </c>
      <c r="N236" s="299"/>
      <c r="O236" s="301">
        <f t="shared" si="1203"/>
        <v>0</v>
      </c>
      <c r="P236" s="299"/>
      <c r="Q236" s="301">
        <f t="shared" ref="Q236" si="1396">IFERROR(P236/$G236," ")</f>
        <v>0</v>
      </c>
      <c r="R236" s="299">
        <v>180</v>
      </c>
      <c r="S236" s="301">
        <f t="shared" ref="S236" si="1397">IFERROR(R236/$G236," ")</f>
        <v>1</v>
      </c>
      <c r="T236" s="299">
        <v>180</v>
      </c>
      <c r="U236" s="301">
        <f t="shared" ref="U236" si="1398">IFERROR(T236/$G236," ")</f>
        <v>1</v>
      </c>
      <c r="V236" s="299">
        <v>180</v>
      </c>
      <c r="W236" s="301">
        <f t="shared" ref="W236" si="1399">IFERROR(V236/$G236," ")</f>
        <v>1</v>
      </c>
      <c r="X236" s="299">
        <v>180</v>
      </c>
      <c r="Y236" s="301">
        <f t="shared" ref="Y236" si="1400">IFERROR(X236/$G236," ")</f>
        <v>1</v>
      </c>
      <c r="Z236" s="299">
        <v>180</v>
      </c>
      <c r="AA236" s="301">
        <f t="shared" ref="AA236" si="1401">IFERROR(Z236/$G236," ")</f>
        <v>1</v>
      </c>
      <c r="AB236" s="292"/>
      <c r="AC236" s="279">
        <f t="shared" si="1388"/>
        <v>0</v>
      </c>
      <c r="AD236" s="279">
        <f t="shared" si="1389"/>
        <v>0</v>
      </c>
      <c r="AE236" s="279">
        <f t="shared" si="1390"/>
        <v>0</v>
      </c>
      <c r="AF236" s="279">
        <f t="shared" si="1391"/>
        <v>14025.6</v>
      </c>
      <c r="AG236" s="279">
        <f t="shared" si="1392"/>
        <v>14025.6</v>
      </c>
      <c r="AH236" s="279">
        <f t="shared" si="1393"/>
        <v>14025.6</v>
      </c>
      <c r="AI236" s="279">
        <f t="shared" si="1394"/>
        <v>14025.6</v>
      </c>
      <c r="AJ236" s="279">
        <f t="shared" si="1395"/>
        <v>14025.6</v>
      </c>
    </row>
    <row r="237" spans="1:36" x14ac:dyDescent="0.65">
      <c r="A237" s="203">
        <v>191</v>
      </c>
      <c r="B237" s="276" t="s">
        <v>504</v>
      </c>
      <c r="C237" s="276" t="s">
        <v>505</v>
      </c>
      <c r="D237" s="299" t="s">
        <v>83</v>
      </c>
      <c r="E237" s="321">
        <f>IFERROR(VLOOKUP(A237,Estimate!A:Q,17,FALSE)," ")</f>
        <v>8486.1</v>
      </c>
      <c r="F237" s="299">
        <v>1800</v>
      </c>
      <c r="G237" s="299">
        <f>VLOOKUP(A237,Estimate!A:H,8,FALSE)</f>
        <v>1800</v>
      </c>
      <c r="H237" s="298">
        <v>1800</v>
      </c>
      <c r="I237" s="298">
        <f t="shared" si="1260"/>
        <v>10818</v>
      </c>
      <c r="J237" s="298">
        <v>10818</v>
      </c>
      <c r="K237" s="298"/>
      <c r="L237" s="299"/>
      <c r="M237" s="301">
        <f t="shared" si="1203"/>
        <v>0</v>
      </c>
      <c r="N237" s="299"/>
      <c r="O237" s="301">
        <f t="shared" si="1203"/>
        <v>0</v>
      </c>
      <c r="P237" s="299"/>
      <c r="Q237" s="301">
        <f t="shared" ref="Q237" si="1402">IFERROR(P237/$G237," ")</f>
        <v>0</v>
      </c>
      <c r="R237" s="299"/>
      <c r="S237" s="301">
        <f t="shared" ref="S237" si="1403">IFERROR(R237/$G237," ")</f>
        <v>0</v>
      </c>
      <c r="T237" s="299">
        <v>1800</v>
      </c>
      <c r="U237" s="301">
        <f t="shared" ref="U237" si="1404">IFERROR(T237/$G237," ")</f>
        <v>1</v>
      </c>
      <c r="V237" s="299">
        <v>1800</v>
      </c>
      <c r="W237" s="301">
        <f t="shared" ref="W237" si="1405">IFERROR(V237/$G237," ")</f>
        <v>1</v>
      </c>
      <c r="X237" s="299">
        <v>1800</v>
      </c>
      <c r="Y237" s="301">
        <f t="shared" ref="Y237" si="1406">IFERROR(X237/$G237," ")</f>
        <v>1</v>
      </c>
      <c r="Z237" s="299">
        <v>1800</v>
      </c>
      <c r="AA237" s="301">
        <f t="shared" ref="AA237" si="1407">IFERROR(Z237/$G237," ")</f>
        <v>1</v>
      </c>
      <c r="AB237" s="292"/>
      <c r="AC237" s="279">
        <f t="shared" si="1388"/>
        <v>0</v>
      </c>
      <c r="AD237" s="279">
        <f t="shared" si="1389"/>
        <v>0</v>
      </c>
      <c r="AE237" s="279">
        <f t="shared" si="1390"/>
        <v>0</v>
      </c>
      <c r="AF237" s="279">
        <f t="shared" si="1391"/>
        <v>0</v>
      </c>
      <c r="AG237" s="279">
        <f t="shared" si="1392"/>
        <v>10818</v>
      </c>
      <c r="AH237" s="279">
        <f t="shared" si="1393"/>
        <v>10818</v>
      </c>
      <c r="AI237" s="279">
        <f t="shared" si="1394"/>
        <v>10818</v>
      </c>
      <c r="AJ237" s="279">
        <f t="shared" si="1395"/>
        <v>10818</v>
      </c>
    </row>
    <row r="238" spans="1:36" x14ac:dyDescent="0.65">
      <c r="A238" s="203">
        <v>192</v>
      </c>
      <c r="B238" s="276" t="s">
        <v>502</v>
      </c>
      <c r="C238" s="276" t="s">
        <v>503</v>
      </c>
      <c r="D238" s="299" t="s">
        <v>25</v>
      </c>
      <c r="E238" s="321">
        <f>IFERROR(VLOOKUP(A238,Estimate!A:Q,17,FALSE)," ")</f>
        <v>1071.6804849432929</v>
      </c>
      <c r="F238" s="299">
        <v>44</v>
      </c>
      <c r="G238" s="299">
        <f>VLOOKUP(A238,Estimate!A:H,8,FALSE)</f>
        <v>44</v>
      </c>
      <c r="H238" s="298">
        <v>44</v>
      </c>
      <c r="I238" s="298">
        <f t="shared" si="1260"/>
        <v>1364</v>
      </c>
      <c r="J238" s="298">
        <v>1364</v>
      </c>
      <c r="K238" s="298"/>
      <c r="L238" s="299"/>
      <c r="M238" s="301">
        <f t="shared" si="1203"/>
        <v>0</v>
      </c>
      <c r="N238" s="299"/>
      <c r="O238" s="301">
        <f t="shared" si="1203"/>
        <v>0</v>
      </c>
      <c r="P238" s="299"/>
      <c r="Q238" s="301">
        <f t="shared" ref="Q238" si="1408">IFERROR(P238/$G238," ")</f>
        <v>0</v>
      </c>
      <c r="R238" s="299"/>
      <c r="S238" s="301">
        <f t="shared" ref="S238" si="1409">IFERROR(R238/$G238," ")</f>
        <v>0</v>
      </c>
      <c r="T238" s="299"/>
      <c r="U238" s="301">
        <f t="shared" ref="U238" si="1410">IFERROR(T238/$G238," ")</f>
        <v>0</v>
      </c>
      <c r="V238" s="299">
        <v>44</v>
      </c>
      <c r="W238" s="301">
        <f t="shared" ref="W238" si="1411">IFERROR(V238/$G238," ")</f>
        <v>1</v>
      </c>
      <c r="X238" s="299">
        <v>44</v>
      </c>
      <c r="Y238" s="301">
        <f t="shared" ref="Y238" si="1412">IFERROR(X238/$G238," ")</f>
        <v>1</v>
      </c>
      <c r="Z238" s="299">
        <v>44</v>
      </c>
      <c r="AA238" s="301">
        <f t="shared" ref="AA238" si="1413">IFERROR(Z238/$G238," ")</f>
        <v>1</v>
      </c>
      <c r="AB238" s="292"/>
      <c r="AC238" s="279">
        <f t="shared" si="1388"/>
        <v>0</v>
      </c>
      <c r="AD238" s="279">
        <f t="shared" si="1389"/>
        <v>0</v>
      </c>
      <c r="AE238" s="279">
        <f t="shared" si="1390"/>
        <v>0</v>
      </c>
      <c r="AF238" s="279">
        <f t="shared" si="1391"/>
        <v>0</v>
      </c>
      <c r="AG238" s="279">
        <f t="shared" si="1392"/>
        <v>0</v>
      </c>
      <c r="AH238" s="279">
        <f t="shared" si="1393"/>
        <v>1364</v>
      </c>
      <c r="AI238" s="279">
        <f t="shared" si="1394"/>
        <v>1364</v>
      </c>
      <c r="AJ238" s="279">
        <f t="shared" si="1395"/>
        <v>1364</v>
      </c>
    </row>
    <row r="239" spans="1:36" x14ac:dyDescent="0.65">
      <c r="A239" s="203">
        <v>193</v>
      </c>
      <c r="B239" s="276" t="s">
        <v>522</v>
      </c>
      <c r="C239" s="276" t="s">
        <v>523</v>
      </c>
      <c r="D239" s="299" t="s">
        <v>25</v>
      </c>
      <c r="E239" s="321">
        <f>IFERROR(VLOOKUP(A239,Estimate!A:Q,17,FALSE)," ")</f>
        <v>2431.2907617057162</v>
      </c>
      <c r="F239" s="299">
        <v>44</v>
      </c>
      <c r="G239" s="299">
        <f>VLOOKUP(A239,Estimate!A:H,8,FALSE)</f>
        <v>44</v>
      </c>
      <c r="H239" s="298">
        <v>44</v>
      </c>
      <c r="I239" s="298">
        <f t="shared" si="1260"/>
        <v>2299</v>
      </c>
      <c r="J239" s="298">
        <v>2299</v>
      </c>
      <c r="K239" s="298"/>
      <c r="L239" s="299"/>
      <c r="M239" s="301">
        <f t="shared" si="1203"/>
        <v>0</v>
      </c>
      <c r="N239" s="299"/>
      <c r="O239" s="301">
        <f t="shared" si="1203"/>
        <v>0</v>
      </c>
      <c r="P239" s="299"/>
      <c r="Q239" s="301">
        <f t="shared" ref="Q239" si="1414">IFERROR(P239/$G239," ")</f>
        <v>0</v>
      </c>
      <c r="R239" s="299"/>
      <c r="S239" s="301">
        <f t="shared" ref="S239" si="1415">IFERROR(R239/$G239," ")</f>
        <v>0</v>
      </c>
      <c r="T239" s="299">
        <v>44</v>
      </c>
      <c r="U239" s="301">
        <f t="shared" ref="U239" si="1416">IFERROR(T239/$G239," ")</f>
        <v>1</v>
      </c>
      <c r="V239" s="299">
        <v>44</v>
      </c>
      <c r="W239" s="301">
        <f t="shared" ref="W239" si="1417">IFERROR(V239/$G239," ")</f>
        <v>1</v>
      </c>
      <c r="X239" s="299">
        <v>44</v>
      </c>
      <c r="Y239" s="301">
        <f t="shared" ref="Y239" si="1418">IFERROR(X239/$G239," ")</f>
        <v>1</v>
      </c>
      <c r="Z239" s="299">
        <v>44</v>
      </c>
      <c r="AA239" s="301">
        <f t="shared" ref="AA239" si="1419">IFERROR(Z239/$G239," ")</f>
        <v>1</v>
      </c>
      <c r="AB239" s="292"/>
      <c r="AC239" s="279">
        <f t="shared" si="1388"/>
        <v>0</v>
      </c>
      <c r="AD239" s="279">
        <f t="shared" si="1389"/>
        <v>0</v>
      </c>
      <c r="AE239" s="279">
        <f t="shared" si="1390"/>
        <v>0</v>
      </c>
      <c r="AF239" s="279">
        <f t="shared" si="1391"/>
        <v>0</v>
      </c>
      <c r="AG239" s="279">
        <f t="shared" si="1392"/>
        <v>2299</v>
      </c>
      <c r="AH239" s="279">
        <f t="shared" si="1393"/>
        <v>2299</v>
      </c>
      <c r="AI239" s="279">
        <f t="shared" si="1394"/>
        <v>2299</v>
      </c>
      <c r="AJ239" s="279">
        <f t="shared" si="1395"/>
        <v>2299</v>
      </c>
    </row>
    <row r="240" spans="1:36" x14ac:dyDescent="0.65">
      <c r="A240" s="203">
        <v>194</v>
      </c>
      <c r="B240" s="276" t="s">
        <v>520</v>
      </c>
      <c r="C240" s="276" t="s">
        <v>521</v>
      </c>
      <c r="D240" s="299" t="s">
        <v>25</v>
      </c>
      <c r="E240" s="321">
        <f>IFERROR(VLOOKUP(A240,Estimate!A:Q,17,FALSE)," ")</f>
        <v>1279.8311302539728</v>
      </c>
      <c r="F240" s="299">
        <v>44</v>
      </c>
      <c r="G240" s="299">
        <f>VLOOKUP(A240,Estimate!A:H,8,FALSE)</f>
        <v>44</v>
      </c>
      <c r="H240" s="298">
        <v>44</v>
      </c>
      <c r="I240" s="298">
        <f t="shared" si="1260"/>
        <v>1630.64</v>
      </c>
      <c r="J240" s="298">
        <v>1630.64</v>
      </c>
      <c r="K240" s="298"/>
      <c r="L240" s="299"/>
      <c r="M240" s="301">
        <f t="shared" si="1203"/>
        <v>0</v>
      </c>
      <c r="N240" s="299"/>
      <c r="O240" s="301">
        <f t="shared" si="1203"/>
        <v>0</v>
      </c>
      <c r="P240" s="299"/>
      <c r="Q240" s="301">
        <f t="shared" ref="Q240" si="1420">IFERROR(P240/$G240," ")</f>
        <v>0</v>
      </c>
      <c r="R240" s="299"/>
      <c r="S240" s="301">
        <f t="shared" ref="S240" si="1421">IFERROR(R240/$G240," ")</f>
        <v>0</v>
      </c>
      <c r="T240" s="299">
        <v>44</v>
      </c>
      <c r="U240" s="301">
        <f t="shared" ref="U240" si="1422">IFERROR(T240/$G240," ")</f>
        <v>1</v>
      </c>
      <c r="V240" s="299">
        <v>44</v>
      </c>
      <c r="W240" s="301">
        <f t="shared" ref="W240" si="1423">IFERROR(V240/$G240," ")</f>
        <v>1</v>
      </c>
      <c r="X240" s="299">
        <v>44</v>
      </c>
      <c r="Y240" s="301">
        <f t="shared" ref="Y240" si="1424">IFERROR(X240/$G240," ")</f>
        <v>1</v>
      </c>
      <c r="Z240" s="299">
        <v>44</v>
      </c>
      <c r="AA240" s="301">
        <f t="shared" ref="AA240" si="1425">IFERROR(Z240/$G240," ")</f>
        <v>1</v>
      </c>
      <c r="AB240" s="292"/>
      <c r="AC240" s="279">
        <f t="shared" si="1388"/>
        <v>0</v>
      </c>
      <c r="AD240" s="279">
        <f t="shared" si="1389"/>
        <v>0</v>
      </c>
      <c r="AE240" s="279">
        <f t="shared" si="1390"/>
        <v>0</v>
      </c>
      <c r="AF240" s="279">
        <f t="shared" si="1391"/>
        <v>0</v>
      </c>
      <c r="AG240" s="279">
        <f t="shared" si="1392"/>
        <v>1630.64</v>
      </c>
      <c r="AH240" s="279">
        <f t="shared" si="1393"/>
        <v>1630.64</v>
      </c>
      <c r="AI240" s="279">
        <f t="shared" si="1394"/>
        <v>1630.64</v>
      </c>
      <c r="AJ240" s="279">
        <f t="shared" si="1395"/>
        <v>1630.64</v>
      </c>
    </row>
    <row r="241" spans="1:36" x14ac:dyDescent="0.65">
      <c r="A241" s="203">
        <v>195</v>
      </c>
      <c r="B241" s="276" t="s">
        <v>498</v>
      </c>
      <c r="C241" s="276" t="s">
        <v>499</v>
      </c>
      <c r="D241" s="299" t="s">
        <v>72</v>
      </c>
      <c r="E241" s="321">
        <f>IFERROR(VLOOKUP(A241,Estimate!A:Q,17,FALSE)," ")</f>
        <v>284.8</v>
      </c>
      <c r="F241" s="299">
        <v>20</v>
      </c>
      <c r="G241" s="299">
        <f>VLOOKUP(A241,Estimate!A:H,8,FALSE)</f>
        <v>20</v>
      </c>
      <c r="H241" s="298">
        <v>20</v>
      </c>
      <c r="I241" s="298">
        <f t="shared" si="1260"/>
        <v>363</v>
      </c>
      <c r="J241" s="298">
        <v>363</v>
      </c>
      <c r="K241" s="298"/>
      <c r="L241" s="299"/>
      <c r="M241" s="301">
        <f t="shared" si="1203"/>
        <v>0</v>
      </c>
      <c r="N241" s="299"/>
      <c r="O241" s="301">
        <f t="shared" si="1203"/>
        <v>0</v>
      </c>
      <c r="P241" s="299"/>
      <c r="Q241" s="301">
        <f t="shared" ref="Q241" si="1426">IFERROR(P241/$G241," ")</f>
        <v>0</v>
      </c>
      <c r="R241" s="299"/>
      <c r="S241" s="301">
        <f t="shared" ref="S241" si="1427">IFERROR(R241/$G241," ")</f>
        <v>0</v>
      </c>
      <c r="T241" s="299">
        <v>20</v>
      </c>
      <c r="U241" s="301">
        <f t="shared" ref="U241" si="1428">IFERROR(T241/$G241," ")</f>
        <v>1</v>
      </c>
      <c r="V241" s="299">
        <v>20</v>
      </c>
      <c r="W241" s="301">
        <f t="shared" ref="W241" si="1429">IFERROR(V241/$G241," ")</f>
        <v>1</v>
      </c>
      <c r="X241" s="299">
        <v>20</v>
      </c>
      <c r="Y241" s="301">
        <f t="shared" ref="Y241" si="1430">IFERROR(X241/$G241," ")</f>
        <v>1</v>
      </c>
      <c r="Z241" s="299">
        <v>20</v>
      </c>
      <c r="AA241" s="301">
        <f t="shared" ref="AA241" si="1431">IFERROR(Z241/$G241," ")</f>
        <v>1</v>
      </c>
      <c r="AB241" s="292"/>
      <c r="AC241" s="279">
        <f t="shared" si="1388"/>
        <v>0</v>
      </c>
      <c r="AD241" s="279">
        <f t="shared" si="1389"/>
        <v>0</v>
      </c>
      <c r="AE241" s="279">
        <f t="shared" si="1390"/>
        <v>0</v>
      </c>
      <c r="AF241" s="279">
        <f t="shared" si="1391"/>
        <v>0</v>
      </c>
      <c r="AG241" s="279">
        <f t="shared" si="1392"/>
        <v>363</v>
      </c>
      <c r="AH241" s="279">
        <f t="shared" si="1393"/>
        <v>363</v>
      </c>
      <c r="AI241" s="279">
        <f t="shared" si="1394"/>
        <v>363</v>
      </c>
      <c r="AJ241" s="279">
        <f t="shared" si="1395"/>
        <v>363</v>
      </c>
    </row>
    <row r="242" spans="1:36" x14ac:dyDescent="0.65">
      <c r="A242" s="203">
        <v>196</v>
      </c>
      <c r="B242" s="276" t="s">
        <v>534</v>
      </c>
      <c r="C242" s="276" t="s">
        <v>535</v>
      </c>
      <c r="D242" s="299" t="s">
        <v>25</v>
      </c>
      <c r="E242" s="321">
        <f>IFERROR(VLOOKUP(A242,Estimate!A:Q,17,FALSE)," ")</f>
        <v>4674.4885225738708</v>
      </c>
      <c r="F242" s="299">
        <v>26</v>
      </c>
      <c r="G242" s="299">
        <f>VLOOKUP(A242,Estimate!A:H,8,FALSE)</f>
        <v>26</v>
      </c>
      <c r="H242" s="298">
        <v>26</v>
      </c>
      <c r="I242" s="298">
        <f t="shared" si="1260"/>
        <v>5956.6</v>
      </c>
      <c r="J242" s="298">
        <v>5956.6</v>
      </c>
      <c r="K242" s="298"/>
      <c r="L242" s="299"/>
      <c r="M242" s="301">
        <f t="shared" si="1203"/>
        <v>0</v>
      </c>
      <c r="N242" s="299"/>
      <c r="O242" s="301">
        <f t="shared" si="1203"/>
        <v>0</v>
      </c>
      <c r="P242" s="299"/>
      <c r="Q242" s="301">
        <f t="shared" ref="Q242" si="1432">IFERROR(P242/$G242," ")</f>
        <v>0</v>
      </c>
      <c r="R242" s="299">
        <v>26</v>
      </c>
      <c r="S242" s="301">
        <f t="shared" ref="S242" si="1433">IFERROR(R242/$G242," ")</f>
        <v>1</v>
      </c>
      <c r="T242" s="299">
        <v>26</v>
      </c>
      <c r="U242" s="301">
        <f t="shared" ref="U242" si="1434">IFERROR(T242/$G242," ")</f>
        <v>1</v>
      </c>
      <c r="V242" s="299">
        <v>26</v>
      </c>
      <c r="W242" s="301">
        <f t="shared" ref="W242" si="1435">IFERROR(V242/$G242," ")</f>
        <v>1</v>
      </c>
      <c r="X242" s="299">
        <v>26</v>
      </c>
      <c r="Y242" s="301">
        <f t="shared" ref="Y242" si="1436">IFERROR(X242/$G242," ")</f>
        <v>1</v>
      </c>
      <c r="Z242" s="299">
        <v>26</v>
      </c>
      <c r="AA242" s="301">
        <f t="shared" ref="AA242" si="1437">IFERROR(Z242/$G242," ")</f>
        <v>1</v>
      </c>
      <c r="AB242" s="292"/>
      <c r="AC242" s="279">
        <f t="shared" si="1388"/>
        <v>0</v>
      </c>
      <c r="AD242" s="279">
        <f t="shared" si="1389"/>
        <v>0</v>
      </c>
      <c r="AE242" s="279">
        <f t="shared" si="1390"/>
        <v>0</v>
      </c>
      <c r="AF242" s="279">
        <f t="shared" si="1391"/>
        <v>5956.6</v>
      </c>
      <c r="AG242" s="279">
        <f t="shared" si="1392"/>
        <v>5956.6</v>
      </c>
      <c r="AH242" s="279">
        <f t="shared" si="1393"/>
        <v>5956.6</v>
      </c>
      <c r="AI242" s="279">
        <f t="shared" si="1394"/>
        <v>5956.6</v>
      </c>
      <c r="AJ242" s="279">
        <f t="shared" si="1395"/>
        <v>5956.6</v>
      </c>
    </row>
    <row r="243" spans="1:36" x14ac:dyDescent="0.65">
      <c r="A243" s="203">
        <v>203</v>
      </c>
      <c r="B243" s="276" t="s">
        <v>529</v>
      </c>
      <c r="C243" s="276" t="s">
        <v>1209</v>
      </c>
      <c r="D243" s="299" t="s">
        <v>79</v>
      </c>
      <c r="E243" s="321">
        <f>IFERROR(VLOOKUP(A243,Estimate!A:Q,17,FALSE)," ")</f>
        <v>1665.217391304348</v>
      </c>
      <c r="F243" s="299">
        <v>1</v>
      </c>
      <c r="G243" s="299">
        <v>1</v>
      </c>
      <c r="H243" s="298">
        <v>1</v>
      </c>
      <c r="I243" s="298">
        <f t="shared" si="1260"/>
        <v>2000</v>
      </c>
      <c r="J243" s="298">
        <v>2000</v>
      </c>
      <c r="K243" s="298"/>
      <c r="L243" s="299"/>
      <c r="M243" s="301">
        <f t="shared" si="1203"/>
        <v>0</v>
      </c>
      <c r="N243" s="299"/>
      <c r="O243" s="301">
        <f t="shared" si="1203"/>
        <v>0</v>
      </c>
      <c r="P243" s="299"/>
      <c r="Q243" s="301">
        <f t="shared" ref="Q243" si="1438">IFERROR(P243/$G243," ")</f>
        <v>0</v>
      </c>
      <c r="R243" s="299"/>
      <c r="S243" s="301">
        <f t="shared" ref="S243" si="1439">IFERROR(R243/$G243," ")</f>
        <v>0</v>
      </c>
      <c r="T243" s="299"/>
      <c r="U243" s="301">
        <f t="shared" ref="U243" si="1440">IFERROR(T243/$G243," ")</f>
        <v>0</v>
      </c>
      <c r="V243" s="299"/>
      <c r="W243" s="301">
        <f t="shared" ref="W243" si="1441">IFERROR(V243/$G243," ")</f>
        <v>0</v>
      </c>
      <c r="X243" s="299">
        <v>1</v>
      </c>
      <c r="Y243" s="301">
        <f t="shared" ref="Y243" si="1442">IFERROR(X243/$G243," ")</f>
        <v>1</v>
      </c>
      <c r="Z243" s="299">
        <v>1</v>
      </c>
      <c r="AA243" s="301">
        <f t="shared" ref="AA243" si="1443">IFERROR(Z243/$G243," ")</f>
        <v>1</v>
      </c>
      <c r="AB243" s="292"/>
      <c r="AC243" s="279">
        <f t="shared" si="1388"/>
        <v>0</v>
      </c>
      <c r="AD243" s="279">
        <f t="shared" si="1389"/>
        <v>0</v>
      </c>
      <c r="AE243" s="279">
        <f t="shared" si="1390"/>
        <v>0</v>
      </c>
      <c r="AF243" s="279">
        <f t="shared" si="1391"/>
        <v>0</v>
      </c>
      <c r="AG243" s="279">
        <f t="shared" si="1392"/>
        <v>0</v>
      </c>
      <c r="AH243" s="279">
        <f t="shared" si="1393"/>
        <v>0</v>
      </c>
      <c r="AI243" s="279">
        <f t="shared" si="1394"/>
        <v>2000</v>
      </c>
      <c r="AJ243" s="310">
        <f t="shared" si="1395"/>
        <v>2000</v>
      </c>
    </row>
    <row r="244" spans="1:36" x14ac:dyDescent="0.65">
      <c r="A244" s="203">
        <v>201</v>
      </c>
      <c r="B244" s="276" t="s">
        <v>527</v>
      </c>
      <c r="C244" s="276" t="s">
        <v>528</v>
      </c>
      <c r="D244" s="299" t="s">
        <v>25</v>
      </c>
      <c r="E244" s="321">
        <f>IFERROR(VLOOKUP(A244,Estimate!A:Q,17,FALSE)," ")</f>
        <v>836.53500000000008</v>
      </c>
      <c r="F244" s="299">
        <v>31</v>
      </c>
      <c r="G244" s="299">
        <f>VLOOKUP(A244,Estimate!A:H,8,FALSE)</f>
        <v>31</v>
      </c>
      <c r="H244" s="298">
        <v>31</v>
      </c>
      <c r="I244" s="298">
        <f t="shared" si="1260"/>
        <v>1066.0899999999999</v>
      </c>
      <c r="J244" s="298">
        <v>1066.0899999999999</v>
      </c>
      <c r="K244" s="298"/>
      <c r="L244" s="299"/>
      <c r="M244" s="301">
        <f t="shared" si="1203"/>
        <v>0</v>
      </c>
      <c r="N244" s="299"/>
      <c r="O244" s="301">
        <f t="shared" si="1203"/>
        <v>0</v>
      </c>
      <c r="P244" s="299"/>
      <c r="Q244" s="301">
        <f t="shared" ref="Q244" si="1444">IFERROR(P244/$G244," ")</f>
        <v>0</v>
      </c>
      <c r="R244" s="299"/>
      <c r="S244" s="301">
        <f t="shared" ref="S244" si="1445">IFERROR(R244/$G244," ")</f>
        <v>0</v>
      </c>
      <c r="T244" s="299"/>
      <c r="U244" s="301">
        <f t="shared" ref="U244" si="1446">IFERROR(T244/$G244," ")</f>
        <v>0</v>
      </c>
      <c r="V244" s="299">
        <v>31</v>
      </c>
      <c r="W244" s="301">
        <f t="shared" ref="W244" si="1447">IFERROR(V244/$G244," ")</f>
        <v>1</v>
      </c>
      <c r="X244" s="299">
        <v>31</v>
      </c>
      <c r="Y244" s="301">
        <f t="shared" ref="Y244" si="1448">IFERROR(X244/$G244," ")</f>
        <v>1</v>
      </c>
      <c r="Z244" s="299">
        <v>31</v>
      </c>
      <c r="AA244" s="301">
        <f t="shared" ref="AA244" si="1449">IFERROR(Z244/$G244," ")</f>
        <v>1</v>
      </c>
      <c r="AB244" s="292"/>
      <c r="AC244" s="279">
        <f t="shared" si="1388"/>
        <v>0</v>
      </c>
      <c r="AD244" s="279">
        <f t="shared" si="1389"/>
        <v>0</v>
      </c>
      <c r="AE244" s="279">
        <f t="shared" si="1390"/>
        <v>0</v>
      </c>
      <c r="AF244" s="279">
        <f t="shared" si="1391"/>
        <v>0</v>
      </c>
      <c r="AG244" s="279">
        <f t="shared" si="1392"/>
        <v>0</v>
      </c>
      <c r="AH244" s="279">
        <f t="shared" si="1393"/>
        <v>1066.0899999999999</v>
      </c>
      <c r="AI244" s="279">
        <f t="shared" si="1394"/>
        <v>1066.0899999999999</v>
      </c>
      <c r="AJ244" s="279">
        <f t="shared" si="1395"/>
        <v>1066.0899999999999</v>
      </c>
    </row>
    <row r="245" spans="1:36" x14ac:dyDescent="0.65">
      <c r="A245" s="203">
        <v>202</v>
      </c>
      <c r="B245" s="276" t="s">
        <v>508</v>
      </c>
      <c r="C245" s="276" t="s">
        <v>509</v>
      </c>
      <c r="D245" s="299" t="s">
        <v>79</v>
      </c>
      <c r="E245" s="321">
        <f>IFERROR(VLOOKUP(A245,Estimate!A:Q,17,FALSE)," ")</f>
        <v>2107.1999999999998</v>
      </c>
      <c r="F245" s="299">
        <v>1</v>
      </c>
      <c r="G245" s="299">
        <f>VLOOKUP(A245,Estimate!A:H,8,FALSE)</f>
        <v>1</v>
      </c>
      <c r="H245" s="298">
        <v>1</v>
      </c>
      <c r="I245" s="298">
        <f t="shared" si="1260"/>
        <v>2685.09</v>
      </c>
      <c r="J245" s="298">
        <v>2685.09</v>
      </c>
      <c r="K245" s="298"/>
      <c r="L245" s="299"/>
      <c r="M245" s="301">
        <f t="shared" si="1203"/>
        <v>0</v>
      </c>
      <c r="N245" s="299"/>
      <c r="O245" s="301">
        <f t="shared" si="1203"/>
        <v>0</v>
      </c>
      <c r="P245" s="299"/>
      <c r="Q245" s="301">
        <f t="shared" ref="Q245" si="1450">IFERROR(P245/$G245," ")</f>
        <v>0</v>
      </c>
      <c r="R245" s="299">
        <v>1</v>
      </c>
      <c r="S245" s="301">
        <f t="shared" ref="S245" si="1451">IFERROR(R245/$G245," ")</f>
        <v>1</v>
      </c>
      <c r="T245" s="299">
        <v>1</v>
      </c>
      <c r="U245" s="301">
        <f t="shared" ref="U245" si="1452">IFERROR(T245/$G245," ")</f>
        <v>1</v>
      </c>
      <c r="V245" s="299">
        <v>1</v>
      </c>
      <c r="W245" s="301">
        <f t="shared" ref="W245" si="1453">IFERROR(V245/$G245," ")</f>
        <v>1</v>
      </c>
      <c r="X245" s="299">
        <v>1</v>
      </c>
      <c r="Y245" s="301">
        <f t="shared" ref="Y245" si="1454">IFERROR(X245/$G245," ")</f>
        <v>1</v>
      </c>
      <c r="Z245" s="299">
        <v>1</v>
      </c>
      <c r="AA245" s="301">
        <f t="shared" ref="AA245" si="1455">IFERROR(Z245/$G245," ")</f>
        <v>1</v>
      </c>
      <c r="AB245" s="292"/>
      <c r="AC245" s="279">
        <f t="shared" si="1388"/>
        <v>0</v>
      </c>
      <c r="AD245" s="279">
        <f t="shared" si="1389"/>
        <v>0</v>
      </c>
      <c r="AE245" s="279">
        <f t="shared" si="1390"/>
        <v>0</v>
      </c>
      <c r="AF245" s="279">
        <f t="shared" si="1391"/>
        <v>2685.09</v>
      </c>
      <c r="AG245" s="279">
        <f t="shared" si="1392"/>
        <v>2685.09</v>
      </c>
      <c r="AH245" s="279">
        <f t="shared" si="1393"/>
        <v>2685.09</v>
      </c>
      <c r="AI245" s="279">
        <f t="shared" si="1394"/>
        <v>2685.09</v>
      </c>
      <c r="AJ245" s="279">
        <f t="shared" si="1395"/>
        <v>2685.09</v>
      </c>
    </row>
    <row r="246" spans="1:36" x14ac:dyDescent="0.65">
      <c r="A246" s="203">
        <v>197</v>
      </c>
      <c r="B246" s="276" t="s">
        <v>516</v>
      </c>
      <c r="C246" s="276" t="s">
        <v>517</v>
      </c>
      <c r="D246" s="299" t="s">
        <v>83</v>
      </c>
      <c r="E246" s="321">
        <f>IFERROR(VLOOKUP(A246,Estimate!A:Q,17,FALSE)," ")</f>
        <v>4432</v>
      </c>
      <c r="F246" s="299">
        <v>1800</v>
      </c>
      <c r="G246" s="299">
        <f>VLOOKUP(A246,Estimate!A:H,8,FALSE)</f>
        <v>1800</v>
      </c>
      <c r="H246" s="298">
        <v>1800</v>
      </c>
      <c r="I246" s="298">
        <f t="shared" si="1260"/>
        <v>5652</v>
      </c>
      <c r="J246" s="298">
        <v>5652</v>
      </c>
      <c r="K246" s="298"/>
      <c r="L246" s="299"/>
      <c r="M246" s="301">
        <f t="shared" si="1203"/>
        <v>0</v>
      </c>
      <c r="N246" s="299"/>
      <c r="O246" s="301">
        <f t="shared" si="1203"/>
        <v>0</v>
      </c>
      <c r="P246" s="299"/>
      <c r="Q246" s="301">
        <f t="shared" ref="Q246" si="1456">IFERROR(P246/$G246," ")</f>
        <v>0</v>
      </c>
      <c r="R246" s="299">
        <v>1800</v>
      </c>
      <c r="S246" s="301">
        <f t="shared" ref="S246" si="1457">IFERROR(R246/$G246," ")</f>
        <v>1</v>
      </c>
      <c r="T246" s="299">
        <v>1800</v>
      </c>
      <c r="U246" s="301">
        <f t="shared" ref="U246" si="1458">IFERROR(T246/$G246," ")</f>
        <v>1</v>
      </c>
      <c r="V246" s="299">
        <v>1800</v>
      </c>
      <c r="W246" s="301">
        <f t="shared" ref="W246" si="1459">IFERROR(V246/$G246," ")</f>
        <v>1</v>
      </c>
      <c r="X246" s="299">
        <v>1800</v>
      </c>
      <c r="Y246" s="301">
        <f t="shared" ref="Y246" si="1460">IFERROR(X246/$G246," ")</f>
        <v>1</v>
      </c>
      <c r="Z246" s="299">
        <v>1800</v>
      </c>
      <c r="AA246" s="301">
        <f t="shared" ref="AA246" si="1461">IFERROR(Z246/$G246," ")</f>
        <v>1</v>
      </c>
      <c r="AB246" s="292"/>
      <c r="AC246" s="279">
        <f t="shared" si="1388"/>
        <v>0</v>
      </c>
      <c r="AD246" s="279">
        <f t="shared" si="1389"/>
        <v>0</v>
      </c>
      <c r="AE246" s="279">
        <f t="shared" si="1390"/>
        <v>0</v>
      </c>
      <c r="AF246" s="279">
        <f t="shared" si="1391"/>
        <v>5652</v>
      </c>
      <c r="AG246" s="279">
        <f t="shared" si="1392"/>
        <v>5652</v>
      </c>
      <c r="AH246" s="279">
        <f t="shared" si="1393"/>
        <v>5652</v>
      </c>
      <c r="AI246" s="279">
        <f t="shared" si="1394"/>
        <v>5652</v>
      </c>
      <c r="AJ246" s="279">
        <f t="shared" si="1395"/>
        <v>5652</v>
      </c>
    </row>
    <row r="247" spans="1:36" x14ac:dyDescent="0.65">
      <c r="A247" s="203">
        <v>198</v>
      </c>
      <c r="B247" s="276" t="s">
        <v>530</v>
      </c>
      <c r="C247" s="276" t="s">
        <v>531</v>
      </c>
      <c r="D247" s="299" t="s">
        <v>25</v>
      </c>
      <c r="E247" s="321">
        <f>IFERROR(VLOOKUP(A247,Estimate!A:Q,17,FALSE)," ")</f>
        <v>1560.2113805723884</v>
      </c>
      <c r="F247" s="299">
        <v>45</v>
      </c>
      <c r="G247" s="299">
        <f>VLOOKUP(A247,Estimate!A:H,8,FALSE)</f>
        <v>45</v>
      </c>
      <c r="H247" s="298">
        <v>45</v>
      </c>
      <c r="I247" s="298">
        <f t="shared" si="1260"/>
        <v>1988.1</v>
      </c>
      <c r="J247" s="298">
        <v>1988.1</v>
      </c>
      <c r="K247" s="298"/>
      <c r="L247" s="299"/>
      <c r="M247" s="301">
        <f t="shared" si="1203"/>
        <v>0</v>
      </c>
      <c r="N247" s="299"/>
      <c r="O247" s="301">
        <f t="shared" si="1203"/>
        <v>0</v>
      </c>
      <c r="P247" s="299"/>
      <c r="Q247" s="301">
        <f t="shared" ref="Q247" si="1462">IFERROR(P247/$G247," ")</f>
        <v>0</v>
      </c>
      <c r="R247" s="299">
        <v>45</v>
      </c>
      <c r="S247" s="301">
        <f t="shared" ref="S247" si="1463">IFERROR(R247/$G247," ")</f>
        <v>1</v>
      </c>
      <c r="T247" s="299">
        <v>45</v>
      </c>
      <c r="U247" s="301">
        <f t="shared" ref="U247" si="1464">IFERROR(T247/$G247," ")</f>
        <v>1</v>
      </c>
      <c r="V247" s="299">
        <v>45</v>
      </c>
      <c r="W247" s="301">
        <f t="shared" ref="W247" si="1465">IFERROR(V247/$G247," ")</f>
        <v>1</v>
      </c>
      <c r="X247" s="299">
        <v>45</v>
      </c>
      <c r="Y247" s="301">
        <f t="shared" ref="Y247" si="1466">IFERROR(X247/$G247," ")</f>
        <v>1</v>
      </c>
      <c r="Z247" s="299">
        <v>45</v>
      </c>
      <c r="AA247" s="301">
        <f t="shared" ref="AA247" si="1467">IFERROR(Z247/$G247," ")</f>
        <v>1</v>
      </c>
      <c r="AB247" s="292"/>
      <c r="AC247" s="279">
        <f t="shared" si="1388"/>
        <v>0</v>
      </c>
      <c r="AD247" s="279">
        <f t="shared" si="1389"/>
        <v>0</v>
      </c>
      <c r="AE247" s="279">
        <f t="shared" si="1390"/>
        <v>0</v>
      </c>
      <c r="AF247" s="279">
        <f t="shared" si="1391"/>
        <v>1988.1</v>
      </c>
      <c r="AG247" s="279">
        <f t="shared" si="1392"/>
        <v>1988.1</v>
      </c>
      <c r="AH247" s="279">
        <f t="shared" si="1393"/>
        <v>1988.1</v>
      </c>
      <c r="AI247" s="279">
        <f t="shared" si="1394"/>
        <v>1988.1</v>
      </c>
      <c r="AJ247" s="279">
        <f t="shared" si="1395"/>
        <v>1988.1</v>
      </c>
    </row>
    <row r="248" spans="1:36" x14ac:dyDescent="0.65">
      <c r="A248" s="203">
        <v>199</v>
      </c>
      <c r="B248" s="276" t="s">
        <v>532</v>
      </c>
      <c r="C248" s="276" t="s">
        <v>533</v>
      </c>
      <c r="D248" s="299" t="s">
        <v>25</v>
      </c>
      <c r="E248" s="321">
        <f>IFERROR(VLOOKUP(A248,Estimate!A:Q,17,FALSE)," ")</f>
        <v>131.53500000000003</v>
      </c>
      <c r="F248" s="299">
        <v>45</v>
      </c>
      <c r="G248" s="299">
        <f>VLOOKUP(A248,Estimate!A:H,8,FALSE)</f>
        <v>45</v>
      </c>
      <c r="H248" s="298">
        <v>45</v>
      </c>
      <c r="I248" s="298">
        <f t="shared" si="1260"/>
        <v>167.4</v>
      </c>
      <c r="J248" s="298">
        <v>167.4</v>
      </c>
      <c r="K248" s="298"/>
      <c r="L248" s="299"/>
      <c r="M248" s="301">
        <f t="shared" si="1203"/>
        <v>0</v>
      </c>
      <c r="N248" s="299"/>
      <c r="O248" s="301">
        <f t="shared" si="1203"/>
        <v>0</v>
      </c>
      <c r="P248" s="299"/>
      <c r="Q248" s="301">
        <f t="shared" ref="Q248" si="1468">IFERROR(P248/$G248," ")</f>
        <v>0</v>
      </c>
      <c r="R248" s="299">
        <v>45</v>
      </c>
      <c r="S248" s="301">
        <f t="shared" ref="S248" si="1469">IFERROR(R248/$G248," ")</f>
        <v>1</v>
      </c>
      <c r="T248" s="299">
        <v>45</v>
      </c>
      <c r="U248" s="301">
        <f t="shared" ref="U248" si="1470">IFERROR(T248/$G248," ")</f>
        <v>1</v>
      </c>
      <c r="V248" s="299">
        <v>45</v>
      </c>
      <c r="W248" s="301">
        <f t="shared" ref="W248" si="1471">IFERROR(V248/$G248," ")</f>
        <v>1</v>
      </c>
      <c r="X248" s="299">
        <v>45</v>
      </c>
      <c r="Y248" s="301">
        <f t="shared" ref="Y248" si="1472">IFERROR(X248/$G248," ")</f>
        <v>1</v>
      </c>
      <c r="Z248" s="299">
        <v>45</v>
      </c>
      <c r="AA248" s="301">
        <f t="shared" ref="AA248" si="1473">IFERROR(Z248/$G248," ")</f>
        <v>1</v>
      </c>
      <c r="AB248" s="292"/>
      <c r="AC248" s="279">
        <f t="shared" si="1388"/>
        <v>0</v>
      </c>
      <c r="AD248" s="279">
        <f t="shared" si="1389"/>
        <v>0</v>
      </c>
      <c r="AE248" s="279">
        <f t="shared" si="1390"/>
        <v>0</v>
      </c>
      <c r="AF248" s="279">
        <f t="shared" si="1391"/>
        <v>167.4</v>
      </c>
      <c r="AG248" s="279">
        <f t="shared" si="1392"/>
        <v>167.4</v>
      </c>
      <c r="AH248" s="279">
        <f t="shared" si="1393"/>
        <v>167.4</v>
      </c>
      <c r="AI248" s="279">
        <f t="shared" si="1394"/>
        <v>167.4</v>
      </c>
      <c r="AJ248" s="279">
        <f t="shared" si="1395"/>
        <v>167.4</v>
      </c>
    </row>
    <row r="249" spans="1:36" x14ac:dyDescent="0.65">
      <c r="A249" s="203">
        <v>200</v>
      </c>
      <c r="B249" s="276" t="s">
        <v>524</v>
      </c>
      <c r="C249" s="276" t="s">
        <v>525</v>
      </c>
      <c r="D249" s="299" t="s">
        <v>526</v>
      </c>
      <c r="E249" s="321">
        <f>IFERROR(VLOOKUP(A249,Estimate!A:Q,17,FALSE)," ")</f>
        <v>1546.6666666666667</v>
      </c>
      <c r="F249" s="299">
        <v>10</v>
      </c>
      <c r="G249" s="299">
        <f>VLOOKUP(A249,Estimate!A:H,8,FALSE)</f>
        <v>10</v>
      </c>
      <c r="H249" s="298">
        <v>10</v>
      </c>
      <c r="I249" s="298">
        <f t="shared" si="1260"/>
        <v>1970.8</v>
      </c>
      <c r="J249" s="298">
        <v>1970.8</v>
      </c>
      <c r="K249" s="298"/>
      <c r="L249" s="299"/>
      <c r="M249" s="301">
        <f t="shared" si="1203"/>
        <v>0</v>
      </c>
      <c r="N249" s="299"/>
      <c r="O249" s="301">
        <f t="shared" si="1203"/>
        <v>0</v>
      </c>
      <c r="P249" s="299"/>
      <c r="Q249" s="301">
        <f t="shared" ref="Q249" si="1474">IFERROR(P249/$G249," ")</f>
        <v>0</v>
      </c>
      <c r="R249" s="299"/>
      <c r="S249" s="301">
        <f t="shared" ref="S249" si="1475">IFERROR(R249/$G249," ")</f>
        <v>0</v>
      </c>
      <c r="T249" s="299"/>
      <c r="U249" s="301">
        <f t="shared" ref="U249" si="1476">IFERROR(T249/$G249," ")</f>
        <v>0</v>
      </c>
      <c r="V249" s="299"/>
      <c r="W249" s="301">
        <f t="shared" ref="W249" si="1477">IFERROR(V249/$G249," ")</f>
        <v>0</v>
      </c>
      <c r="X249" s="299">
        <v>10</v>
      </c>
      <c r="Y249" s="301">
        <f t="shared" ref="Y249" si="1478">IFERROR(X249/$G249," ")</f>
        <v>1</v>
      </c>
      <c r="Z249" s="299">
        <v>10</v>
      </c>
      <c r="AA249" s="301">
        <f t="shared" ref="AA249" si="1479">IFERROR(Z249/$G249," ")</f>
        <v>1</v>
      </c>
      <c r="AB249" s="292"/>
      <c r="AC249" s="279">
        <f t="shared" si="1388"/>
        <v>0</v>
      </c>
      <c r="AD249" s="279">
        <f t="shared" si="1389"/>
        <v>0</v>
      </c>
      <c r="AE249" s="279">
        <f t="shared" si="1390"/>
        <v>0</v>
      </c>
      <c r="AF249" s="279">
        <f t="shared" si="1391"/>
        <v>0</v>
      </c>
      <c r="AG249" s="279">
        <f t="shared" si="1392"/>
        <v>0</v>
      </c>
      <c r="AH249" s="279">
        <f t="shared" si="1393"/>
        <v>0</v>
      </c>
      <c r="AI249" s="279">
        <f t="shared" si="1394"/>
        <v>1970.8</v>
      </c>
      <c r="AJ249" s="279">
        <f t="shared" si="1395"/>
        <v>1970.8</v>
      </c>
    </row>
    <row r="250" spans="1:36" x14ac:dyDescent="0.65">
      <c r="A250" s="203">
        <v>204</v>
      </c>
      <c r="B250" s="276" t="s">
        <v>536</v>
      </c>
      <c r="C250" s="276" t="s">
        <v>537</v>
      </c>
      <c r="D250" s="299" t="s">
        <v>451</v>
      </c>
      <c r="E250" s="321"/>
      <c r="F250" s="299">
        <v>1</v>
      </c>
      <c r="G250" s="299">
        <f>VLOOKUP(A250,Estimate!A:H,8,FALSE)</f>
        <v>1</v>
      </c>
      <c r="H250" s="298">
        <v>1</v>
      </c>
      <c r="I250" s="298"/>
      <c r="J250" s="298"/>
      <c r="K250" s="298"/>
      <c r="L250" s="299"/>
      <c r="M250" s="301"/>
      <c r="N250" s="299"/>
      <c r="O250" s="301"/>
      <c r="P250" s="299"/>
      <c r="Q250" s="301"/>
      <c r="R250" s="299"/>
      <c r="S250" s="301"/>
      <c r="T250" s="299"/>
      <c r="U250" s="301"/>
      <c r="V250" s="299"/>
      <c r="W250" s="301"/>
      <c r="X250" s="299"/>
      <c r="Y250" s="301"/>
      <c r="Z250" s="299"/>
      <c r="AA250" s="301"/>
      <c r="AB250" s="292"/>
      <c r="AC250" s="279"/>
      <c r="AD250" s="279"/>
      <c r="AE250" s="279"/>
      <c r="AF250" s="279"/>
      <c r="AG250" s="279"/>
      <c r="AH250" s="279"/>
      <c r="AI250" s="279"/>
      <c r="AJ250" s="279"/>
    </row>
    <row r="251" spans="1:36" x14ac:dyDescent="0.65">
      <c r="A251" s="203">
        <v>205</v>
      </c>
      <c r="B251" s="276" t="s">
        <v>539</v>
      </c>
      <c r="C251" s="276" t="s">
        <v>540</v>
      </c>
      <c r="D251" s="299" t="s">
        <v>72</v>
      </c>
      <c r="E251" s="321">
        <f>IFERROR(VLOOKUP(A251,Estimate!A:Q,17,FALSE)," ")</f>
        <v>23378.1</v>
      </c>
      <c r="F251" s="299">
        <v>1341</v>
      </c>
      <c r="G251" s="299">
        <f>VLOOKUP(A251,Estimate!A:H,8,FALSE)</f>
        <v>1341</v>
      </c>
      <c r="H251" s="298">
        <v>1341</v>
      </c>
      <c r="I251" s="298">
        <f t="shared" si="1260"/>
        <v>23373.63</v>
      </c>
      <c r="J251" s="298">
        <v>23373.63</v>
      </c>
      <c r="K251" s="298"/>
      <c r="L251" s="299"/>
      <c r="M251" s="301">
        <f t="shared" si="1203"/>
        <v>0</v>
      </c>
      <c r="N251" s="299"/>
      <c r="O251" s="301">
        <f t="shared" si="1203"/>
        <v>0</v>
      </c>
      <c r="P251" s="299">
        <v>1341</v>
      </c>
      <c r="Q251" s="301">
        <f t="shared" ref="Q251" si="1480">IFERROR(P251/$G251," ")</f>
        <v>1</v>
      </c>
      <c r="R251" s="299">
        <v>1341</v>
      </c>
      <c r="S251" s="301">
        <f t="shared" ref="S251" si="1481">IFERROR(R251/$G251," ")</f>
        <v>1</v>
      </c>
      <c r="T251" s="299">
        <v>1341</v>
      </c>
      <c r="U251" s="301">
        <f t="shared" ref="U251" si="1482">IFERROR(T251/$G251," ")</f>
        <v>1</v>
      </c>
      <c r="V251" s="299">
        <v>1341</v>
      </c>
      <c r="W251" s="301">
        <f t="shared" ref="W251" si="1483">IFERROR(V251/$G251," ")</f>
        <v>1</v>
      </c>
      <c r="X251" s="299">
        <v>1341</v>
      </c>
      <c r="Y251" s="301">
        <f t="shared" ref="Y251" si="1484">IFERROR(X251/$G251," ")</f>
        <v>1</v>
      </c>
      <c r="Z251" s="299">
        <v>1341</v>
      </c>
      <c r="AA251" s="301">
        <f t="shared" ref="AA251" si="1485">IFERROR(Z251/$G251," ")</f>
        <v>1</v>
      </c>
      <c r="AB251" s="292"/>
      <c r="AC251" s="279">
        <f t="shared" si="1388"/>
        <v>0</v>
      </c>
      <c r="AD251" s="279">
        <f t="shared" si="1389"/>
        <v>0</v>
      </c>
      <c r="AE251" s="279">
        <f t="shared" si="1390"/>
        <v>23373.63</v>
      </c>
      <c r="AF251" s="279">
        <f t="shared" si="1391"/>
        <v>23373.63</v>
      </c>
      <c r="AG251" s="279">
        <f t="shared" si="1392"/>
        <v>23373.63</v>
      </c>
      <c r="AH251" s="279">
        <f t="shared" si="1393"/>
        <v>23373.63</v>
      </c>
      <c r="AI251" s="279">
        <f t="shared" si="1394"/>
        <v>23373.63</v>
      </c>
      <c r="AJ251" s="279">
        <f t="shared" si="1395"/>
        <v>23373.63</v>
      </c>
    </row>
    <row r="252" spans="1:36" x14ac:dyDescent="0.65">
      <c r="A252" s="203">
        <v>206</v>
      </c>
      <c r="B252" s="276" t="s">
        <v>538</v>
      </c>
      <c r="C252" s="276" t="s">
        <v>511</v>
      </c>
      <c r="D252" s="299" t="s">
        <v>72</v>
      </c>
      <c r="E252" s="321">
        <f>IFERROR(VLOOKUP(A252,Estimate!A:Q,17,FALSE)," ")</f>
        <v>18108.513091766705</v>
      </c>
      <c r="F252" s="299">
        <v>1341</v>
      </c>
      <c r="G252" s="299">
        <f>VLOOKUP(A252,Estimate!A:H,8,FALSE)</f>
        <v>1341</v>
      </c>
      <c r="H252" s="298">
        <v>1341</v>
      </c>
      <c r="I252" s="298">
        <f t="shared" si="1260"/>
        <v>23078.61</v>
      </c>
      <c r="J252" s="298">
        <v>23078.61</v>
      </c>
      <c r="K252" s="298"/>
      <c r="L252" s="299"/>
      <c r="M252" s="301">
        <f t="shared" si="1203"/>
        <v>0</v>
      </c>
      <c r="N252" s="299"/>
      <c r="O252" s="301">
        <f t="shared" si="1203"/>
        <v>0</v>
      </c>
      <c r="P252" s="299">
        <v>1341</v>
      </c>
      <c r="Q252" s="301">
        <f t="shared" ref="Q252" si="1486">IFERROR(P252/$G252," ")</f>
        <v>1</v>
      </c>
      <c r="R252" s="299">
        <v>1341</v>
      </c>
      <c r="S252" s="301">
        <f t="shared" ref="S252" si="1487">IFERROR(R252/$G252," ")</f>
        <v>1</v>
      </c>
      <c r="T252" s="299">
        <v>1341</v>
      </c>
      <c r="U252" s="301">
        <f t="shared" ref="U252" si="1488">IFERROR(T252/$G252," ")</f>
        <v>1</v>
      </c>
      <c r="V252" s="299">
        <v>1341</v>
      </c>
      <c r="W252" s="301">
        <f t="shared" ref="W252" si="1489">IFERROR(V252/$G252," ")</f>
        <v>1</v>
      </c>
      <c r="X252" s="299">
        <v>1341</v>
      </c>
      <c r="Y252" s="301">
        <f t="shared" ref="Y252" si="1490">IFERROR(X252/$G252," ")</f>
        <v>1</v>
      </c>
      <c r="Z252" s="299">
        <v>1341</v>
      </c>
      <c r="AA252" s="301">
        <f t="shared" ref="AA252" si="1491">IFERROR(Z252/$G252," ")</f>
        <v>1</v>
      </c>
      <c r="AB252" s="292"/>
      <c r="AC252" s="279">
        <f t="shared" si="1388"/>
        <v>0</v>
      </c>
      <c r="AD252" s="279">
        <f t="shared" si="1389"/>
        <v>0</v>
      </c>
      <c r="AE252" s="279">
        <f t="shared" si="1390"/>
        <v>23078.61</v>
      </c>
      <c r="AF252" s="279">
        <f t="shared" si="1391"/>
        <v>23078.61</v>
      </c>
      <c r="AG252" s="279">
        <f t="shared" si="1392"/>
        <v>23078.61</v>
      </c>
      <c r="AH252" s="279">
        <f t="shared" si="1393"/>
        <v>23078.61</v>
      </c>
      <c r="AI252" s="279">
        <f t="shared" si="1394"/>
        <v>23078.61</v>
      </c>
      <c r="AJ252" s="279">
        <f t="shared" si="1395"/>
        <v>23078.61</v>
      </c>
    </row>
    <row r="253" spans="1:36" x14ac:dyDescent="0.65">
      <c r="A253" s="203">
        <v>207</v>
      </c>
      <c r="B253" s="276" t="s">
        <v>541</v>
      </c>
      <c r="C253" s="276" t="s">
        <v>542</v>
      </c>
      <c r="D253" s="299" t="s">
        <v>79</v>
      </c>
      <c r="E253" s="321"/>
      <c r="F253" s="299">
        <v>1</v>
      </c>
      <c r="G253" s="299">
        <f>VLOOKUP(A253,Estimate!A:H,8,FALSE)</f>
        <v>1</v>
      </c>
      <c r="H253" s="298">
        <v>1</v>
      </c>
      <c r="I253" s="298"/>
      <c r="J253" s="298"/>
      <c r="K253" s="298"/>
      <c r="L253" s="299"/>
      <c r="M253" s="301"/>
      <c r="N253" s="299"/>
      <c r="O253" s="301"/>
      <c r="P253" s="299"/>
      <c r="Q253" s="301"/>
      <c r="R253" s="299"/>
      <c r="S253" s="301"/>
      <c r="T253" s="299"/>
      <c r="U253" s="301"/>
      <c r="V253" s="299"/>
      <c r="W253" s="301"/>
      <c r="X253" s="299"/>
      <c r="Y253" s="301"/>
      <c r="Z253" s="299"/>
      <c r="AA253" s="301"/>
      <c r="AB253" s="292"/>
      <c r="AC253" s="279"/>
      <c r="AD253" s="279"/>
      <c r="AE253" s="279"/>
      <c r="AF253" s="279"/>
      <c r="AG253" s="279"/>
      <c r="AH253" s="279"/>
      <c r="AI253" s="279"/>
      <c r="AJ253" s="279"/>
    </row>
    <row r="254" spans="1:36" x14ac:dyDescent="0.65">
      <c r="A254" s="203">
        <v>208</v>
      </c>
      <c r="B254" s="276" t="s">
        <v>543</v>
      </c>
      <c r="C254" s="276" t="s">
        <v>544</v>
      </c>
      <c r="D254" s="299" t="s">
        <v>72</v>
      </c>
      <c r="E254" s="321">
        <f>IFERROR(VLOOKUP(A254,Estimate!A:Q,17,FALSE)," ")</f>
        <v>11381.796194924907</v>
      </c>
      <c r="F254" s="299">
        <v>222.6</v>
      </c>
      <c r="G254" s="299">
        <f>VLOOKUP(A254,Estimate!A:H,8,FALSE)</f>
        <v>222.6</v>
      </c>
      <c r="H254" s="298">
        <v>222.6</v>
      </c>
      <c r="I254" s="298">
        <f t="shared" si="1260"/>
        <v>11381.54</v>
      </c>
      <c r="J254" s="298">
        <v>11381.54</v>
      </c>
      <c r="K254" s="298"/>
      <c r="L254" s="299"/>
      <c r="M254" s="301">
        <f t="shared" si="1203"/>
        <v>0</v>
      </c>
      <c r="N254" s="299"/>
      <c r="O254" s="301">
        <f t="shared" si="1203"/>
        <v>0</v>
      </c>
      <c r="P254" s="299">
        <v>222.6</v>
      </c>
      <c r="Q254" s="301">
        <f t="shared" ref="Q254" si="1492">IFERROR(P254/$G254," ")</f>
        <v>1</v>
      </c>
      <c r="R254" s="299">
        <v>222.6</v>
      </c>
      <c r="S254" s="301">
        <f t="shared" ref="S254" si="1493">IFERROR(R254/$G254," ")</f>
        <v>1</v>
      </c>
      <c r="T254" s="299">
        <v>222.6</v>
      </c>
      <c r="U254" s="301">
        <f t="shared" ref="U254" si="1494">IFERROR(T254/$G254," ")</f>
        <v>1</v>
      </c>
      <c r="V254" s="299">
        <v>222.6</v>
      </c>
      <c r="W254" s="301">
        <f t="shared" ref="W254" si="1495">IFERROR(V254/$G254," ")</f>
        <v>1</v>
      </c>
      <c r="X254" s="299">
        <v>222.6</v>
      </c>
      <c r="Y254" s="301">
        <f t="shared" ref="Y254" si="1496">IFERROR(X254/$G254," ")</f>
        <v>1</v>
      </c>
      <c r="Z254" s="299">
        <v>222.6</v>
      </c>
      <c r="AA254" s="301">
        <f t="shared" ref="AA254" si="1497">IFERROR(Z254/$G254," ")</f>
        <v>1</v>
      </c>
      <c r="AB254" s="292"/>
      <c r="AC254" s="279">
        <f t="shared" si="1388"/>
        <v>0</v>
      </c>
      <c r="AD254" s="279">
        <f t="shared" si="1389"/>
        <v>0</v>
      </c>
      <c r="AE254" s="279">
        <f t="shared" si="1390"/>
        <v>11381.54</v>
      </c>
      <c r="AF254" s="279">
        <f t="shared" si="1391"/>
        <v>11381.54</v>
      </c>
      <c r="AG254" s="279">
        <f t="shared" si="1392"/>
        <v>11381.54</v>
      </c>
      <c r="AH254" s="279">
        <f t="shared" si="1393"/>
        <v>11381.54</v>
      </c>
      <c r="AI254" s="279">
        <f t="shared" si="1394"/>
        <v>11381.54</v>
      </c>
      <c r="AJ254" s="279">
        <f t="shared" si="1395"/>
        <v>11381.54</v>
      </c>
    </row>
    <row r="255" spans="1:36" x14ac:dyDescent="0.65">
      <c r="A255" s="203">
        <v>209</v>
      </c>
      <c r="B255" s="276" t="s">
        <v>545</v>
      </c>
      <c r="C255" s="276" t="s">
        <v>511</v>
      </c>
      <c r="D255" s="299" t="s">
        <v>72</v>
      </c>
      <c r="E255" s="321">
        <f>IFERROR(VLOOKUP(A255,Estimate!A:Q,17,FALSE)," ")</f>
        <v>3005.9321508033327</v>
      </c>
      <c r="F255" s="299">
        <v>222.6</v>
      </c>
      <c r="G255" s="299">
        <f>VLOOKUP(A255,Estimate!A:H,8,FALSE)</f>
        <v>222.6</v>
      </c>
      <c r="H255" s="298">
        <v>222.6</v>
      </c>
      <c r="I255" s="298">
        <f t="shared" si="1260"/>
        <v>0</v>
      </c>
      <c r="J255" s="307"/>
      <c r="K255" s="298"/>
      <c r="L255" s="299"/>
      <c r="M255" s="301"/>
      <c r="N255" s="299"/>
      <c r="O255" s="301"/>
      <c r="P255" s="299"/>
      <c r="Q255" s="301"/>
      <c r="R255" s="299"/>
      <c r="S255" s="301"/>
      <c r="T255" s="299"/>
      <c r="U255" s="301"/>
      <c r="V255" s="299"/>
      <c r="W255" s="301"/>
      <c r="X255" s="299"/>
      <c r="Y255" s="301"/>
      <c r="Z255" s="299"/>
      <c r="AA255" s="301"/>
      <c r="AB255" s="292"/>
      <c r="AC255" s="279"/>
      <c r="AD255" s="279"/>
      <c r="AE255" s="279"/>
      <c r="AF255" s="279"/>
      <c r="AG255" s="279"/>
      <c r="AH255" s="279"/>
      <c r="AI255" s="279"/>
      <c r="AJ255" s="279"/>
    </row>
    <row r="256" spans="1:36" x14ac:dyDescent="0.65">
      <c r="A256" s="203">
        <v>210</v>
      </c>
      <c r="B256" s="276" t="s">
        <v>546</v>
      </c>
      <c r="C256" s="276" t="s">
        <v>547</v>
      </c>
      <c r="D256" s="299" t="s">
        <v>451</v>
      </c>
      <c r="E256" s="321"/>
      <c r="F256" s="299">
        <v>1</v>
      </c>
      <c r="G256" s="299">
        <f>VLOOKUP(A256,Estimate!A:H,8,FALSE)</f>
        <v>1</v>
      </c>
      <c r="H256" s="298">
        <v>1</v>
      </c>
      <c r="I256" s="298"/>
      <c r="J256" s="298"/>
      <c r="K256" s="298"/>
      <c r="L256" s="299"/>
      <c r="M256" s="301"/>
      <c r="N256" s="299"/>
      <c r="O256" s="301"/>
      <c r="P256" s="299"/>
      <c r="Q256" s="301"/>
      <c r="R256" s="299"/>
      <c r="S256" s="301"/>
      <c r="T256" s="299"/>
      <c r="U256" s="301"/>
      <c r="V256" s="299"/>
      <c r="W256" s="301"/>
      <c r="X256" s="299"/>
      <c r="Y256" s="301"/>
      <c r="Z256" s="299"/>
      <c r="AA256" s="301"/>
      <c r="AB256" s="292"/>
      <c r="AC256" s="279"/>
      <c r="AD256" s="279"/>
      <c r="AE256" s="279"/>
      <c r="AF256" s="279"/>
      <c r="AG256" s="279"/>
      <c r="AH256" s="279"/>
      <c r="AI256" s="279"/>
      <c r="AJ256" s="279"/>
    </row>
    <row r="257" spans="1:36" x14ac:dyDescent="0.65">
      <c r="A257" s="203">
        <v>211</v>
      </c>
      <c r="B257" s="276" t="s">
        <v>548</v>
      </c>
      <c r="C257" s="276" t="s">
        <v>549</v>
      </c>
      <c r="D257" s="299" t="s">
        <v>64</v>
      </c>
      <c r="E257" s="321">
        <f>IFERROR(VLOOKUP(A257,Estimate!A:Q,17,FALSE)," ")</f>
        <v>332</v>
      </c>
      <c r="F257" s="299">
        <v>36</v>
      </c>
      <c r="G257" s="299">
        <f>VLOOKUP(A257,Estimate!A:H,8,FALSE)</f>
        <v>36</v>
      </c>
      <c r="H257" s="298">
        <v>36</v>
      </c>
      <c r="I257" s="298">
        <f t="shared" si="1260"/>
        <v>16200</v>
      </c>
      <c r="J257" s="298">
        <v>16200</v>
      </c>
      <c r="K257" s="298"/>
      <c r="L257" s="299"/>
      <c r="M257" s="301">
        <f t="shared" si="1203"/>
        <v>0</v>
      </c>
      <c r="N257" s="299"/>
      <c r="O257" s="301">
        <f t="shared" si="1203"/>
        <v>0</v>
      </c>
      <c r="P257" s="299"/>
      <c r="Q257" s="301">
        <f t="shared" ref="Q257" si="1498">IFERROR(P257/$G257," ")</f>
        <v>0</v>
      </c>
      <c r="R257" s="299">
        <v>36</v>
      </c>
      <c r="S257" s="301">
        <f t="shared" ref="S257" si="1499">IFERROR(R257/$G257," ")</f>
        <v>1</v>
      </c>
      <c r="T257" s="299">
        <v>36</v>
      </c>
      <c r="U257" s="301">
        <f t="shared" ref="U257" si="1500">IFERROR(T257/$G257," ")</f>
        <v>1</v>
      </c>
      <c r="V257" s="299">
        <v>36</v>
      </c>
      <c r="W257" s="301">
        <f t="shared" ref="W257" si="1501">IFERROR(V257/$G257," ")</f>
        <v>1</v>
      </c>
      <c r="X257" s="299">
        <v>36</v>
      </c>
      <c r="Y257" s="301">
        <f t="shared" ref="Y257" si="1502">IFERROR(X257/$G257," ")</f>
        <v>1</v>
      </c>
      <c r="Z257" s="299">
        <v>36</v>
      </c>
      <c r="AA257" s="301">
        <f t="shared" ref="AA257" si="1503">IFERROR(Z257/$G257," ")</f>
        <v>1</v>
      </c>
      <c r="AB257" s="292"/>
      <c r="AC257" s="279">
        <f t="shared" si="1388"/>
        <v>0</v>
      </c>
      <c r="AD257" s="279">
        <f t="shared" si="1389"/>
        <v>0</v>
      </c>
      <c r="AE257" s="279">
        <f t="shared" si="1390"/>
        <v>0</v>
      </c>
      <c r="AF257" s="279">
        <f t="shared" si="1391"/>
        <v>16200</v>
      </c>
      <c r="AG257" s="279">
        <f t="shared" si="1392"/>
        <v>16200</v>
      </c>
      <c r="AH257" s="279">
        <f t="shared" si="1393"/>
        <v>16200</v>
      </c>
      <c r="AI257" s="279">
        <f t="shared" si="1394"/>
        <v>16200</v>
      </c>
      <c r="AJ257" s="279">
        <f t="shared" si="1395"/>
        <v>16200</v>
      </c>
    </row>
    <row r="258" spans="1:36" x14ac:dyDescent="0.65">
      <c r="A258" s="203">
        <v>212</v>
      </c>
      <c r="B258" s="276" t="s">
        <v>550</v>
      </c>
      <c r="C258" s="276" t="s">
        <v>551</v>
      </c>
      <c r="D258" s="299" t="s">
        <v>83</v>
      </c>
      <c r="E258" s="321">
        <f>IFERROR(VLOOKUP(A258,Estimate!A:Q,17,FALSE)," ")</f>
        <v>42787.121399999996</v>
      </c>
      <c r="F258" s="299">
        <v>3890</v>
      </c>
      <c r="G258" s="299">
        <f>VLOOKUP(A258,Estimate!A:H,8,FALSE)</f>
        <v>3890</v>
      </c>
      <c r="H258" s="298">
        <v>3890</v>
      </c>
      <c r="I258" s="298">
        <f t="shared" si="1260"/>
        <v>43762.5</v>
      </c>
      <c r="J258" s="298">
        <v>43762.5</v>
      </c>
      <c r="K258" s="298"/>
      <c r="L258" s="299"/>
      <c r="M258" s="301">
        <f t="shared" si="1203"/>
        <v>0</v>
      </c>
      <c r="N258" s="299"/>
      <c r="O258" s="301">
        <f t="shared" si="1203"/>
        <v>0</v>
      </c>
      <c r="P258" s="299"/>
      <c r="Q258" s="301">
        <f t="shared" ref="Q258" si="1504">IFERROR(P258/$G258," ")</f>
        <v>0</v>
      </c>
      <c r="R258" s="299">
        <v>3890</v>
      </c>
      <c r="S258" s="301">
        <f t="shared" ref="S258" si="1505">IFERROR(R258/$G258," ")</f>
        <v>1</v>
      </c>
      <c r="T258" s="299">
        <v>3890</v>
      </c>
      <c r="U258" s="301">
        <f t="shared" ref="U258" si="1506">IFERROR(T258/$G258," ")</f>
        <v>1</v>
      </c>
      <c r="V258" s="299">
        <v>3890</v>
      </c>
      <c r="W258" s="301">
        <f t="shared" ref="W258" si="1507">IFERROR(V258/$G258," ")</f>
        <v>1</v>
      </c>
      <c r="X258" s="299">
        <v>3890</v>
      </c>
      <c r="Y258" s="301">
        <f t="shared" ref="Y258" si="1508">IFERROR(X258/$G258," ")</f>
        <v>1</v>
      </c>
      <c r="Z258" s="299">
        <v>3890</v>
      </c>
      <c r="AA258" s="301">
        <f t="shared" ref="AA258" si="1509">IFERROR(Z258/$G258," ")</f>
        <v>1</v>
      </c>
      <c r="AB258" s="292"/>
      <c r="AC258" s="279">
        <f t="shared" si="1388"/>
        <v>0</v>
      </c>
      <c r="AD258" s="279">
        <f t="shared" si="1389"/>
        <v>0</v>
      </c>
      <c r="AE258" s="279">
        <f t="shared" si="1390"/>
        <v>0</v>
      </c>
      <c r="AF258" s="279">
        <f t="shared" si="1391"/>
        <v>43762.5</v>
      </c>
      <c r="AG258" s="279">
        <f t="shared" si="1392"/>
        <v>43762.5</v>
      </c>
      <c r="AH258" s="279">
        <f t="shared" si="1393"/>
        <v>43762.5</v>
      </c>
      <c r="AI258" s="279">
        <f t="shared" si="1394"/>
        <v>43762.5</v>
      </c>
      <c r="AJ258" s="279">
        <f t="shared" si="1395"/>
        <v>43762.5</v>
      </c>
    </row>
    <row r="259" spans="1:36" x14ac:dyDescent="0.65">
      <c r="A259" s="203">
        <v>213</v>
      </c>
      <c r="B259" s="292" t="s">
        <v>552</v>
      </c>
      <c r="C259" s="276" t="s">
        <v>553</v>
      </c>
      <c r="D259" s="292" t="s">
        <v>79</v>
      </c>
      <c r="E259" s="321">
        <f>IFERROR(VLOOKUP(A259,Estimate!A:Q,17,FALSE)," ")</f>
        <v>700</v>
      </c>
      <c r="F259" s="299">
        <v>1</v>
      </c>
      <c r="G259" s="299">
        <v>1</v>
      </c>
      <c r="H259" s="298">
        <v>750</v>
      </c>
      <c r="I259" s="298">
        <f t="shared" si="1260"/>
        <v>750</v>
      </c>
      <c r="J259" s="298">
        <v>750</v>
      </c>
      <c r="K259" s="298"/>
      <c r="L259" s="299"/>
      <c r="M259" s="301">
        <f t="shared" si="1203"/>
        <v>0</v>
      </c>
      <c r="N259" s="299"/>
      <c r="O259" s="301">
        <f t="shared" si="1203"/>
        <v>0</v>
      </c>
      <c r="P259" s="299"/>
      <c r="Q259" s="301">
        <f t="shared" ref="Q259" si="1510">IFERROR(P259/$G259," ")</f>
        <v>0</v>
      </c>
      <c r="R259" s="299">
        <v>1</v>
      </c>
      <c r="S259" s="301">
        <f t="shared" ref="S259" si="1511">IFERROR(R259/$G259," ")</f>
        <v>1</v>
      </c>
      <c r="T259" s="299">
        <v>1</v>
      </c>
      <c r="U259" s="301">
        <f t="shared" ref="U259" si="1512">IFERROR(T259/$G259," ")</f>
        <v>1</v>
      </c>
      <c r="V259" s="299">
        <v>1</v>
      </c>
      <c r="W259" s="301">
        <f t="shared" ref="W259" si="1513">IFERROR(V259/$G259," ")</f>
        <v>1</v>
      </c>
      <c r="X259" s="299">
        <v>1</v>
      </c>
      <c r="Y259" s="301">
        <f t="shared" ref="Y259" si="1514">IFERROR(X259/$G259," ")</f>
        <v>1</v>
      </c>
      <c r="Z259" s="299">
        <v>1</v>
      </c>
      <c r="AA259" s="301">
        <f t="shared" ref="AA259" si="1515">IFERROR(Z259/$G259," ")</f>
        <v>1</v>
      </c>
      <c r="AB259" s="292"/>
      <c r="AC259" s="279">
        <f t="shared" si="1388"/>
        <v>0</v>
      </c>
      <c r="AD259" s="279">
        <f t="shared" si="1389"/>
        <v>0</v>
      </c>
      <c r="AE259" s="279">
        <f t="shared" si="1390"/>
        <v>0</v>
      </c>
      <c r="AF259" s="279">
        <f t="shared" si="1391"/>
        <v>750</v>
      </c>
      <c r="AG259" s="279">
        <f t="shared" si="1392"/>
        <v>750</v>
      </c>
      <c r="AH259" s="279">
        <f t="shared" si="1393"/>
        <v>750</v>
      </c>
      <c r="AI259" s="279">
        <f t="shared" si="1394"/>
        <v>750</v>
      </c>
      <c r="AJ259" s="279">
        <f t="shared" si="1395"/>
        <v>750</v>
      </c>
    </row>
    <row r="260" spans="1:36" x14ac:dyDescent="0.65">
      <c r="A260" s="203">
        <v>214</v>
      </c>
      <c r="B260" s="276" t="s">
        <v>554</v>
      </c>
      <c r="C260" s="276" t="s">
        <v>555</v>
      </c>
      <c r="D260" s="292"/>
      <c r="E260" s="321"/>
      <c r="F260" s="299">
        <v>1</v>
      </c>
      <c r="G260" s="299">
        <f>VLOOKUP(A260,Estimate!A:H,8,FALSE)</f>
        <v>1</v>
      </c>
      <c r="H260" s="298">
        <v>1</v>
      </c>
      <c r="I260" s="298"/>
      <c r="J260" s="298"/>
      <c r="K260" s="298"/>
      <c r="L260" s="299"/>
      <c r="M260" s="301"/>
      <c r="N260" s="299"/>
      <c r="O260" s="301"/>
      <c r="P260" s="299"/>
      <c r="Q260" s="301"/>
      <c r="R260" s="299"/>
      <c r="S260" s="301"/>
      <c r="T260" s="299"/>
      <c r="U260" s="301"/>
      <c r="V260" s="299"/>
      <c r="W260" s="301"/>
      <c r="X260" s="299"/>
      <c r="Y260" s="301"/>
      <c r="Z260" s="299"/>
      <c r="AA260" s="301"/>
      <c r="AB260" s="292"/>
      <c r="AC260" s="279"/>
      <c r="AD260" s="279"/>
      <c r="AE260" s="279"/>
      <c r="AF260" s="279"/>
      <c r="AG260" s="279"/>
      <c r="AH260" s="279"/>
      <c r="AI260" s="279"/>
      <c r="AJ260" s="279"/>
    </row>
    <row r="261" spans="1:36" ht="28.5" x14ac:dyDescent="0.65">
      <c r="A261" s="203">
        <v>215</v>
      </c>
      <c r="B261" s="276" t="s">
        <v>558</v>
      </c>
      <c r="C261" s="276" t="s">
        <v>559</v>
      </c>
      <c r="D261" s="299" t="s">
        <v>72</v>
      </c>
      <c r="E261" s="321">
        <f>IFERROR(VLOOKUP(A261,Estimate!A:Q,17,FALSE)," ")</f>
        <v>1497.6276903897628</v>
      </c>
      <c r="F261" s="299">
        <v>8</v>
      </c>
      <c r="G261" s="299">
        <f>VLOOKUP(A261,Estimate!A:H,8,FALSE)</f>
        <v>8</v>
      </c>
      <c r="H261" s="298">
        <v>8</v>
      </c>
      <c r="I261" s="298">
        <f t="shared" si="1260"/>
        <v>1761.76</v>
      </c>
      <c r="J261" s="298">
        <v>1761.76</v>
      </c>
      <c r="K261" s="298"/>
      <c r="L261" s="299"/>
      <c r="M261" s="301">
        <f t="shared" si="1203"/>
        <v>0</v>
      </c>
      <c r="N261" s="299"/>
      <c r="O261" s="301">
        <f t="shared" si="1203"/>
        <v>0</v>
      </c>
      <c r="P261" s="299"/>
      <c r="Q261" s="301">
        <f t="shared" ref="Q261" si="1516">IFERROR(P261/$G261," ")</f>
        <v>0</v>
      </c>
      <c r="R261" s="299">
        <v>8</v>
      </c>
      <c r="S261" s="301">
        <f t="shared" ref="S261" si="1517">IFERROR(R261/$G261," ")</f>
        <v>1</v>
      </c>
      <c r="T261" s="299">
        <v>8</v>
      </c>
      <c r="U261" s="301">
        <f t="shared" ref="U261" si="1518">IFERROR(T261/$G261," ")</f>
        <v>1</v>
      </c>
      <c r="V261" s="299">
        <v>8</v>
      </c>
      <c r="W261" s="301">
        <f t="shared" ref="W261" si="1519">IFERROR(V261/$G261," ")</f>
        <v>1</v>
      </c>
      <c r="X261" s="299">
        <v>8</v>
      </c>
      <c r="Y261" s="301">
        <f t="shared" ref="Y261" si="1520">IFERROR(X261/$G261," ")</f>
        <v>1</v>
      </c>
      <c r="Z261" s="299">
        <v>8</v>
      </c>
      <c r="AA261" s="301">
        <f t="shared" ref="AA261" si="1521">IFERROR(Z261/$G261," ")</f>
        <v>1</v>
      </c>
      <c r="AB261" s="292"/>
      <c r="AC261" s="279">
        <f t="shared" si="1388"/>
        <v>0</v>
      </c>
      <c r="AD261" s="279">
        <f t="shared" si="1389"/>
        <v>0</v>
      </c>
      <c r="AE261" s="279">
        <f t="shared" si="1390"/>
        <v>0</v>
      </c>
      <c r="AF261" s="279">
        <f t="shared" si="1391"/>
        <v>1761.76</v>
      </c>
      <c r="AG261" s="279">
        <f t="shared" si="1392"/>
        <v>1761.76</v>
      </c>
      <c r="AH261" s="279">
        <f t="shared" si="1393"/>
        <v>1761.76</v>
      </c>
      <c r="AI261" s="279">
        <f t="shared" si="1394"/>
        <v>1761.76</v>
      </c>
      <c r="AJ261" s="279">
        <f t="shared" si="1395"/>
        <v>1761.76</v>
      </c>
    </row>
    <row r="262" spans="1:36" x14ac:dyDescent="0.65">
      <c r="A262" s="203">
        <v>216</v>
      </c>
      <c r="B262" s="276" t="s">
        <v>556</v>
      </c>
      <c r="C262" s="276" t="s">
        <v>557</v>
      </c>
      <c r="D262" s="299" t="s">
        <v>83</v>
      </c>
      <c r="E262" s="321">
        <f>IFERROR(VLOOKUP(A262,Estimate!A:Q,17,FALSE)," ")</f>
        <v>777.58508708246256</v>
      </c>
      <c r="F262" s="299">
        <v>80</v>
      </c>
      <c r="G262" s="299">
        <f>VLOOKUP(A262,Estimate!A:H,8,FALSE)</f>
        <v>80</v>
      </c>
      <c r="H262" s="298">
        <v>80</v>
      </c>
      <c r="I262" s="298">
        <f t="shared" si="1260"/>
        <v>1161.5999999999999</v>
      </c>
      <c r="J262" s="298">
        <v>1161.5999999999999</v>
      </c>
      <c r="K262" s="298"/>
      <c r="L262" s="299"/>
      <c r="M262" s="301">
        <f t="shared" ref="M262:O289" si="1522">IFERROR(L262/$G262," ")</f>
        <v>0</v>
      </c>
      <c r="N262" s="299"/>
      <c r="O262" s="301">
        <f t="shared" si="1522"/>
        <v>0</v>
      </c>
      <c r="P262" s="299"/>
      <c r="Q262" s="301">
        <f t="shared" ref="Q262" si="1523">IFERROR(P262/$G262," ")</f>
        <v>0</v>
      </c>
      <c r="R262" s="299">
        <v>80</v>
      </c>
      <c r="S262" s="301">
        <f t="shared" ref="S262" si="1524">IFERROR(R262/$G262," ")</f>
        <v>1</v>
      </c>
      <c r="T262" s="299">
        <v>80</v>
      </c>
      <c r="U262" s="301">
        <f t="shared" ref="U262" si="1525">IFERROR(T262/$G262," ")</f>
        <v>1</v>
      </c>
      <c r="V262" s="299">
        <v>80</v>
      </c>
      <c r="W262" s="301">
        <f t="shared" ref="W262" si="1526">IFERROR(V262/$G262," ")</f>
        <v>1</v>
      </c>
      <c r="X262" s="299">
        <v>80</v>
      </c>
      <c r="Y262" s="301">
        <f t="shared" ref="Y262" si="1527">IFERROR(X262/$G262," ")</f>
        <v>1</v>
      </c>
      <c r="Z262" s="299">
        <v>80</v>
      </c>
      <c r="AA262" s="301">
        <f t="shared" ref="AA262" si="1528">IFERROR(Z262/$G262," ")</f>
        <v>1</v>
      </c>
      <c r="AB262" s="292"/>
      <c r="AC262" s="279">
        <f t="shared" si="1388"/>
        <v>0</v>
      </c>
      <c r="AD262" s="279">
        <f t="shared" si="1389"/>
        <v>0</v>
      </c>
      <c r="AE262" s="279">
        <f t="shared" si="1390"/>
        <v>0</v>
      </c>
      <c r="AF262" s="279">
        <f t="shared" si="1391"/>
        <v>1161.5999999999999</v>
      </c>
      <c r="AG262" s="279">
        <f t="shared" si="1392"/>
        <v>1161.5999999999999</v>
      </c>
      <c r="AH262" s="279">
        <f t="shared" si="1393"/>
        <v>1161.5999999999999</v>
      </c>
      <c r="AI262" s="279">
        <f t="shared" si="1394"/>
        <v>1161.5999999999999</v>
      </c>
      <c r="AJ262" s="279">
        <f t="shared" si="1395"/>
        <v>1161.5999999999999</v>
      </c>
    </row>
    <row r="263" spans="1:36" ht="42.75" x14ac:dyDescent="0.65">
      <c r="A263" s="203">
        <v>217</v>
      </c>
      <c r="B263" s="292" t="s">
        <v>560</v>
      </c>
      <c r="C263" s="276" t="s">
        <v>561</v>
      </c>
      <c r="D263" s="292" t="s">
        <v>79</v>
      </c>
      <c r="E263" s="321">
        <f>IFERROR(VLOOKUP(A263,Estimate!A:Q,17,FALSE)," ")</f>
        <v>6250</v>
      </c>
      <c r="F263" s="299">
        <v>1</v>
      </c>
      <c r="G263" s="299">
        <v>1</v>
      </c>
      <c r="H263" s="298">
        <v>7562.5</v>
      </c>
      <c r="I263" s="298">
        <f t="shared" si="1260"/>
        <v>7562.5</v>
      </c>
      <c r="J263" s="298">
        <v>7562.5</v>
      </c>
      <c r="K263" s="298"/>
      <c r="L263" s="299"/>
      <c r="M263" s="301">
        <f t="shared" si="1522"/>
        <v>0</v>
      </c>
      <c r="N263" s="299"/>
      <c r="O263" s="301">
        <f t="shared" si="1522"/>
        <v>0</v>
      </c>
      <c r="P263" s="299"/>
      <c r="Q263" s="301">
        <f t="shared" ref="Q263" si="1529">IFERROR(P263/$G263," ")</f>
        <v>0</v>
      </c>
      <c r="R263" s="299">
        <v>1</v>
      </c>
      <c r="S263" s="301">
        <f t="shared" ref="S263" si="1530">IFERROR(R263/$G263," ")</f>
        <v>1</v>
      </c>
      <c r="T263" s="299">
        <v>1</v>
      </c>
      <c r="U263" s="301">
        <f t="shared" ref="U263" si="1531">IFERROR(T263/$G263," ")</f>
        <v>1</v>
      </c>
      <c r="V263" s="299">
        <v>1</v>
      </c>
      <c r="W263" s="301">
        <f t="shared" ref="W263" si="1532">IFERROR(V263/$G263," ")</f>
        <v>1</v>
      </c>
      <c r="X263" s="299">
        <v>1</v>
      </c>
      <c r="Y263" s="301">
        <f t="shared" ref="Y263" si="1533">IFERROR(X263/$G263," ")</f>
        <v>1</v>
      </c>
      <c r="Z263" s="299">
        <v>1</v>
      </c>
      <c r="AA263" s="301">
        <f t="shared" ref="AA263" si="1534">IFERROR(Z263/$G263," ")</f>
        <v>1</v>
      </c>
      <c r="AB263" s="292"/>
      <c r="AC263" s="279">
        <f t="shared" si="1388"/>
        <v>0</v>
      </c>
      <c r="AD263" s="279">
        <f t="shared" si="1389"/>
        <v>0</v>
      </c>
      <c r="AE263" s="279">
        <f t="shared" si="1390"/>
        <v>0</v>
      </c>
      <c r="AF263" s="279">
        <f t="shared" si="1391"/>
        <v>7562.5</v>
      </c>
      <c r="AG263" s="279">
        <f t="shared" si="1392"/>
        <v>7562.5</v>
      </c>
      <c r="AH263" s="279">
        <f t="shared" si="1393"/>
        <v>7562.5</v>
      </c>
      <c r="AI263" s="279">
        <f t="shared" si="1394"/>
        <v>7562.5</v>
      </c>
      <c r="AJ263" s="279">
        <f t="shared" si="1395"/>
        <v>7562.5</v>
      </c>
    </row>
    <row r="264" spans="1:36" x14ac:dyDescent="0.65">
      <c r="A264" s="203">
        <v>218</v>
      </c>
      <c r="B264" s="276" t="s">
        <v>562</v>
      </c>
      <c r="C264" s="276" t="s">
        <v>563</v>
      </c>
      <c r="D264" s="292"/>
      <c r="E264" s="321">
        <f>IFERROR(VLOOKUP(A264,Estimate!A:Q,17,FALSE)," ")</f>
        <v>0</v>
      </c>
      <c r="F264" s="299">
        <v>1</v>
      </c>
      <c r="G264" s="299">
        <f>VLOOKUP(A264,Estimate!A:H,8,FALSE)</f>
        <v>1</v>
      </c>
      <c r="H264" s="298">
        <v>1</v>
      </c>
      <c r="I264" s="298"/>
      <c r="J264" s="298"/>
      <c r="K264" s="298"/>
      <c r="L264" s="299"/>
      <c r="M264" s="301"/>
      <c r="N264" s="299"/>
      <c r="O264" s="301"/>
      <c r="P264" s="299"/>
      <c r="Q264" s="301"/>
      <c r="R264" s="299"/>
      <c r="S264" s="301"/>
      <c r="T264" s="299"/>
      <c r="U264" s="301"/>
      <c r="V264" s="299"/>
      <c r="W264" s="301"/>
      <c r="X264" s="299"/>
      <c r="Y264" s="301"/>
      <c r="Z264" s="299"/>
      <c r="AA264" s="301"/>
      <c r="AB264" s="292"/>
      <c r="AC264" s="279"/>
      <c r="AD264" s="279"/>
      <c r="AE264" s="279"/>
      <c r="AF264" s="279"/>
      <c r="AG264" s="279"/>
      <c r="AH264" s="279"/>
      <c r="AI264" s="279"/>
      <c r="AJ264" s="279"/>
    </row>
    <row r="265" spans="1:36" x14ac:dyDescent="0.65">
      <c r="A265" s="203">
        <v>219</v>
      </c>
      <c r="B265" s="276" t="s">
        <v>578</v>
      </c>
      <c r="C265" s="276" t="s">
        <v>579</v>
      </c>
      <c r="D265" s="299" t="s">
        <v>79</v>
      </c>
      <c r="E265" s="321">
        <f>IFERROR(VLOOKUP(A265,Estimate!A:Q,17,FALSE)," ")</f>
        <v>3850</v>
      </c>
      <c r="F265" s="299">
        <v>1</v>
      </c>
      <c r="G265" s="299">
        <f>VLOOKUP(A265,Estimate!A:H,8,FALSE)</f>
        <v>1</v>
      </c>
      <c r="H265" s="298">
        <v>1</v>
      </c>
      <c r="I265" s="298">
        <f t="shared" si="1260"/>
        <v>4235</v>
      </c>
      <c r="J265" s="298">
        <v>4235</v>
      </c>
      <c r="K265" s="298"/>
      <c r="L265" s="299"/>
      <c r="M265" s="301">
        <f t="shared" si="1522"/>
        <v>0</v>
      </c>
      <c r="N265" s="299"/>
      <c r="O265" s="301">
        <f t="shared" si="1522"/>
        <v>0</v>
      </c>
      <c r="P265" s="299"/>
      <c r="Q265" s="301">
        <f t="shared" ref="Q265" si="1535">IFERROR(P265/$G265," ")</f>
        <v>0</v>
      </c>
      <c r="R265" s="299"/>
      <c r="S265" s="301">
        <f t="shared" ref="S265" si="1536">IFERROR(R265/$G265," ")</f>
        <v>0</v>
      </c>
      <c r="T265" s="299">
        <v>1</v>
      </c>
      <c r="U265" s="301">
        <f t="shared" ref="U265" si="1537">IFERROR(T265/$G265," ")</f>
        <v>1</v>
      </c>
      <c r="V265" s="299">
        <v>1</v>
      </c>
      <c r="W265" s="301">
        <f t="shared" ref="W265" si="1538">IFERROR(V265/$G265," ")</f>
        <v>1</v>
      </c>
      <c r="X265" s="299">
        <v>1</v>
      </c>
      <c r="Y265" s="301">
        <f t="shared" ref="Y265" si="1539">IFERROR(X265/$G265," ")</f>
        <v>1</v>
      </c>
      <c r="Z265" s="299">
        <v>1</v>
      </c>
      <c r="AA265" s="301">
        <f t="shared" ref="AA265" si="1540">IFERROR(Z265/$G265," ")</f>
        <v>1</v>
      </c>
      <c r="AB265" s="292"/>
      <c r="AC265" s="279">
        <f t="shared" si="1388"/>
        <v>0</v>
      </c>
      <c r="AD265" s="279">
        <f t="shared" si="1389"/>
        <v>0</v>
      </c>
      <c r="AE265" s="279">
        <f t="shared" si="1390"/>
        <v>0</v>
      </c>
      <c r="AF265" s="279">
        <f t="shared" si="1391"/>
        <v>0</v>
      </c>
      <c r="AG265" s="279">
        <f t="shared" si="1392"/>
        <v>4235</v>
      </c>
      <c r="AH265" s="279">
        <f t="shared" si="1393"/>
        <v>4235</v>
      </c>
      <c r="AI265" s="279">
        <f t="shared" si="1394"/>
        <v>4235</v>
      </c>
      <c r="AJ265" s="279">
        <f t="shared" si="1395"/>
        <v>4235</v>
      </c>
    </row>
    <row r="266" spans="1:36" x14ac:dyDescent="0.65">
      <c r="A266" s="203">
        <v>220</v>
      </c>
      <c r="B266" s="276" t="s">
        <v>574</v>
      </c>
      <c r="C266" s="276" t="s">
        <v>575</v>
      </c>
      <c r="D266" s="299" t="s">
        <v>79</v>
      </c>
      <c r="E266" s="321">
        <f>IFERROR(VLOOKUP(A266,Estimate!A:Q,17,FALSE)," ")</f>
        <v>17000</v>
      </c>
      <c r="F266" s="299">
        <v>1</v>
      </c>
      <c r="G266" s="299">
        <f>VLOOKUP(A266,Estimate!A:H,8,FALSE)</f>
        <v>1</v>
      </c>
      <c r="H266" s="298">
        <v>1</v>
      </c>
      <c r="I266" s="298">
        <f t="shared" si="1260"/>
        <v>18755</v>
      </c>
      <c r="J266" s="298">
        <v>18755</v>
      </c>
      <c r="K266" s="298"/>
      <c r="L266" s="299"/>
      <c r="M266" s="301">
        <f t="shared" si="1522"/>
        <v>0</v>
      </c>
      <c r="N266" s="299"/>
      <c r="O266" s="301">
        <f t="shared" si="1522"/>
        <v>0</v>
      </c>
      <c r="P266" s="299"/>
      <c r="Q266" s="301">
        <f t="shared" ref="Q266" si="1541">IFERROR(P266/$G266," ")</f>
        <v>0</v>
      </c>
      <c r="R266" s="299"/>
      <c r="S266" s="301">
        <f t="shared" ref="S266" si="1542">IFERROR(R266/$G266," ")</f>
        <v>0</v>
      </c>
      <c r="T266" s="299">
        <v>1</v>
      </c>
      <c r="U266" s="301">
        <f t="shared" ref="U266" si="1543">IFERROR(T266/$G266," ")</f>
        <v>1</v>
      </c>
      <c r="V266" s="299">
        <v>1</v>
      </c>
      <c r="W266" s="301">
        <f t="shared" ref="W266" si="1544">IFERROR(V266/$G266," ")</f>
        <v>1</v>
      </c>
      <c r="X266" s="299">
        <v>1</v>
      </c>
      <c r="Y266" s="301">
        <f t="shared" ref="Y266" si="1545">IFERROR(X266/$G266," ")</f>
        <v>1</v>
      </c>
      <c r="Z266" s="299">
        <v>1</v>
      </c>
      <c r="AA266" s="301">
        <f t="shared" ref="AA266" si="1546">IFERROR(Z266/$G266," ")</f>
        <v>1</v>
      </c>
      <c r="AB266" s="292"/>
      <c r="AC266" s="279">
        <f t="shared" si="1388"/>
        <v>0</v>
      </c>
      <c r="AD266" s="279">
        <f t="shared" si="1389"/>
        <v>0</v>
      </c>
      <c r="AE266" s="279">
        <f t="shared" si="1390"/>
        <v>0</v>
      </c>
      <c r="AF266" s="279">
        <f t="shared" si="1391"/>
        <v>0</v>
      </c>
      <c r="AG266" s="279">
        <f t="shared" si="1392"/>
        <v>18755</v>
      </c>
      <c r="AH266" s="279">
        <f t="shared" si="1393"/>
        <v>18755</v>
      </c>
      <c r="AI266" s="279">
        <f t="shared" si="1394"/>
        <v>18755</v>
      </c>
      <c r="AJ266" s="279">
        <f t="shared" si="1395"/>
        <v>18755</v>
      </c>
    </row>
    <row r="267" spans="1:36" ht="28.5" x14ac:dyDescent="0.65">
      <c r="A267" s="203">
        <v>221</v>
      </c>
      <c r="B267" s="276" t="s">
        <v>570</v>
      </c>
      <c r="C267" s="276" t="s">
        <v>571</v>
      </c>
      <c r="D267" s="299" t="s">
        <v>79</v>
      </c>
      <c r="E267" s="321">
        <f>IFERROR(VLOOKUP(A267,Estimate!A:Q,17,FALSE)," ")</f>
        <v>33700</v>
      </c>
      <c r="F267" s="299">
        <v>1</v>
      </c>
      <c r="G267" s="299">
        <f>VLOOKUP(A267,Estimate!A:H,8,FALSE)</f>
        <v>1</v>
      </c>
      <c r="H267" s="298">
        <v>1</v>
      </c>
      <c r="I267" s="298">
        <f t="shared" si="1260"/>
        <v>37085.29</v>
      </c>
      <c r="J267" s="298">
        <v>37085.29</v>
      </c>
      <c r="K267" s="298"/>
      <c r="L267" s="299"/>
      <c r="M267" s="301">
        <f t="shared" si="1522"/>
        <v>0</v>
      </c>
      <c r="N267" s="299"/>
      <c r="O267" s="301">
        <f t="shared" si="1522"/>
        <v>0</v>
      </c>
      <c r="P267" s="299"/>
      <c r="Q267" s="301">
        <f t="shared" ref="Q267" si="1547">IFERROR(P267/$G267," ")</f>
        <v>0</v>
      </c>
      <c r="R267" s="299"/>
      <c r="S267" s="301">
        <f t="shared" ref="S267" si="1548">IFERROR(R267/$G267," ")</f>
        <v>0</v>
      </c>
      <c r="T267" s="299">
        <v>0.85</v>
      </c>
      <c r="U267" s="301">
        <f t="shared" ref="U267" si="1549">IFERROR(T267/$G267," ")</f>
        <v>0.85</v>
      </c>
      <c r="V267" s="299">
        <v>1</v>
      </c>
      <c r="W267" s="301">
        <f t="shared" ref="W267" si="1550">IFERROR(V267/$G267," ")</f>
        <v>1</v>
      </c>
      <c r="X267" s="299">
        <v>1</v>
      </c>
      <c r="Y267" s="301">
        <f t="shared" ref="Y267" si="1551">IFERROR(X267/$G267," ")</f>
        <v>1</v>
      </c>
      <c r="Z267" s="299">
        <v>1</v>
      </c>
      <c r="AA267" s="301">
        <f t="shared" ref="AA267" si="1552">IFERROR(Z267/$G267," ")</f>
        <v>1</v>
      </c>
      <c r="AB267" s="292"/>
      <c r="AC267" s="279">
        <f t="shared" ref="AC267:AC289" si="1553">IFERROR(M267*$I267," ")</f>
        <v>0</v>
      </c>
      <c r="AD267" s="279">
        <f t="shared" ref="AD267:AD289" si="1554">IFERROR(O267*$I267," ")</f>
        <v>0</v>
      </c>
      <c r="AE267" s="279">
        <f t="shared" ref="AE267:AE289" si="1555">IFERROR(Q267*$I267," ")</f>
        <v>0</v>
      </c>
      <c r="AF267" s="279">
        <f t="shared" ref="AF267:AF289" si="1556">IFERROR(S267*$I267," ")</f>
        <v>0</v>
      </c>
      <c r="AG267" s="279">
        <f t="shared" ref="AG267:AG289" si="1557">IFERROR(U267*$I267," ")</f>
        <v>31522.496500000001</v>
      </c>
      <c r="AH267" s="279">
        <f t="shared" ref="AH267:AH289" si="1558">IFERROR(W267*$I267," ")</f>
        <v>37085.29</v>
      </c>
      <c r="AI267" s="279">
        <f t="shared" ref="AI267:AI289" si="1559">IFERROR(Y267*$I267," ")</f>
        <v>37085.29</v>
      </c>
      <c r="AJ267" s="279">
        <f t="shared" ref="AJ267:AJ289" si="1560">IFERROR(AA267*$I267," ")</f>
        <v>37085.29</v>
      </c>
    </row>
    <row r="268" spans="1:36" ht="28.5" x14ac:dyDescent="0.65">
      <c r="A268" s="203">
        <v>222</v>
      </c>
      <c r="B268" s="276" t="s">
        <v>576</v>
      </c>
      <c r="C268" s="276" t="s">
        <v>577</v>
      </c>
      <c r="D268" s="299" t="s">
        <v>79</v>
      </c>
      <c r="E268" s="321">
        <f>IFERROR(VLOOKUP(A268,Estimate!A:Q,17,FALSE)," ")</f>
        <v>3800</v>
      </c>
      <c r="F268" s="299">
        <v>1</v>
      </c>
      <c r="G268" s="299">
        <f>VLOOKUP(A268,Estimate!A:H,8,FALSE)</f>
        <v>1</v>
      </c>
      <c r="H268" s="298">
        <v>1</v>
      </c>
      <c r="I268" s="298">
        <f t="shared" si="1260"/>
        <v>4317.28</v>
      </c>
      <c r="J268" s="298">
        <v>4317.28</v>
      </c>
      <c r="K268" s="298"/>
      <c r="L268" s="299"/>
      <c r="M268" s="301">
        <f t="shared" si="1522"/>
        <v>0</v>
      </c>
      <c r="N268" s="299"/>
      <c r="O268" s="301">
        <f t="shared" si="1522"/>
        <v>0</v>
      </c>
      <c r="P268" s="299"/>
      <c r="Q268" s="301">
        <f t="shared" ref="Q268" si="1561">IFERROR(P268/$G268," ")</f>
        <v>0</v>
      </c>
      <c r="R268" s="299"/>
      <c r="S268" s="301">
        <f t="shared" ref="S268" si="1562">IFERROR(R268/$G268," ")</f>
        <v>0</v>
      </c>
      <c r="T268" s="299">
        <v>1</v>
      </c>
      <c r="U268" s="301">
        <f t="shared" ref="U268" si="1563">IFERROR(T268/$G268," ")</f>
        <v>1</v>
      </c>
      <c r="V268" s="299">
        <v>1</v>
      </c>
      <c r="W268" s="301">
        <f t="shared" ref="W268" si="1564">IFERROR(V268/$G268," ")</f>
        <v>1</v>
      </c>
      <c r="X268" s="299">
        <v>1</v>
      </c>
      <c r="Y268" s="301">
        <f t="shared" ref="Y268" si="1565">IFERROR(X268/$G268," ")</f>
        <v>1</v>
      </c>
      <c r="Z268" s="299">
        <v>1</v>
      </c>
      <c r="AA268" s="301">
        <f t="shared" ref="AA268" si="1566">IFERROR(Z268/$G268," ")</f>
        <v>1</v>
      </c>
      <c r="AB268" s="292"/>
      <c r="AC268" s="279">
        <f t="shared" si="1553"/>
        <v>0</v>
      </c>
      <c r="AD268" s="279">
        <f t="shared" si="1554"/>
        <v>0</v>
      </c>
      <c r="AE268" s="279">
        <f t="shared" si="1555"/>
        <v>0</v>
      </c>
      <c r="AF268" s="279">
        <f t="shared" si="1556"/>
        <v>0</v>
      </c>
      <c r="AG268" s="279">
        <f t="shared" si="1557"/>
        <v>4317.28</v>
      </c>
      <c r="AH268" s="279">
        <f t="shared" si="1558"/>
        <v>4317.28</v>
      </c>
      <c r="AI268" s="279">
        <f t="shared" si="1559"/>
        <v>4317.28</v>
      </c>
      <c r="AJ268" s="279">
        <f t="shared" si="1560"/>
        <v>4317.28</v>
      </c>
    </row>
    <row r="269" spans="1:36" x14ac:dyDescent="0.65">
      <c r="A269" s="203">
        <v>223</v>
      </c>
      <c r="B269" s="276" t="s">
        <v>572</v>
      </c>
      <c r="C269" s="276" t="s">
        <v>573</v>
      </c>
      <c r="D269" s="299" t="s">
        <v>79</v>
      </c>
      <c r="E269" s="321">
        <f>IFERROR(VLOOKUP(A269,Estimate!A:Q,17,FALSE)," ")</f>
        <v>700</v>
      </c>
      <c r="F269" s="299">
        <v>1</v>
      </c>
      <c r="G269" s="299">
        <f>VLOOKUP(A269,Estimate!A:H,8,FALSE)</f>
        <v>1</v>
      </c>
      <c r="H269" s="298">
        <v>1</v>
      </c>
      <c r="I269" s="298">
        <f t="shared" si="1260"/>
        <v>1000</v>
      </c>
      <c r="J269" s="298">
        <v>1000</v>
      </c>
      <c r="K269" s="298"/>
      <c r="L269" s="299"/>
      <c r="M269" s="301">
        <f t="shared" si="1522"/>
        <v>0</v>
      </c>
      <c r="N269" s="299"/>
      <c r="O269" s="301">
        <f t="shared" si="1522"/>
        <v>0</v>
      </c>
      <c r="P269" s="299"/>
      <c r="Q269" s="301">
        <f t="shared" ref="Q269" si="1567">IFERROR(P269/$G269," ")</f>
        <v>0</v>
      </c>
      <c r="R269" s="299"/>
      <c r="S269" s="301">
        <f t="shared" ref="S269" si="1568">IFERROR(R269/$G269," ")</f>
        <v>0</v>
      </c>
      <c r="T269" s="299"/>
      <c r="U269" s="301">
        <f t="shared" ref="U269" si="1569">IFERROR(T269/$G269," ")</f>
        <v>0</v>
      </c>
      <c r="V269" s="299">
        <v>1</v>
      </c>
      <c r="W269" s="301">
        <f t="shared" ref="W269" si="1570">IFERROR(V269/$G269," ")</f>
        <v>1</v>
      </c>
      <c r="X269" s="299">
        <v>1</v>
      </c>
      <c r="Y269" s="301">
        <f t="shared" ref="Y269" si="1571">IFERROR(X269/$G269," ")</f>
        <v>1</v>
      </c>
      <c r="Z269" s="299">
        <v>1</v>
      </c>
      <c r="AA269" s="301">
        <f t="shared" ref="AA269" si="1572">IFERROR(Z269/$G269," ")</f>
        <v>1</v>
      </c>
      <c r="AB269" s="292"/>
      <c r="AC269" s="279">
        <f t="shared" si="1553"/>
        <v>0</v>
      </c>
      <c r="AD269" s="279">
        <f t="shared" si="1554"/>
        <v>0</v>
      </c>
      <c r="AE269" s="279">
        <f t="shared" si="1555"/>
        <v>0</v>
      </c>
      <c r="AF269" s="279">
        <f t="shared" si="1556"/>
        <v>0</v>
      </c>
      <c r="AG269" s="279">
        <f t="shared" si="1557"/>
        <v>0</v>
      </c>
      <c r="AH269" s="279">
        <f t="shared" si="1558"/>
        <v>1000</v>
      </c>
      <c r="AI269" s="279">
        <f t="shared" si="1559"/>
        <v>1000</v>
      </c>
      <c r="AJ269" s="279">
        <f t="shared" si="1560"/>
        <v>1000</v>
      </c>
    </row>
    <row r="270" spans="1:36" ht="28.5" x14ac:dyDescent="0.65">
      <c r="A270" s="203">
        <v>224</v>
      </c>
      <c r="B270" s="276" t="s">
        <v>568</v>
      </c>
      <c r="C270" s="276" t="s">
        <v>569</v>
      </c>
      <c r="D270" s="299" t="s">
        <v>79</v>
      </c>
      <c r="E270" s="321">
        <f>IFERROR(VLOOKUP(A270,Estimate!A:Q,17,FALSE)," ")</f>
        <v>39000</v>
      </c>
      <c r="F270" s="299">
        <v>1</v>
      </c>
      <c r="G270" s="299">
        <f>VLOOKUP(A270,Estimate!A:H,8,FALSE)</f>
        <v>1</v>
      </c>
      <c r="H270" s="298">
        <v>1</v>
      </c>
      <c r="I270" s="298">
        <f t="shared" si="1260"/>
        <v>42967.1</v>
      </c>
      <c r="J270" s="298">
        <v>42967.1</v>
      </c>
      <c r="K270" s="298"/>
      <c r="L270" s="299"/>
      <c r="M270" s="301">
        <f t="shared" si="1522"/>
        <v>0</v>
      </c>
      <c r="N270" s="299"/>
      <c r="O270" s="301">
        <f t="shared" si="1522"/>
        <v>0</v>
      </c>
      <c r="P270" s="299"/>
      <c r="Q270" s="301">
        <f t="shared" ref="Q270" si="1573">IFERROR(P270/$G270," ")</f>
        <v>0</v>
      </c>
      <c r="R270" s="299">
        <v>0.44800000000000001</v>
      </c>
      <c r="S270" s="301">
        <f t="shared" ref="S270" si="1574">IFERROR(R270/$G270," ")</f>
        <v>0.44800000000000001</v>
      </c>
      <c r="T270" s="299">
        <v>1</v>
      </c>
      <c r="U270" s="301">
        <f t="shared" ref="U270" si="1575">IFERROR(T270/$G270," ")</f>
        <v>1</v>
      </c>
      <c r="V270" s="299">
        <v>1</v>
      </c>
      <c r="W270" s="301">
        <f t="shared" ref="W270" si="1576">IFERROR(V270/$G270," ")</f>
        <v>1</v>
      </c>
      <c r="X270" s="299">
        <v>1</v>
      </c>
      <c r="Y270" s="301">
        <f t="shared" ref="Y270" si="1577">IFERROR(X270/$G270," ")</f>
        <v>1</v>
      </c>
      <c r="Z270" s="299">
        <v>1</v>
      </c>
      <c r="AA270" s="301">
        <f t="shared" ref="AA270" si="1578">IFERROR(Z270/$G270," ")</f>
        <v>1</v>
      </c>
      <c r="AB270" s="292"/>
      <c r="AC270" s="279">
        <f t="shared" si="1553"/>
        <v>0</v>
      </c>
      <c r="AD270" s="279">
        <f t="shared" si="1554"/>
        <v>0</v>
      </c>
      <c r="AE270" s="279">
        <f t="shared" si="1555"/>
        <v>0</v>
      </c>
      <c r="AF270" s="279">
        <f t="shared" si="1556"/>
        <v>19249.2608</v>
      </c>
      <c r="AG270" s="279">
        <f t="shared" si="1557"/>
        <v>42967.1</v>
      </c>
      <c r="AH270" s="279">
        <f t="shared" si="1558"/>
        <v>42967.1</v>
      </c>
      <c r="AI270" s="279">
        <f t="shared" si="1559"/>
        <v>42967.1</v>
      </c>
      <c r="AJ270" s="279">
        <f t="shared" si="1560"/>
        <v>42967.1</v>
      </c>
    </row>
    <row r="271" spans="1:36" ht="28.5" x14ac:dyDescent="0.65">
      <c r="A271" s="203">
        <v>225</v>
      </c>
      <c r="B271" s="276" t="s">
        <v>566</v>
      </c>
      <c r="C271" s="276" t="s">
        <v>567</v>
      </c>
      <c r="D271" s="299" t="s">
        <v>79</v>
      </c>
      <c r="E271" s="321">
        <f>IFERROR(VLOOKUP(A271,Estimate!A:Q,17,FALSE)," ")</f>
        <v>39600</v>
      </c>
      <c r="F271" s="299">
        <v>1</v>
      </c>
      <c r="G271" s="299">
        <f>VLOOKUP(A271,Estimate!A:H,8,FALSE)</f>
        <v>1</v>
      </c>
      <c r="H271" s="298">
        <v>1</v>
      </c>
      <c r="I271" s="298">
        <f t="shared" si="1260"/>
        <v>43560</v>
      </c>
      <c r="J271" s="298">
        <v>43560</v>
      </c>
      <c r="K271" s="298"/>
      <c r="L271" s="299"/>
      <c r="M271" s="301">
        <f t="shared" si="1522"/>
        <v>0</v>
      </c>
      <c r="N271" s="299"/>
      <c r="O271" s="301">
        <f t="shared" si="1522"/>
        <v>0</v>
      </c>
      <c r="P271" s="299"/>
      <c r="Q271" s="301">
        <f t="shared" ref="Q271" si="1579">IFERROR(P271/$G271," ")</f>
        <v>0</v>
      </c>
      <c r="R271" s="299"/>
      <c r="S271" s="301">
        <f t="shared" ref="S271" si="1580">IFERROR(R271/$G271," ")</f>
        <v>0</v>
      </c>
      <c r="T271" s="299">
        <v>1</v>
      </c>
      <c r="U271" s="301">
        <f t="shared" ref="U271" si="1581">IFERROR(T271/$G271," ")</f>
        <v>1</v>
      </c>
      <c r="V271" s="299">
        <v>1</v>
      </c>
      <c r="W271" s="301">
        <f t="shared" ref="W271" si="1582">IFERROR(V271/$G271," ")</f>
        <v>1</v>
      </c>
      <c r="X271" s="299">
        <v>1</v>
      </c>
      <c r="Y271" s="301">
        <f t="shared" ref="Y271" si="1583">IFERROR(X271/$G271," ")</f>
        <v>1</v>
      </c>
      <c r="Z271" s="299">
        <v>1</v>
      </c>
      <c r="AA271" s="301">
        <f t="shared" ref="AA271" si="1584">IFERROR(Z271/$G271," ")</f>
        <v>1</v>
      </c>
      <c r="AB271" s="292"/>
      <c r="AC271" s="279">
        <f t="shared" si="1553"/>
        <v>0</v>
      </c>
      <c r="AD271" s="279">
        <f t="shared" si="1554"/>
        <v>0</v>
      </c>
      <c r="AE271" s="279">
        <f t="shared" si="1555"/>
        <v>0</v>
      </c>
      <c r="AF271" s="279">
        <f t="shared" si="1556"/>
        <v>0</v>
      </c>
      <c r="AG271" s="279">
        <f t="shared" si="1557"/>
        <v>43560</v>
      </c>
      <c r="AH271" s="279">
        <f t="shared" si="1558"/>
        <v>43560</v>
      </c>
      <c r="AI271" s="279">
        <f t="shared" si="1559"/>
        <v>43560</v>
      </c>
      <c r="AJ271" s="279">
        <f t="shared" si="1560"/>
        <v>43560</v>
      </c>
    </row>
    <row r="272" spans="1:36" x14ac:dyDescent="0.65">
      <c r="A272" s="203">
        <v>226</v>
      </c>
      <c r="B272" s="276" t="s">
        <v>564</v>
      </c>
      <c r="C272" s="276" t="s">
        <v>565</v>
      </c>
      <c r="D272" s="299" t="s">
        <v>79</v>
      </c>
      <c r="E272" s="321">
        <f>IFERROR(VLOOKUP(A272,Estimate!A:Q,17,FALSE)," ")</f>
        <v>12600</v>
      </c>
      <c r="F272" s="299">
        <v>1</v>
      </c>
      <c r="G272" s="299">
        <f>VLOOKUP(A272,Estimate!A:H,8,FALSE)</f>
        <v>1</v>
      </c>
      <c r="H272" s="298">
        <v>1</v>
      </c>
      <c r="I272" s="298">
        <f t="shared" ref="I272:I289" si="1585">J272</f>
        <v>13906.75</v>
      </c>
      <c r="J272" s="298">
        <v>13906.75</v>
      </c>
      <c r="K272" s="298"/>
      <c r="L272" s="299"/>
      <c r="M272" s="301">
        <f t="shared" si="1522"/>
        <v>0</v>
      </c>
      <c r="N272" s="299"/>
      <c r="O272" s="301">
        <f t="shared" si="1522"/>
        <v>0</v>
      </c>
      <c r="P272" s="299"/>
      <c r="Q272" s="301">
        <f t="shared" ref="Q272" si="1586">IFERROR(P272/$G272," ")</f>
        <v>0</v>
      </c>
      <c r="R272" s="299"/>
      <c r="S272" s="301">
        <f t="shared" ref="S272" si="1587">IFERROR(R272/$G272," ")</f>
        <v>0</v>
      </c>
      <c r="T272" s="299">
        <v>1</v>
      </c>
      <c r="U272" s="301">
        <f t="shared" ref="U272" si="1588">IFERROR(T272/$G272," ")</f>
        <v>1</v>
      </c>
      <c r="V272" s="299">
        <v>1</v>
      </c>
      <c r="W272" s="301">
        <f t="shared" ref="W272" si="1589">IFERROR(V272/$G272," ")</f>
        <v>1</v>
      </c>
      <c r="X272" s="299">
        <v>1</v>
      </c>
      <c r="Y272" s="301">
        <f t="shared" ref="Y272" si="1590">IFERROR(X272/$G272," ")</f>
        <v>1</v>
      </c>
      <c r="Z272" s="299">
        <v>1</v>
      </c>
      <c r="AA272" s="301">
        <f t="shared" ref="AA272" si="1591">IFERROR(Z272/$G272," ")</f>
        <v>1</v>
      </c>
      <c r="AB272" s="292"/>
      <c r="AC272" s="279">
        <f t="shared" si="1553"/>
        <v>0</v>
      </c>
      <c r="AD272" s="279">
        <f t="shared" si="1554"/>
        <v>0</v>
      </c>
      <c r="AE272" s="279">
        <f t="shared" si="1555"/>
        <v>0</v>
      </c>
      <c r="AF272" s="279">
        <f t="shared" si="1556"/>
        <v>0</v>
      </c>
      <c r="AG272" s="279">
        <f t="shared" si="1557"/>
        <v>13906.75</v>
      </c>
      <c r="AH272" s="279">
        <f t="shared" si="1558"/>
        <v>13906.75</v>
      </c>
      <c r="AI272" s="279">
        <f t="shared" si="1559"/>
        <v>13906.75</v>
      </c>
      <c r="AJ272" s="279">
        <f t="shared" si="1560"/>
        <v>13906.75</v>
      </c>
    </row>
    <row r="273" spans="1:41" x14ac:dyDescent="0.65">
      <c r="A273" s="203">
        <v>227</v>
      </c>
      <c r="B273" s="292" t="s">
        <v>580</v>
      </c>
      <c r="C273" s="276" t="s">
        <v>581</v>
      </c>
      <c r="D273" s="292" t="s">
        <v>25</v>
      </c>
      <c r="E273" s="321">
        <f>IFERROR(VLOOKUP(A273,Estimate!A:Q,17,FALSE)," ")</f>
        <v>4305.8639085940231</v>
      </c>
      <c r="F273" s="299">
        <v>105</v>
      </c>
      <c r="G273" s="299">
        <v>105</v>
      </c>
      <c r="H273" s="298">
        <v>52.25</v>
      </c>
      <c r="I273" s="298">
        <f t="shared" si="1585"/>
        <v>5486.25</v>
      </c>
      <c r="J273" s="298">
        <v>5486.25</v>
      </c>
      <c r="K273" s="298"/>
      <c r="L273" s="299"/>
      <c r="M273" s="301">
        <f t="shared" si="1522"/>
        <v>0</v>
      </c>
      <c r="N273" s="299"/>
      <c r="O273" s="301">
        <f t="shared" si="1522"/>
        <v>0</v>
      </c>
      <c r="P273" s="299"/>
      <c r="Q273" s="301">
        <f t="shared" ref="Q273" si="1592">IFERROR(P273/$G273," ")</f>
        <v>0</v>
      </c>
      <c r="R273" s="299">
        <v>105</v>
      </c>
      <c r="S273" s="301">
        <f t="shared" ref="S273" si="1593">IFERROR(R273/$G273," ")</f>
        <v>1</v>
      </c>
      <c r="T273" s="299">
        <v>105</v>
      </c>
      <c r="U273" s="301">
        <f t="shared" ref="U273" si="1594">IFERROR(T273/$G273," ")</f>
        <v>1</v>
      </c>
      <c r="V273" s="299">
        <v>105</v>
      </c>
      <c r="W273" s="301">
        <f t="shared" ref="W273" si="1595">IFERROR(V273/$G273," ")</f>
        <v>1</v>
      </c>
      <c r="X273" s="299">
        <v>105</v>
      </c>
      <c r="Y273" s="301">
        <f t="shared" ref="Y273" si="1596">IFERROR(X273/$G273," ")</f>
        <v>1</v>
      </c>
      <c r="Z273" s="299">
        <v>105</v>
      </c>
      <c r="AA273" s="301">
        <f t="shared" ref="AA273" si="1597">IFERROR(Z273/$G273," ")</f>
        <v>1</v>
      </c>
      <c r="AB273" s="292"/>
      <c r="AC273" s="279">
        <f t="shared" si="1553"/>
        <v>0</v>
      </c>
      <c r="AD273" s="279">
        <f t="shared" si="1554"/>
        <v>0</v>
      </c>
      <c r="AE273" s="279">
        <f t="shared" si="1555"/>
        <v>0</v>
      </c>
      <c r="AF273" s="279">
        <f t="shared" si="1556"/>
        <v>5486.25</v>
      </c>
      <c r="AG273" s="279">
        <f t="shared" si="1557"/>
        <v>5486.25</v>
      </c>
      <c r="AH273" s="279">
        <f t="shared" si="1558"/>
        <v>5486.25</v>
      </c>
      <c r="AI273" s="279">
        <f t="shared" si="1559"/>
        <v>5486.25</v>
      </c>
      <c r="AJ273" s="279">
        <f t="shared" si="1560"/>
        <v>5486.25</v>
      </c>
    </row>
    <row r="274" spans="1:41" x14ac:dyDescent="0.65">
      <c r="A274" s="203">
        <v>228</v>
      </c>
      <c r="B274" s="276" t="s">
        <v>582</v>
      </c>
      <c r="C274" s="276" t="s">
        <v>583</v>
      </c>
      <c r="D274" s="299" t="s">
        <v>79</v>
      </c>
      <c r="E274" s="321"/>
      <c r="F274" s="299">
        <v>1</v>
      </c>
      <c r="G274" s="299">
        <f>VLOOKUP(A274,Estimate!A:H,8,FALSE)</f>
        <v>1</v>
      </c>
      <c r="H274" s="298">
        <v>1</v>
      </c>
      <c r="I274" s="298"/>
      <c r="J274" s="298"/>
      <c r="K274" s="298"/>
      <c r="L274" s="299"/>
      <c r="M274" s="301"/>
      <c r="N274" s="299"/>
      <c r="O274" s="301"/>
      <c r="P274" s="299"/>
      <c r="Q274" s="301"/>
      <c r="R274" s="299"/>
      <c r="S274" s="301"/>
      <c r="T274" s="299"/>
      <c r="U274" s="301"/>
      <c r="V274" s="299"/>
      <c r="W274" s="301"/>
      <c r="X274" s="299"/>
      <c r="Y274" s="301"/>
      <c r="Z274" s="299"/>
      <c r="AA274" s="301"/>
      <c r="AB274" s="292"/>
      <c r="AC274" s="279"/>
      <c r="AD274" s="279"/>
      <c r="AE274" s="279"/>
      <c r="AF274" s="279"/>
      <c r="AG274" s="279"/>
      <c r="AH274" s="279"/>
      <c r="AI274" s="279"/>
      <c r="AJ274" s="279"/>
    </row>
    <row r="275" spans="1:41" x14ac:dyDescent="0.65">
      <c r="A275" s="203">
        <v>229</v>
      </c>
      <c r="B275" s="276" t="s">
        <v>594</v>
      </c>
      <c r="C275" s="276" t="s">
        <v>595</v>
      </c>
      <c r="D275" s="299" t="s">
        <v>72</v>
      </c>
      <c r="E275" s="321">
        <f>IFERROR(VLOOKUP(A275,Estimate!A:Q,17,FALSE)," ")</f>
        <v>513.6</v>
      </c>
      <c r="F275" s="299">
        <v>36</v>
      </c>
      <c r="G275" s="299">
        <f>VLOOKUP(A275,Estimate!A:H,8,FALSE)</f>
        <v>36</v>
      </c>
      <c r="H275" s="298">
        <v>36</v>
      </c>
      <c r="I275" s="298">
        <f t="shared" si="1585"/>
        <v>627.48</v>
      </c>
      <c r="J275" s="298">
        <v>627.48</v>
      </c>
      <c r="K275" s="298"/>
      <c r="L275" s="299"/>
      <c r="M275" s="301">
        <f t="shared" si="1522"/>
        <v>0</v>
      </c>
      <c r="N275" s="299"/>
      <c r="O275" s="301">
        <f t="shared" si="1522"/>
        <v>0</v>
      </c>
      <c r="P275" s="299"/>
      <c r="Q275" s="301">
        <f t="shared" ref="Q275" si="1598">IFERROR(P275/$G275," ")</f>
        <v>0</v>
      </c>
      <c r="R275" s="299"/>
      <c r="S275" s="301">
        <f t="shared" ref="S275" si="1599">IFERROR(R275/$G275," ")</f>
        <v>0</v>
      </c>
      <c r="T275" s="299">
        <v>36</v>
      </c>
      <c r="U275" s="301">
        <f t="shared" ref="U275" si="1600">IFERROR(T275/$G275," ")</f>
        <v>1</v>
      </c>
      <c r="V275" s="299">
        <v>36</v>
      </c>
      <c r="W275" s="301">
        <f t="shared" ref="W275" si="1601">IFERROR(V275/$G275," ")</f>
        <v>1</v>
      </c>
      <c r="X275" s="299">
        <v>36</v>
      </c>
      <c r="Y275" s="301">
        <f t="shared" ref="Y275" si="1602">IFERROR(X275/$G275," ")</f>
        <v>1</v>
      </c>
      <c r="Z275" s="299">
        <v>36</v>
      </c>
      <c r="AA275" s="301">
        <f t="shared" ref="AA275" si="1603">IFERROR(Z275/$G275," ")</f>
        <v>1</v>
      </c>
      <c r="AB275" s="292"/>
      <c r="AC275" s="279">
        <f t="shared" si="1553"/>
        <v>0</v>
      </c>
      <c r="AD275" s="279">
        <f t="shared" si="1554"/>
        <v>0</v>
      </c>
      <c r="AE275" s="279">
        <f t="shared" si="1555"/>
        <v>0</v>
      </c>
      <c r="AF275" s="279">
        <f t="shared" si="1556"/>
        <v>0</v>
      </c>
      <c r="AG275" s="279">
        <f t="shared" si="1557"/>
        <v>627.48</v>
      </c>
      <c r="AH275" s="279">
        <f t="shared" si="1558"/>
        <v>627.48</v>
      </c>
      <c r="AI275" s="279">
        <f t="shared" si="1559"/>
        <v>627.48</v>
      </c>
      <c r="AJ275" s="279">
        <f t="shared" si="1560"/>
        <v>627.48</v>
      </c>
    </row>
    <row r="276" spans="1:41" x14ac:dyDescent="0.65">
      <c r="A276" s="203">
        <v>230</v>
      </c>
      <c r="B276" s="276" t="s">
        <v>588</v>
      </c>
      <c r="C276" s="276" t="s">
        <v>589</v>
      </c>
      <c r="D276" s="299" t="s">
        <v>83</v>
      </c>
      <c r="E276" s="321">
        <f>IFERROR(VLOOKUP(A276,Estimate!A:Q,17,FALSE)," ")</f>
        <v>393.95555555555552</v>
      </c>
      <c r="F276" s="299">
        <v>160</v>
      </c>
      <c r="G276" s="299">
        <f>VLOOKUP(A276,Estimate!A:H,8,FALSE)</f>
        <v>160</v>
      </c>
      <c r="H276" s="298">
        <v>160</v>
      </c>
      <c r="I276" s="298">
        <f t="shared" si="1585"/>
        <v>416</v>
      </c>
      <c r="J276" s="298">
        <v>416</v>
      </c>
      <c r="K276" s="298"/>
      <c r="L276" s="299"/>
      <c r="M276" s="301">
        <f t="shared" si="1522"/>
        <v>0</v>
      </c>
      <c r="N276" s="299"/>
      <c r="O276" s="301">
        <f t="shared" si="1522"/>
        <v>0</v>
      </c>
      <c r="P276" s="299"/>
      <c r="Q276" s="301">
        <f t="shared" ref="Q276" si="1604">IFERROR(P276/$G276," ")</f>
        <v>0</v>
      </c>
      <c r="R276" s="299"/>
      <c r="S276" s="301">
        <f t="shared" ref="S276" si="1605">IFERROR(R276/$G276," ")</f>
        <v>0</v>
      </c>
      <c r="T276" s="299">
        <v>160</v>
      </c>
      <c r="U276" s="301">
        <f t="shared" ref="U276" si="1606">IFERROR(T276/$G276," ")</f>
        <v>1</v>
      </c>
      <c r="V276" s="299">
        <v>160</v>
      </c>
      <c r="W276" s="301">
        <f t="shared" ref="W276" si="1607">IFERROR(V276/$G276," ")</f>
        <v>1</v>
      </c>
      <c r="X276" s="299">
        <v>160</v>
      </c>
      <c r="Y276" s="301">
        <f t="shared" ref="Y276" si="1608">IFERROR(X276/$G276," ")</f>
        <v>1</v>
      </c>
      <c r="Z276" s="299">
        <v>160</v>
      </c>
      <c r="AA276" s="301">
        <f t="shared" ref="AA276" si="1609">IFERROR(Z276/$G276," ")</f>
        <v>1</v>
      </c>
      <c r="AB276" s="292"/>
      <c r="AC276" s="279">
        <f t="shared" si="1553"/>
        <v>0</v>
      </c>
      <c r="AD276" s="279">
        <f t="shared" si="1554"/>
        <v>0</v>
      </c>
      <c r="AE276" s="279">
        <f t="shared" si="1555"/>
        <v>0</v>
      </c>
      <c r="AF276" s="279">
        <f t="shared" si="1556"/>
        <v>0</v>
      </c>
      <c r="AG276" s="279">
        <f t="shared" si="1557"/>
        <v>416</v>
      </c>
      <c r="AH276" s="279">
        <f t="shared" si="1558"/>
        <v>416</v>
      </c>
      <c r="AI276" s="279">
        <f t="shared" si="1559"/>
        <v>416</v>
      </c>
      <c r="AJ276" s="279">
        <f t="shared" si="1560"/>
        <v>416</v>
      </c>
    </row>
    <row r="277" spans="1:41" x14ac:dyDescent="0.65">
      <c r="A277" s="203">
        <v>231</v>
      </c>
      <c r="B277" s="276" t="s">
        <v>590</v>
      </c>
      <c r="C277" s="276" t="s">
        <v>591</v>
      </c>
      <c r="D277" s="299" t="s">
        <v>25</v>
      </c>
      <c r="E277" s="321">
        <f>IFERROR(VLOOKUP(A277,Estimate!A:Q,17,FALSE)," ")</f>
        <v>1845.3702465402953</v>
      </c>
      <c r="F277" s="299">
        <v>45</v>
      </c>
      <c r="G277" s="299">
        <f>VLOOKUP(A277,Estimate!A:H,8,FALSE)</f>
        <v>45</v>
      </c>
      <c r="H277" s="298">
        <v>45</v>
      </c>
      <c r="I277" s="298">
        <f t="shared" si="1585"/>
        <v>2351.25</v>
      </c>
      <c r="J277" s="298">
        <v>2351.25</v>
      </c>
      <c r="K277" s="298"/>
      <c r="L277" s="299"/>
      <c r="M277" s="301">
        <f t="shared" si="1522"/>
        <v>0</v>
      </c>
      <c r="N277" s="299"/>
      <c r="O277" s="301">
        <f t="shared" si="1522"/>
        <v>0</v>
      </c>
      <c r="P277" s="299"/>
      <c r="Q277" s="301">
        <f t="shared" ref="Q277" si="1610">IFERROR(P277/$G277," ")</f>
        <v>0</v>
      </c>
      <c r="R277" s="299"/>
      <c r="S277" s="301">
        <f t="shared" ref="S277" si="1611">IFERROR(R277/$G277," ")</f>
        <v>0</v>
      </c>
      <c r="T277" s="299">
        <v>45</v>
      </c>
      <c r="U277" s="301">
        <f t="shared" ref="U277" si="1612">IFERROR(T277/$G277," ")</f>
        <v>1</v>
      </c>
      <c r="V277" s="299">
        <v>45</v>
      </c>
      <c r="W277" s="301">
        <f t="shared" ref="W277" si="1613">IFERROR(V277/$G277," ")</f>
        <v>1</v>
      </c>
      <c r="X277" s="299">
        <v>45</v>
      </c>
      <c r="Y277" s="301">
        <f t="shared" ref="Y277" si="1614">IFERROR(X277/$G277," ")</f>
        <v>1</v>
      </c>
      <c r="Z277" s="299">
        <v>45</v>
      </c>
      <c r="AA277" s="301">
        <f t="shared" ref="AA277" si="1615">IFERROR(Z277/$G277," ")</f>
        <v>1</v>
      </c>
      <c r="AB277" s="292"/>
      <c r="AC277" s="279">
        <f t="shared" si="1553"/>
        <v>0</v>
      </c>
      <c r="AD277" s="279">
        <f t="shared" si="1554"/>
        <v>0</v>
      </c>
      <c r="AE277" s="279">
        <f t="shared" si="1555"/>
        <v>0</v>
      </c>
      <c r="AF277" s="279">
        <f t="shared" si="1556"/>
        <v>0</v>
      </c>
      <c r="AG277" s="279">
        <f t="shared" si="1557"/>
        <v>2351.25</v>
      </c>
      <c r="AH277" s="279">
        <f t="shared" si="1558"/>
        <v>2351.25</v>
      </c>
      <c r="AI277" s="279">
        <f t="shared" si="1559"/>
        <v>2351.25</v>
      </c>
      <c r="AJ277" s="279">
        <f t="shared" si="1560"/>
        <v>2351.25</v>
      </c>
    </row>
    <row r="278" spans="1:41" x14ac:dyDescent="0.65">
      <c r="A278" s="203">
        <v>232</v>
      </c>
      <c r="B278" s="276" t="s">
        <v>584</v>
      </c>
      <c r="C278" s="276" t="s">
        <v>585</v>
      </c>
      <c r="D278" s="299" t="s">
        <v>72</v>
      </c>
      <c r="E278" s="321">
        <f>IFERROR(VLOOKUP(A278,Estimate!A:Q,17,FALSE)," ")</f>
        <v>2264.9824881071768</v>
      </c>
      <c r="F278" s="299">
        <v>36</v>
      </c>
      <c r="G278" s="299">
        <f>VLOOKUP(A278,Estimate!A:H,8,FALSE)</f>
        <v>36</v>
      </c>
      <c r="H278" s="298">
        <v>36</v>
      </c>
      <c r="I278" s="298">
        <f t="shared" si="1585"/>
        <v>2886.12</v>
      </c>
      <c r="J278" s="298">
        <v>2886.12</v>
      </c>
      <c r="K278" s="298"/>
      <c r="L278" s="299"/>
      <c r="M278" s="301">
        <f t="shared" si="1522"/>
        <v>0</v>
      </c>
      <c r="N278" s="299"/>
      <c r="O278" s="301">
        <f t="shared" si="1522"/>
        <v>0</v>
      </c>
      <c r="P278" s="299"/>
      <c r="Q278" s="301">
        <f t="shared" ref="Q278" si="1616">IFERROR(P278/$G278," ")</f>
        <v>0</v>
      </c>
      <c r="R278" s="299"/>
      <c r="S278" s="301">
        <f t="shared" ref="S278" si="1617">IFERROR(R278/$G278," ")</f>
        <v>0</v>
      </c>
      <c r="T278" s="299">
        <v>36</v>
      </c>
      <c r="U278" s="301">
        <f t="shared" ref="U278" si="1618">IFERROR(T278/$G278," ")</f>
        <v>1</v>
      </c>
      <c r="V278" s="299">
        <v>36</v>
      </c>
      <c r="W278" s="301">
        <f t="shared" ref="W278" si="1619">IFERROR(V278/$G278," ")</f>
        <v>1</v>
      </c>
      <c r="X278" s="299">
        <v>36</v>
      </c>
      <c r="Y278" s="301">
        <f t="shared" ref="Y278" si="1620">IFERROR(X278/$G278," ")</f>
        <v>1</v>
      </c>
      <c r="Z278" s="299">
        <v>36</v>
      </c>
      <c r="AA278" s="301">
        <f t="shared" ref="AA278" si="1621">IFERROR(Z278/$G278," ")</f>
        <v>1</v>
      </c>
      <c r="AB278" s="292"/>
      <c r="AC278" s="279">
        <f t="shared" si="1553"/>
        <v>0</v>
      </c>
      <c r="AD278" s="279">
        <f t="shared" si="1554"/>
        <v>0</v>
      </c>
      <c r="AE278" s="279">
        <f t="shared" si="1555"/>
        <v>0</v>
      </c>
      <c r="AF278" s="279">
        <f t="shared" si="1556"/>
        <v>0</v>
      </c>
      <c r="AG278" s="279">
        <f t="shared" si="1557"/>
        <v>2886.12</v>
      </c>
      <c r="AH278" s="279">
        <f t="shared" si="1558"/>
        <v>2886.12</v>
      </c>
      <c r="AI278" s="279">
        <f t="shared" si="1559"/>
        <v>2886.12</v>
      </c>
      <c r="AJ278" s="279">
        <f t="shared" si="1560"/>
        <v>2886.12</v>
      </c>
    </row>
    <row r="279" spans="1:41" x14ac:dyDescent="0.65">
      <c r="A279" s="203">
        <v>233</v>
      </c>
      <c r="B279" s="276" t="s">
        <v>586</v>
      </c>
      <c r="C279" s="276" t="s">
        <v>587</v>
      </c>
      <c r="D279" s="299" t="s">
        <v>83</v>
      </c>
      <c r="E279" s="321">
        <f>IFERROR(VLOOKUP(A279,Estimate!A:Q,17,FALSE)," ")</f>
        <v>718.40000000000009</v>
      </c>
      <c r="F279" s="299">
        <v>160</v>
      </c>
      <c r="G279" s="299">
        <f>VLOOKUP(A279,Estimate!A:H,8,FALSE)</f>
        <v>160</v>
      </c>
      <c r="H279" s="298">
        <v>160</v>
      </c>
      <c r="I279" s="298">
        <f t="shared" si="1585"/>
        <v>961.6</v>
      </c>
      <c r="J279" s="298">
        <v>961.6</v>
      </c>
      <c r="K279" s="298"/>
      <c r="L279" s="299"/>
      <c r="M279" s="301">
        <f t="shared" si="1522"/>
        <v>0</v>
      </c>
      <c r="N279" s="299"/>
      <c r="O279" s="301">
        <f t="shared" si="1522"/>
        <v>0</v>
      </c>
      <c r="P279" s="299"/>
      <c r="Q279" s="301">
        <f t="shared" ref="Q279" si="1622">IFERROR(P279/$G279," ")</f>
        <v>0</v>
      </c>
      <c r="R279" s="299"/>
      <c r="S279" s="301">
        <f t="shared" ref="S279" si="1623">IFERROR(R279/$G279," ")</f>
        <v>0</v>
      </c>
      <c r="T279" s="299">
        <v>160</v>
      </c>
      <c r="U279" s="301">
        <f t="shared" ref="U279" si="1624">IFERROR(T279/$G279," ")</f>
        <v>1</v>
      </c>
      <c r="V279" s="299">
        <v>160</v>
      </c>
      <c r="W279" s="301">
        <f t="shared" ref="W279" si="1625">IFERROR(V279/$G279," ")</f>
        <v>1</v>
      </c>
      <c r="X279" s="299">
        <v>160</v>
      </c>
      <c r="Y279" s="301">
        <f t="shared" ref="Y279" si="1626">IFERROR(X279/$G279," ")</f>
        <v>1</v>
      </c>
      <c r="Z279" s="299">
        <v>160</v>
      </c>
      <c r="AA279" s="301">
        <f t="shared" ref="AA279" si="1627">IFERROR(Z279/$G279," ")</f>
        <v>1</v>
      </c>
      <c r="AB279" s="292"/>
      <c r="AC279" s="279">
        <f t="shared" si="1553"/>
        <v>0</v>
      </c>
      <c r="AD279" s="279">
        <f t="shared" si="1554"/>
        <v>0</v>
      </c>
      <c r="AE279" s="279">
        <f t="shared" si="1555"/>
        <v>0</v>
      </c>
      <c r="AF279" s="279">
        <f t="shared" si="1556"/>
        <v>0</v>
      </c>
      <c r="AG279" s="279">
        <f t="shared" si="1557"/>
        <v>961.6</v>
      </c>
      <c r="AH279" s="279">
        <f t="shared" si="1558"/>
        <v>961.6</v>
      </c>
      <c r="AI279" s="279">
        <f t="shared" si="1559"/>
        <v>961.6</v>
      </c>
      <c r="AJ279" s="279">
        <f t="shared" si="1560"/>
        <v>961.6</v>
      </c>
    </row>
    <row r="280" spans="1:41" x14ac:dyDescent="0.65">
      <c r="A280" s="203">
        <v>234</v>
      </c>
      <c r="B280" s="276" t="s">
        <v>592</v>
      </c>
      <c r="C280" s="276" t="s">
        <v>593</v>
      </c>
      <c r="D280" s="299" t="s">
        <v>64</v>
      </c>
      <c r="E280" s="321">
        <f>IFERROR(VLOOKUP(A280,Estimate!A:Q,17,FALSE)," ")</f>
        <v>4592</v>
      </c>
      <c r="F280" s="299">
        <v>16</v>
      </c>
      <c r="G280" s="299">
        <f>VLOOKUP(A280,Estimate!A:H,8,FALSE)</f>
        <v>16</v>
      </c>
      <c r="H280" s="298">
        <v>16</v>
      </c>
      <c r="I280" s="298">
        <f t="shared" si="1585"/>
        <v>4707.2</v>
      </c>
      <c r="J280" s="298">
        <v>4707.2</v>
      </c>
      <c r="K280" s="298"/>
      <c r="L280" s="299"/>
      <c r="M280" s="301">
        <f t="shared" si="1522"/>
        <v>0</v>
      </c>
      <c r="N280" s="299"/>
      <c r="O280" s="301">
        <f t="shared" si="1522"/>
        <v>0</v>
      </c>
      <c r="P280" s="299"/>
      <c r="Q280" s="301">
        <f t="shared" ref="Q280" si="1628">IFERROR(P280/$G280," ")</f>
        <v>0</v>
      </c>
      <c r="R280" s="299"/>
      <c r="S280" s="301">
        <f t="shared" ref="S280" si="1629">IFERROR(R280/$G280," ")</f>
        <v>0</v>
      </c>
      <c r="T280" s="299"/>
      <c r="U280" s="301">
        <f t="shared" ref="U280" si="1630">IFERROR(T280/$G280," ")</f>
        <v>0</v>
      </c>
      <c r="V280" s="299">
        <v>16</v>
      </c>
      <c r="W280" s="301">
        <f t="shared" ref="W280" si="1631">IFERROR(V280/$G280," ")</f>
        <v>1</v>
      </c>
      <c r="X280" s="299">
        <v>16</v>
      </c>
      <c r="Y280" s="301">
        <f t="shared" ref="Y280" si="1632">IFERROR(X280/$G280," ")</f>
        <v>1</v>
      </c>
      <c r="Z280" s="299">
        <v>16</v>
      </c>
      <c r="AA280" s="301">
        <f t="shared" ref="AA280" si="1633">IFERROR(Z280/$G280," ")</f>
        <v>1</v>
      </c>
      <c r="AB280" s="292"/>
      <c r="AC280" s="279">
        <f t="shared" si="1553"/>
        <v>0</v>
      </c>
      <c r="AD280" s="279">
        <f t="shared" si="1554"/>
        <v>0</v>
      </c>
      <c r="AE280" s="279">
        <f t="shared" si="1555"/>
        <v>0</v>
      </c>
      <c r="AF280" s="279">
        <f t="shared" si="1556"/>
        <v>0</v>
      </c>
      <c r="AG280" s="279">
        <f t="shared" si="1557"/>
        <v>0</v>
      </c>
      <c r="AH280" s="279">
        <f t="shared" si="1558"/>
        <v>4707.2</v>
      </c>
      <c r="AI280" s="279">
        <f t="shared" si="1559"/>
        <v>4707.2</v>
      </c>
      <c r="AJ280" s="279">
        <f t="shared" si="1560"/>
        <v>4707.2</v>
      </c>
    </row>
    <row r="281" spans="1:41" x14ac:dyDescent="0.65">
      <c r="A281" s="203">
        <v>235</v>
      </c>
      <c r="B281" s="276" t="s">
        <v>596</v>
      </c>
      <c r="C281" s="276" t="s">
        <v>597</v>
      </c>
      <c r="D281" s="299" t="s">
        <v>79</v>
      </c>
      <c r="E281" s="321">
        <f>IFERROR(VLOOKUP(A281,Estimate!A:Q,17,FALSE)," ")</f>
        <v>0</v>
      </c>
      <c r="F281" s="299">
        <v>1</v>
      </c>
      <c r="G281" s="299">
        <f>VLOOKUP(A281,Estimate!A:H,8,FALSE)</f>
        <v>1</v>
      </c>
      <c r="H281" s="298">
        <v>1</v>
      </c>
      <c r="I281" s="298"/>
      <c r="J281" s="298"/>
      <c r="K281" s="298"/>
      <c r="L281" s="299"/>
      <c r="M281" s="301"/>
      <c r="N281" s="299"/>
      <c r="O281" s="301"/>
      <c r="P281" s="299"/>
      <c r="Q281" s="301"/>
      <c r="R281" s="299"/>
      <c r="S281" s="301"/>
      <c r="T281" s="299"/>
      <c r="U281" s="301"/>
      <c r="V281" s="299"/>
      <c r="W281" s="301"/>
      <c r="X281" s="299"/>
      <c r="Y281" s="301"/>
      <c r="Z281" s="299"/>
      <c r="AA281" s="301"/>
      <c r="AB281" s="292"/>
      <c r="AC281" s="279"/>
      <c r="AD281" s="279"/>
      <c r="AE281" s="279"/>
      <c r="AF281" s="279"/>
      <c r="AG281" s="279"/>
      <c r="AH281" s="279"/>
      <c r="AI281" s="279"/>
      <c r="AJ281" s="279"/>
    </row>
    <row r="282" spans="1:41" x14ac:dyDescent="0.65">
      <c r="A282" s="203">
        <v>236</v>
      </c>
      <c r="B282" s="276" t="s">
        <v>600</v>
      </c>
      <c r="C282" s="276" t="s">
        <v>354</v>
      </c>
      <c r="D282" s="299" t="s">
        <v>72</v>
      </c>
      <c r="E282" s="321">
        <f>IFERROR(VLOOKUP(A282,Estimate!A:Q,17,FALSE)," ")</f>
        <v>1026.2841125833481</v>
      </c>
      <c r="F282" s="299">
        <v>76</v>
      </c>
      <c r="G282" s="299">
        <f>VLOOKUP(A282,Estimate!A:H,8,FALSE)</f>
        <v>76</v>
      </c>
      <c r="H282" s="298">
        <v>76</v>
      </c>
      <c r="I282" s="298">
        <f t="shared" si="1585"/>
        <v>1307.96</v>
      </c>
      <c r="J282" s="298">
        <v>1307.96</v>
      </c>
      <c r="K282" s="298"/>
      <c r="L282" s="299"/>
      <c r="M282" s="301">
        <f t="shared" si="1522"/>
        <v>0</v>
      </c>
      <c r="N282" s="299"/>
      <c r="O282" s="301">
        <f t="shared" si="1522"/>
        <v>0</v>
      </c>
      <c r="P282" s="299"/>
      <c r="Q282" s="301">
        <f t="shared" ref="Q282" si="1634">IFERROR(P282/$G282," ")</f>
        <v>0</v>
      </c>
      <c r="R282" s="299"/>
      <c r="S282" s="301">
        <f t="shared" ref="S282" si="1635">IFERROR(R282/$G282," ")</f>
        <v>0</v>
      </c>
      <c r="T282" s="299">
        <v>76</v>
      </c>
      <c r="U282" s="301">
        <f t="shared" ref="U282" si="1636">IFERROR(T282/$G282," ")</f>
        <v>1</v>
      </c>
      <c r="V282" s="299">
        <v>76</v>
      </c>
      <c r="W282" s="301">
        <f t="shared" ref="W282" si="1637">IFERROR(V282/$G282," ")</f>
        <v>1</v>
      </c>
      <c r="X282" s="299">
        <v>76</v>
      </c>
      <c r="Y282" s="301">
        <f t="shared" ref="Y282" si="1638">IFERROR(X282/$G282," ")</f>
        <v>1</v>
      </c>
      <c r="Z282" s="299">
        <v>76</v>
      </c>
      <c r="AA282" s="301">
        <f t="shared" ref="AA282" si="1639">IFERROR(Z282/$G282," ")</f>
        <v>1</v>
      </c>
      <c r="AB282" s="292"/>
      <c r="AC282" s="279">
        <f t="shared" si="1553"/>
        <v>0</v>
      </c>
      <c r="AD282" s="279">
        <f t="shared" si="1554"/>
        <v>0</v>
      </c>
      <c r="AE282" s="279">
        <f t="shared" si="1555"/>
        <v>0</v>
      </c>
      <c r="AF282" s="279">
        <f t="shared" si="1556"/>
        <v>0</v>
      </c>
      <c r="AG282" s="279">
        <f t="shared" si="1557"/>
        <v>1307.96</v>
      </c>
      <c r="AH282" s="279">
        <f t="shared" si="1558"/>
        <v>1307.96</v>
      </c>
      <c r="AI282" s="279">
        <f t="shared" si="1559"/>
        <v>1307.96</v>
      </c>
      <c r="AJ282" s="279">
        <f t="shared" si="1560"/>
        <v>1307.96</v>
      </c>
    </row>
    <row r="283" spans="1:41" x14ac:dyDescent="0.65">
      <c r="A283" s="203">
        <v>237</v>
      </c>
      <c r="B283" s="276" t="s">
        <v>598</v>
      </c>
      <c r="C283" s="276" t="s">
        <v>599</v>
      </c>
      <c r="D283" s="299" t="s">
        <v>72</v>
      </c>
      <c r="E283" s="321">
        <f>IFERROR(VLOOKUP(A283,Estimate!A:Q,17,FALSE)," ")</f>
        <v>1572.904505629984</v>
      </c>
      <c r="F283" s="299">
        <v>25</v>
      </c>
      <c r="G283" s="299">
        <f>VLOOKUP(A283,Estimate!A:H,8,FALSE)</f>
        <v>25</v>
      </c>
      <c r="H283" s="298">
        <v>25</v>
      </c>
      <c r="I283" s="298">
        <f t="shared" si="1585"/>
        <v>2004.25</v>
      </c>
      <c r="J283" s="298">
        <v>2004.25</v>
      </c>
      <c r="K283" s="298"/>
      <c r="L283" s="299"/>
      <c r="M283" s="301">
        <f t="shared" si="1522"/>
        <v>0</v>
      </c>
      <c r="N283" s="299"/>
      <c r="O283" s="301">
        <f t="shared" si="1522"/>
        <v>0</v>
      </c>
      <c r="P283" s="299"/>
      <c r="Q283" s="301">
        <f t="shared" ref="Q283" si="1640">IFERROR(P283/$G283," ")</f>
        <v>0</v>
      </c>
      <c r="R283" s="299"/>
      <c r="S283" s="301">
        <f t="shared" ref="S283" si="1641">IFERROR(R283/$G283," ")</f>
        <v>0</v>
      </c>
      <c r="T283" s="299">
        <v>25</v>
      </c>
      <c r="U283" s="301">
        <f t="shared" ref="U283" si="1642">IFERROR(T283/$G283," ")</f>
        <v>1</v>
      </c>
      <c r="V283" s="299">
        <v>25</v>
      </c>
      <c r="W283" s="301">
        <f t="shared" ref="W283" si="1643">IFERROR(V283/$G283," ")</f>
        <v>1</v>
      </c>
      <c r="X283" s="299">
        <v>25</v>
      </c>
      <c r="Y283" s="301">
        <f t="shared" ref="Y283" si="1644">IFERROR(X283/$G283," ")</f>
        <v>1</v>
      </c>
      <c r="Z283" s="299">
        <v>25</v>
      </c>
      <c r="AA283" s="301">
        <f t="shared" ref="AA283" si="1645">IFERROR(Z283/$G283," ")</f>
        <v>1</v>
      </c>
      <c r="AB283" s="292"/>
      <c r="AC283" s="279">
        <f t="shared" si="1553"/>
        <v>0</v>
      </c>
      <c r="AD283" s="279">
        <f t="shared" si="1554"/>
        <v>0</v>
      </c>
      <c r="AE283" s="279">
        <f t="shared" si="1555"/>
        <v>0</v>
      </c>
      <c r="AF283" s="279">
        <f t="shared" si="1556"/>
        <v>0</v>
      </c>
      <c r="AG283" s="279">
        <f t="shared" si="1557"/>
        <v>2004.25</v>
      </c>
      <c r="AH283" s="279">
        <f t="shared" si="1558"/>
        <v>2004.25</v>
      </c>
      <c r="AI283" s="279">
        <f t="shared" si="1559"/>
        <v>2004.25</v>
      </c>
      <c r="AJ283" s="279">
        <f t="shared" si="1560"/>
        <v>2004.25</v>
      </c>
    </row>
    <row r="284" spans="1:41" x14ac:dyDescent="0.65">
      <c r="A284" s="203">
        <v>238</v>
      </c>
      <c r="B284" s="276" t="s">
        <v>601</v>
      </c>
      <c r="C284" s="276" t="s">
        <v>602</v>
      </c>
      <c r="D284" s="299" t="s">
        <v>79</v>
      </c>
      <c r="E284" s="321">
        <f>IFERROR(VLOOKUP(A284,Estimate!A:Q,17,FALSE)," ")</f>
        <v>2323</v>
      </c>
      <c r="F284" s="299">
        <v>1</v>
      </c>
      <c r="G284" s="299">
        <f>VLOOKUP(A284,Estimate!A:H,8,FALSE)</f>
        <v>1</v>
      </c>
      <c r="H284" s="298">
        <v>1</v>
      </c>
      <c r="I284" s="298">
        <f t="shared" si="1585"/>
        <v>2904</v>
      </c>
      <c r="J284" s="298">
        <v>2904</v>
      </c>
      <c r="K284" s="298"/>
      <c r="L284" s="299"/>
      <c r="M284" s="301">
        <f t="shared" si="1522"/>
        <v>0</v>
      </c>
      <c r="N284" s="299"/>
      <c r="O284" s="301">
        <f t="shared" si="1522"/>
        <v>0</v>
      </c>
      <c r="P284" s="299"/>
      <c r="Q284" s="301">
        <f t="shared" ref="Q284" si="1646">IFERROR(P284/$G284," ")</f>
        <v>0</v>
      </c>
      <c r="R284" s="299"/>
      <c r="S284" s="301">
        <f t="shared" ref="S284" si="1647">IFERROR(R284/$G284," ")</f>
        <v>0</v>
      </c>
      <c r="T284" s="299"/>
      <c r="U284" s="301">
        <f t="shared" ref="U284" si="1648">IFERROR(T284/$G284," ")</f>
        <v>0</v>
      </c>
      <c r="V284" s="299"/>
      <c r="W284" s="301">
        <f t="shared" ref="W284" si="1649">IFERROR(V284/$G284," ")</f>
        <v>0</v>
      </c>
      <c r="X284" s="299">
        <v>1</v>
      </c>
      <c r="Y284" s="301">
        <f t="shared" ref="Y284" si="1650">IFERROR(X284/$G284," ")</f>
        <v>1</v>
      </c>
      <c r="Z284" s="299">
        <v>1</v>
      </c>
      <c r="AA284" s="301">
        <f t="shared" ref="AA284" si="1651">IFERROR(Z284/$G284," ")</f>
        <v>1</v>
      </c>
      <c r="AB284" s="292"/>
      <c r="AC284" s="279">
        <f t="shared" si="1553"/>
        <v>0</v>
      </c>
      <c r="AD284" s="279">
        <f t="shared" si="1554"/>
        <v>0</v>
      </c>
      <c r="AE284" s="279">
        <f t="shared" si="1555"/>
        <v>0</v>
      </c>
      <c r="AF284" s="279">
        <f t="shared" si="1556"/>
        <v>0</v>
      </c>
      <c r="AG284" s="279">
        <f t="shared" si="1557"/>
        <v>0</v>
      </c>
      <c r="AH284" s="279">
        <f t="shared" si="1558"/>
        <v>0</v>
      </c>
      <c r="AI284" s="279">
        <f t="shared" si="1559"/>
        <v>2904</v>
      </c>
      <c r="AJ284" s="279">
        <f t="shared" si="1560"/>
        <v>2904</v>
      </c>
    </row>
    <row r="285" spans="1:41" x14ac:dyDescent="0.65">
      <c r="A285" s="203">
        <v>239</v>
      </c>
      <c r="B285" s="292" t="s">
        <v>603</v>
      </c>
      <c r="C285" s="276" t="s">
        <v>604</v>
      </c>
      <c r="D285" s="292" t="s">
        <v>25</v>
      </c>
      <c r="E285" s="321">
        <f>IFERROR(VLOOKUP(A285,Estimate!A:Q,17,FALSE)," ")</f>
        <v>2911.5841667635768</v>
      </c>
      <c r="F285" s="299">
        <v>71</v>
      </c>
      <c r="G285" s="299">
        <v>71</v>
      </c>
      <c r="H285" s="298">
        <v>52.25</v>
      </c>
      <c r="I285" s="298">
        <f t="shared" si="1585"/>
        <v>3709.75</v>
      </c>
      <c r="J285" s="298">
        <v>3709.75</v>
      </c>
      <c r="K285" s="298"/>
      <c r="L285" s="299"/>
      <c r="M285" s="301">
        <f t="shared" si="1522"/>
        <v>0</v>
      </c>
      <c r="N285" s="299"/>
      <c r="O285" s="301">
        <f t="shared" si="1522"/>
        <v>0</v>
      </c>
      <c r="P285" s="299"/>
      <c r="Q285" s="301">
        <f t="shared" ref="Q285" si="1652">IFERROR(P285/$G285," ")</f>
        <v>0</v>
      </c>
      <c r="R285" s="299"/>
      <c r="S285" s="301">
        <f t="shared" ref="S285" si="1653">IFERROR(R285/$G285," ")</f>
        <v>0</v>
      </c>
      <c r="T285" s="299">
        <v>71</v>
      </c>
      <c r="U285" s="301">
        <f t="shared" ref="U285" si="1654">IFERROR(T285/$G285," ")</f>
        <v>1</v>
      </c>
      <c r="V285" s="299">
        <v>71</v>
      </c>
      <c r="W285" s="301">
        <f t="shared" ref="W285" si="1655">IFERROR(V285/$G285," ")</f>
        <v>1</v>
      </c>
      <c r="X285" s="299">
        <v>71</v>
      </c>
      <c r="Y285" s="301">
        <f t="shared" ref="Y285" si="1656">IFERROR(X285/$G285," ")</f>
        <v>1</v>
      </c>
      <c r="Z285" s="299">
        <v>71</v>
      </c>
      <c r="AA285" s="301">
        <f t="shared" ref="AA285" si="1657">IFERROR(Z285/$G285," ")</f>
        <v>1</v>
      </c>
      <c r="AB285" s="292"/>
      <c r="AC285" s="279">
        <f t="shared" si="1553"/>
        <v>0</v>
      </c>
      <c r="AD285" s="279">
        <f t="shared" si="1554"/>
        <v>0</v>
      </c>
      <c r="AE285" s="279">
        <f t="shared" si="1555"/>
        <v>0</v>
      </c>
      <c r="AF285" s="279">
        <f t="shared" si="1556"/>
        <v>0</v>
      </c>
      <c r="AG285" s="279">
        <f t="shared" si="1557"/>
        <v>3709.75</v>
      </c>
      <c r="AH285" s="279">
        <f t="shared" si="1558"/>
        <v>3709.75</v>
      </c>
      <c r="AI285" s="279">
        <f t="shared" si="1559"/>
        <v>3709.75</v>
      </c>
      <c r="AJ285" s="279">
        <f t="shared" si="1560"/>
        <v>3709.75</v>
      </c>
    </row>
    <row r="286" spans="1:41" x14ac:dyDescent="0.65">
      <c r="A286" s="203">
        <v>240</v>
      </c>
      <c r="B286" s="292" t="s">
        <v>605</v>
      </c>
      <c r="C286" s="276" t="s">
        <v>606</v>
      </c>
      <c r="D286" s="292" t="s">
        <v>48</v>
      </c>
      <c r="E286" s="321">
        <f>IFERROR(VLOOKUP(A286,Estimate!A:Q,17,FALSE)," ")</f>
        <v>1210</v>
      </c>
      <c r="F286" s="299">
        <v>1</v>
      </c>
      <c r="G286" s="299">
        <v>1</v>
      </c>
      <c r="H286" s="298">
        <v>1592.49</v>
      </c>
      <c r="I286" s="298">
        <f t="shared" si="1585"/>
        <v>1592.49</v>
      </c>
      <c r="J286" s="298">
        <v>1592.49</v>
      </c>
      <c r="K286" s="298"/>
      <c r="L286" s="299"/>
      <c r="M286" s="301">
        <f t="shared" si="1522"/>
        <v>0</v>
      </c>
      <c r="N286" s="299"/>
      <c r="O286" s="301">
        <f t="shared" si="1522"/>
        <v>0</v>
      </c>
      <c r="P286" s="299"/>
      <c r="Q286" s="301">
        <f t="shared" ref="Q286" si="1658">IFERROR(P286/$G286," ")</f>
        <v>0</v>
      </c>
      <c r="R286" s="299"/>
      <c r="S286" s="301">
        <f t="shared" ref="S286" si="1659">IFERROR(R286/$G286," ")</f>
        <v>0</v>
      </c>
      <c r="T286" s="299">
        <v>1</v>
      </c>
      <c r="U286" s="301">
        <f t="shared" ref="U286" si="1660">IFERROR(T286/$G286," ")</f>
        <v>1</v>
      </c>
      <c r="V286" s="299">
        <v>1</v>
      </c>
      <c r="W286" s="301">
        <f t="shared" ref="W286" si="1661">IFERROR(V286/$G286," ")</f>
        <v>1</v>
      </c>
      <c r="X286" s="299">
        <v>1</v>
      </c>
      <c r="Y286" s="301">
        <f t="shared" ref="Y286" si="1662">IFERROR(X286/$G286," ")</f>
        <v>1</v>
      </c>
      <c r="Z286" s="299">
        <v>1</v>
      </c>
      <c r="AA286" s="301">
        <f t="shared" ref="AA286" si="1663">IFERROR(Z286/$G286," ")</f>
        <v>1</v>
      </c>
      <c r="AB286" s="292"/>
      <c r="AC286" s="279">
        <f t="shared" si="1553"/>
        <v>0</v>
      </c>
      <c r="AD286" s="279">
        <f t="shared" si="1554"/>
        <v>0</v>
      </c>
      <c r="AE286" s="279">
        <f t="shared" si="1555"/>
        <v>0</v>
      </c>
      <c r="AF286" s="279">
        <f t="shared" si="1556"/>
        <v>0</v>
      </c>
      <c r="AG286" s="279">
        <f t="shared" si="1557"/>
        <v>1592.49</v>
      </c>
      <c r="AH286" s="279">
        <f t="shared" si="1558"/>
        <v>1592.49</v>
      </c>
      <c r="AI286" s="279">
        <f t="shared" si="1559"/>
        <v>1592.49</v>
      </c>
      <c r="AJ286" s="279">
        <f t="shared" si="1560"/>
        <v>1592.49</v>
      </c>
    </row>
    <row r="287" spans="1:41" ht="28.5" x14ac:dyDescent="0.65">
      <c r="A287" s="203">
        <v>241</v>
      </c>
      <c r="B287" s="292" t="s">
        <v>607</v>
      </c>
      <c r="C287" s="276" t="s">
        <v>608</v>
      </c>
      <c r="D287" s="292" t="s">
        <v>25</v>
      </c>
      <c r="E287" s="321">
        <f>IFERROR(VLOOKUP(A287,Estimate!A:Q,17,FALSE)," ")</f>
        <v>2146</v>
      </c>
      <c r="F287" s="299">
        <v>1</v>
      </c>
      <c r="G287" s="299">
        <v>58</v>
      </c>
      <c r="H287" s="298">
        <v>37</v>
      </c>
      <c r="I287" s="298">
        <f t="shared" si="1585"/>
        <v>2146</v>
      </c>
      <c r="J287" s="298">
        <v>2146</v>
      </c>
      <c r="K287" s="298"/>
      <c r="L287" s="299"/>
      <c r="M287" s="301">
        <f t="shared" si="1522"/>
        <v>0</v>
      </c>
      <c r="N287" s="299"/>
      <c r="O287" s="301">
        <f t="shared" si="1522"/>
        <v>0</v>
      </c>
      <c r="P287" s="299"/>
      <c r="Q287" s="301">
        <f t="shared" ref="Q287" si="1664">IFERROR(P287/$G287," ")</f>
        <v>0</v>
      </c>
      <c r="R287" s="299"/>
      <c r="S287" s="301">
        <f t="shared" ref="S287" si="1665">IFERROR(R287/$G287," ")</f>
        <v>0</v>
      </c>
      <c r="T287" s="299"/>
      <c r="U287" s="301">
        <f t="shared" ref="U287" si="1666">IFERROR(T287/$G287," ")</f>
        <v>0</v>
      </c>
      <c r="V287" s="299"/>
      <c r="W287" s="301">
        <f t="shared" ref="W287" si="1667">IFERROR(V287/$G287," ")</f>
        <v>0</v>
      </c>
      <c r="X287" s="299">
        <v>58</v>
      </c>
      <c r="Y287" s="301">
        <f t="shared" ref="Y287" si="1668">IFERROR(X287/$G287," ")</f>
        <v>1</v>
      </c>
      <c r="Z287" s="299">
        <v>58</v>
      </c>
      <c r="AA287" s="301">
        <f t="shared" ref="AA287" si="1669">IFERROR(Z287/$G287," ")</f>
        <v>1</v>
      </c>
      <c r="AB287" s="292"/>
      <c r="AC287" s="279">
        <f t="shared" si="1553"/>
        <v>0</v>
      </c>
      <c r="AD287" s="279">
        <f t="shared" si="1554"/>
        <v>0</v>
      </c>
      <c r="AE287" s="279">
        <f t="shared" si="1555"/>
        <v>0</v>
      </c>
      <c r="AF287" s="279">
        <f t="shared" si="1556"/>
        <v>0</v>
      </c>
      <c r="AG287" s="279">
        <f t="shared" si="1557"/>
        <v>0</v>
      </c>
      <c r="AH287" s="279">
        <f t="shared" si="1558"/>
        <v>0</v>
      </c>
      <c r="AI287" s="279">
        <f t="shared" si="1559"/>
        <v>2146</v>
      </c>
      <c r="AJ287" s="279">
        <f t="shared" si="1560"/>
        <v>2146</v>
      </c>
    </row>
    <row r="288" spans="1:41" x14ac:dyDescent="0.65">
      <c r="A288" s="203">
        <v>242</v>
      </c>
      <c r="B288" s="292" t="s">
        <v>609</v>
      </c>
      <c r="C288" s="276" t="s">
        <v>610</v>
      </c>
      <c r="D288" s="292" t="s">
        <v>64</v>
      </c>
      <c r="E288" s="321">
        <f>IFERROR(VLOOKUP(A288,Estimate!A:Q,17,FALSE)," ")</f>
        <v>20290.900000000001</v>
      </c>
      <c r="F288" s="299">
        <v>70.7</v>
      </c>
      <c r="G288" s="299">
        <v>70.7</v>
      </c>
      <c r="H288" s="298">
        <v>294.2</v>
      </c>
      <c r="I288" s="298">
        <f t="shared" si="1585"/>
        <v>20799.939999999999</v>
      </c>
      <c r="J288" s="298">
        <v>20799.939999999999</v>
      </c>
      <c r="K288" s="298"/>
      <c r="L288" s="299"/>
      <c r="M288" s="301">
        <f t="shared" si="1522"/>
        <v>0</v>
      </c>
      <c r="N288" s="299"/>
      <c r="O288" s="301">
        <f t="shared" si="1522"/>
        <v>0</v>
      </c>
      <c r="P288" s="299"/>
      <c r="Q288" s="301">
        <f t="shared" ref="Q288" si="1670">IFERROR(P288/$G288," ")</f>
        <v>0</v>
      </c>
      <c r="R288" s="299"/>
      <c r="S288" s="301">
        <f t="shared" ref="S288" si="1671">IFERROR(R288/$G288," ")</f>
        <v>0</v>
      </c>
      <c r="T288" s="299"/>
      <c r="U288" s="301">
        <f t="shared" ref="U288" si="1672">IFERROR(T288/$G288," ")</f>
        <v>0</v>
      </c>
      <c r="V288" s="299"/>
      <c r="W288" s="301">
        <f t="shared" ref="W288" si="1673">IFERROR(V288/$G288," ")</f>
        <v>0</v>
      </c>
      <c r="X288" s="299">
        <v>70.7</v>
      </c>
      <c r="Y288" s="301">
        <f t="shared" ref="Y288" si="1674">IFERROR(X288/$G288," ")</f>
        <v>1</v>
      </c>
      <c r="Z288" s="299">
        <v>70.7</v>
      </c>
      <c r="AA288" s="301">
        <f t="shared" ref="AA288" si="1675">IFERROR(Z288/$G288," ")</f>
        <v>1</v>
      </c>
      <c r="AB288" s="292"/>
      <c r="AC288" s="279">
        <f t="shared" si="1553"/>
        <v>0</v>
      </c>
      <c r="AD288" s="279">
        <f t="shared" si="1554"/>
        <v>0</v>
      </c>
      <c r="AE288" s="279">
        <f t="shared" si="1555"/>
        <v>0</v>
      </c>
      <c r="AF288" s="279">
        <f t="shared" si="1556"/>
        <v>0</v>
      </c>
      <c r="AG288" s="279">
        <f t="shared" si="1557"/>
        <v>0</v>
      </c>
      <c r="AH288" s="279">
        <f t="shared" si="1558"/>
        <v>0</v>
      </c>
      <c r="AI288" s="279">
        <f t="shared" si="1559"/>
        <v>20799.939999999999</v>
      </c>
      <c r="AJ288" s="279">
        <f t="shared" si="1560"/>
        <v>20799.939999999999</v>
      </c>
      <c r="AM288" s="180"/>
      <c r="AO288" s="180"/>
    </row>
    <row r="289" spans="1:38" x14ac:dyDescent="0.65">
      <c r="A289" s="203">
        <v>243</v>
      </c>
      <c r="B289" s="292" t="s">
        <v>611</v>
      </c>
      <c r="C289" s="276" t="s">
        <v>612</v>
      </c>
      <c r="D289" s="292" t="s">
        <v>79</v>
      </c>
      <c r="E289" s="321">
        <f>IFERROR(VLOOKUP(A289,Estimate!A:Q,17,FALSE)," ")</f>
        <v>22691.151631585068</v>
      </c>
      <c r="F289" s="299">
        <v>1</v>
      </c>
      <c r="G289" s="299">
        <v>1</v>
      </c>
      <c r="H289" s="298">
        <v>25429.61</v>
      </c>
      <c r="I289" s="298">
        <f t="shared" si="1585"/>
        <v>25429.61</v>
      </c>
      <c r="J289" s="298">
        <v>25429.61</v>
      </c>
      <c r="K289" s="298"/>
      <c r="L289" s="299"/>
      <c r="M289" s="301">
        <f t="shared" si="1522"/>
        <v>0</v>
      </c>
      <c r="N289" s="299"/>
      <c r="O289" s="301">
        <f t="shared" si="1522"/>
        <v>0</v>
      </c>
      <c r="P289" s="299"/>
      <c r="Q289" s="301">
        <f t="shared" ref="Q289" si="1676">IFERROR(P289/$G289," ")</f>
        <v>0</v>
      </c>
      <c r="R289" s="299"/>
      <c r="S289" s="301">
        <f t="shared" ref="S289" si="1677">IFERROR(R289/$G289," ")</f>
        <v>0</v>
      </c>
      <c r="T289" s="299"/>
      <c r="U289" s="301">
        <f t="shared" ref="U289" si="1678">IFERROR(T289/$G289," ")</f>
        <v>0</v>
      </c>
      <c r="V289" s="299"/>
      <c r="W289" s="301">
        <f t="shared" ref="W289" si="1679">IFERROR(V289/$G289," ")</f>
        <v>0</v>
      </c>
      <c r="X289" s="299"/>
      <c r="Y289" s="301">
        <f t="shared" ref="Y289" si="1680">IFERROR(X289/$G289," ")</f>
        <v>0</v>
      </c>
      <c r="Z289" s="299">
        <v>1</v>
      </c>
      <c r="AA289" s="301">
        <f t="shared" ref="AA289" si="1681">IFERROR(Z289/$G289," ")</f>
        <v>1</v>
      </c>
      <c r="AB289" s="292"/>
      <c r="AC289" s="279">
        <f t="shared" si="1553"/>
        <v>0</v>
      </c>
      <c r="AD289" s="279">
        <f t="shared" si="1554"/>
        <v>0</v>
      </c>
      <c r="AE289" s="279">
        <f t="shared" si="1555"/>
        <v>0</v>
      </c>
      <c r="AF289" s="279">
        <f t="shared" si="1556"/>
        <v>0</v>
      </c>
      <c r="AG289" s="279">
        <f t="shared" si="1557"/>
        <v>0</v>
      </c>
      <c r="AH289" s="279">
        <f t="shared" si="1558"/>
        <v>0</v>
      </c>
      <c r="AI289" s="279">
        <f t="shared" si="1559"/>
        <v>0</v>
      </c>
      <c r="AJ289" s="279">
        <f t="shared" si="1560"/>
        <v>25429.61</v>
      </c>
    </row>
    <row r="290" spans="1:38" x14ac:dyDescent="0.65">
      <c r="A290" s="203"/>
      <c r="B290" s="292" t="s">
        <v>448</v>
      </c>
      <c r="C290" s="276" t="s">
        <v>448</v>
      </c>
      <c r="D290" s="292" t="s">
        <v>448</v>
      </c>
      <c r="E290" s="321"/>
      <c r="F290" s="299" t="s">
        <v>448</v>
      </c>
      <c r="G290" s="299" t="s">
        <v>448</v>
      </c>
      <c r="H290" s="298" t="s">
        <v>448</v>
      </c>
      <c r="I290" s="298" t="s">
        <v>448</v>
      </c>
      <c r="J290" s="298" t="s">
        <v>448</v>
      </c>
      <c r="K290" s="298"/>
      <c r="L290" s="299" t="s">
        <v>448</v>
      </c>
      <c r="M290" s="300"/>
      <c r="N290" s="299" t="s">
        <v>448</v>
      </c>
      <c r="O290" s="300"/>
      <c r="P290" s="299" t="s">
        <v>448</v>
      </c>
      <c r="Q290" s="300"/>
      <c r="R290" s="299" t="s">
        <v>448</v>
      </c>
      <c r="S290" s="300"/>
      <c r="T290" s="299" t="s">
        <v>448</v>
      </c>
      <c r="U290" s="300"/>
      <c r="V290" s="299" t="s">
        <v>448</v>
      </c>
      <c r="W290" s="300"/>
      <c r="X290" s="299" t="s">
        <v>448</v>
      </c>
      <c r="Y290" s="300"/>
      <c r="Z290" s="299" t="s">
        <v>448</v>
      </c>
      <c r="AA290" s="300"/>
      <c r="AB290" s="292"/>
      <c r="AC290" s="292"/>
      <c r="AD290" s="292"/>
      <c r="AE290" s="292"/>
      <c r="AF290" s="292"/>
      <c r="AG290" s="292"/>
      <c r="AH290" s="292"/>
      <c r="AI290" s="292"/>
      <c r="AJ290" s="292"/>
    </row>
    <row r="291" spans="1:38" x14ac:dyDescent="0.65">
      <c r="A291" s="203"/>
      <c r="B291" s="289" t="s">
        <v>448</v>
      </c>
      <c r="C291" s="273" t="s">
        <v>1210</v>
      </c>
      <c r="D291" s="289" t="s">
        <v>448</v>
      </c>
      <c r="E291" s="322">
        <f>SUBTOTAL(9,E5:E289)</f>
        <v>1852261.4284970621</v>
      </c>
      <c r="F291" s="312" t="s">
        <v>448</v>
      </c>
      <c r="G291" s="312" t="s">
        <v>448</v>
      </c>
      <c r="H291" s="311" t="s">
        <v>448</v>
      </c>
      <c r="I291" s="311"/>
      <c r="J291" s="311">
        <f>SUBTOTAL(9,J5:J289)</f>
        <v>2311232.5390000008</v>
      </c>
      <c r="K291" s="311"/>
      <c r="L291" s="312" t="s">
        <v>448</v>
      </c>
      <c r="M291" s="313">
        <f>AC291/$AJ291</f>
        <v>6.0106486319775596E-2</v>
      </c>
      <c r="N291" s="312" t="s">
        <v>448</v>
      </c>
      <c r="O291" s="313">
        <f>AD291/$AJ291</f>
        <v>0.20022967252843413</v>
      </c>
      <c r="P291" s="312" t="s">
        <v>448</v>
      </c>
      <c r="Q291" s="313">
        <f>AE291/$AJ291</f>
        <v>0.31577305923933335</v>
      </c>
      <c r="R291" s="312" t="s">
        <v>448</v>
      </c>
      <c r="S291" s="313">
        <f>AF291/$AJ291</f>
        <v>0.51740982830343407</v>
      </c>
      <c r="T291" s="312" t="s">
        <v>448</v>
      </c>
      <c r="U291" s="313">
        <f>AG291/$AJ291</f>
        <v>0.79939422355072398</v>
      </c>
      <c r="V291" s="312" t="s">
        <v>448</v>
      </c>
      <c r="W291" s="313">
        <f>AH291/$AJ291</f>
        <v>0.95105249357098676</v>
      </c>
      <c r="X291" s="312" t="s">
        <v>448</v>
      </c>
      <c r="Y291" s="313">
        <f>AI291/$AJ291</f>
        <v>0.98871219864600124</v>
      </c>
      <c r="Z291" s="312" t="s">
        <v>448</v>
      </c>
      <c r="AA291" s="313">
        <f>AJ291/$AJ291</f>
        <v>1</v>
      </c>
      <c r="AB291" s="314"/>
      <c r="AC291" s="315">
        <f>SUM(AC5:AC289)</f>
        <v>137061.01550000001</v>
      </c>
      <c r="AD291" s="315">
        <f t="shared" ref="AD291:AI291" si="1682">SUM(AD5:AD289)</f>
        <v>456584.37101072748</v>
      </c>
      <c r="AE291" s="315">
        <f t="shared" si="1682"/>
        <v>720058.33008816396</v>
      </c>
      <c r="AF291" s="315">
        <f t="shared" si="1682"/>
        <v>1179851.3078881647</v>
      </c>
      <c r="AG291" s="315">
        <f t="shared" si="1682"/>
        <v>1822861.2380000008</v>
      </c>
      <c r="AH291" s="315">
        <f t="shared" si="1682"/>
        <v>2168688.0825000009</v>
      </c>
      <c r="AI291" s="315">
        <f t="shared" si="1682"/>
        <v>2254563.6300000008</v>
      </c>
      <c r="AJ291" s="315">
        <f>SUBTOTAL(9,AJ5:AJ289)</f>
        <v>2280303.2400000007</v>
      </c>
      <c r="AL291" s="180"/>
    </row>
    <row r="292" spans="1:38" x14ac:dyDescent="0.65">
      <c r="F292" s="180"/>
    </row>
    <row r="293" spans="1:38" x14ac:dyDescent="0.65">
      <c r="J293">
        <v>2284134.2000000002</v>
      </c>
      <c r="AJ293">
        <v>2284134.2000000002</v>
      </c>
    </row>
    <row r="294" spans="1:38" x14ac:dyDescent="0.65">
      <c r="J294" s="199">
        <f>J293-J291</f>
        <v>-27098.339000000618</v>
      </c>
      <c r="AJ294" s="179">
        <f>AJ293-AJ291</f>
        <v>3830.9599999994971</v>
      </c>
    </row>
    <row r="299" spans="1:38" x14ac:dyDescent="0.65">
      <c r="A299"/>
      <c r="C299"/>
    </row>
    <row r="300" spans="1:38" x14ac:dyDescent="0.65">
      <c r="A300"/>
      <c r="C300"/>
    </row>
    <row r="301" spans="1:38" x14ac:dyDescent="0.65">
      <c r="A301"/>
      <c r="C301"/>
    </row>
    <row r="302" spans="1:38" x14ac:dyDescent="0.65">
      <c r="A302"/>
      <c r="C302"/>
    </row>
    <row r="303" spans="1:38" x14ac:dyDescent="0.65">
      <c r="A303"/>
      <c r="C303"/>
    </row>
    <row r="304" spans="1:38" x14ac:dyDescent="0.65">
      <c r="A304"/>
      <c r="C304"/>
    </row>
    <row r="305" spans="1:3" x14ac:dyDescent="0.65">
      <c r="A305"/>
      <c r="C305"/>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17"/>
  <sheetViews>
    <sheetView tabSelected="1" zoomScale="85" zoomScaleNormal="85" workbookViewId="0">
      <selection activeCell="A2" sqref="A2"/>
    </sheetView>
  </sheetViews>
  <sheetFormatPr baseColWidth="10" defaultColWidth="8.86328125" defaultRowHeight="14.25" x14ac:dyDescent="0.65"/>
  <cols>
    <col min="1" max="1" width="14.26953125" style="149" customWidth="1"/>
    <col min="2" max="2" width="44.86328125" style="148" bestFit="1" customWidth="1"/>
    <col min="3" max="3" width="14" style="169" bestFit="1" customWidth="1"/>
    <col min="4" max="4" width="13.26953125" style="147" bestFit="1" customWidth="1"/>
    <col min="5" max="5" width="11" style="147" customWidth="1"/>
    <col min="6" max="6" width="13.26953125" style="162" customWidth="1"/>
    <col min="7" max="7" width="14.40625" style="161" bestFit="1" customWidth="1"/>
    <col min="8" max="8" width="13.40625" style="162" bestFit="1" customWidth="1"/>
    <col min="9" max="9" width="14" style="161" bestFit="1" customWidth="1"/>
    <col min="10" max="11" width="10.40625" style="147" customWidth="1"/>
    <col min="12" max="12" width="11" style="168" bestFit="1" customWidth="1"/>
    <col min="13" max="13" width="11" style="147" bestFit="1" customWidth="1"/>
    <col min="14" max="16" width="10.40625" style="147" customWidth="1"/>
    <col min="17" max="17" width="12" style="168" bestFit="1" customWidth="1"/>
    <col min="18" max="18" width="11.1328125" style="147" bestFit="1" customWidth="1"/>
    <col min="19" max="21" width="10.40625" style="147" customWidth="1"/>
    <col min="22" max="22" width="10.40625" style="168" customWidth="1"/>
    <col min="23" max="26" width="10.40625" style="147" customWidth="1"/>
    <col min="27" max="27" width="11" style="168" bestFit="1" customWidth="1"/>
    <col min="28" max="29" width="10.40625" style="147" customWidth="1"/>
    <col min="30" max="30" width="11" style="147" bestFit="1" customWidth="1"/>
    <col min="31" max="31" width="12.40625" style="147" bestFit="1" customWidth="1"/>
    <col min="32" max="34" width="10.40625" style="147" customWidth="1"/>
    <col min="35" max="35" width="11" style="147" bestFit="1" customWidth="1"/>
    <col min="36" max="36" width="12.86328125" style="147" bestFit="1" customWidth="1"/>
    <col min="37" max="37" width="11" style="147" bestFit="1" customWidth="1"/>
    <col min="38" max="38" width="12.86328125" style="147" bestFit="1" customWidth="1"/>
    <col min="39" max="39" width="10.40625" style="147" customWidth="1"/>
    <col min="40" max="40" width="11" style="147" bestFit="1" customWidth="1"/>
    <col min="41" max="41" width="13.1328125" style="147" bestFit="1" customWidth="1"/>
    <col min="42" max="42" width="11" style="147" bestFit="1" customWidth="1"/>
    <col min="43" max="43" width="12.40625" style="147" bestFit="1" customWidth="1"/>
    <col min="44" max="44" width="10.40625" style="147" customWidth="1"/>
    <col min="45" max="45" width="11" style="147" bestFit="1" customWidth="1"/>
    <col min="46" max="46" width="13.1328125" style="147" bestFit="1" customWidth="1"/>
    <col min="47" max="47" width="11" style="147" bestFit="1" customWidth="1"/>
    <col min="48" max="48" width="12.40625" style="147" bestFit="1" customWidth="1"/>
    <col min="49" max="49" width="10.40625" style="147" customWidth="1"/>
    <col min="50" max="51" width="10" style="147" customWidth="1"/>
    <col min="52" max="16384" width="8.86328125" style="147"/>
  </cols>
  <sheetData>
    <row r="1" spans="1:49" ht="15.75" thickBot="1" x14ac:dyDescent="0.3">
      <c r="E1" s="161"/>
      <c r="H1" s="147"/>
      <c r="I1" s="147"/>
      <c r="J1" s="168"/>
      <c r="L1" s="147"/>
      <c r="O1" s="168"/>
      <c r="Q1" s="147"/>
      <c r="T1" s="168"/>
      <c r="V1" s="147"/>
      <c r="Y1" s="168"/>
      <c r="AA1" s="147"/>
    </row>
    <row r="2" spans="1:49" s="149" customFormat="1" ht="15.75" thickTop="1" x14ac:dyDescent="0.25">
      <c r="A2" s="206" t="s">
        <v>941</v>
      </c>
      <c r="B2" s="207" t="s">
        <v>315</v>
      </c>
      <c r="C2" s="208" t="s">
        <v>5</v>
      </c>
      <c r="D2" s="206" t="s">
        <v>1052</v>
      </c>
      <c r="E2" s="206" t="s">
        <v>1219</v>
      </c>
      <c r="F2" s="208" t="s">
        <v>1220</v>
      </c>
      <c r="G2" s="208" t="s">
        <v>1221</v>
      </c>
      <c r="H2" s="209" t="s">
        <v>1222</v>
      </c>
      <c r="I2" s="210" t="s">
        <v>1223</v>
      </c>
      <c r="J2" s="206"/>
      <c r="K2" s="206"/>
      <c r="L2" s="211">
        <v>40634</v>
      </c>
      <c r="M2" s="212"/>
      <c r="N2" s="206"/>
      <c r="O2" s="213"/>
      <c r="P2" s="206"/>
      <c r="Q2" s="211">
        <v>40664</v>
      </c>
      <c r="R2" s="212"/>
      <c r="S2" s="206"/>
      <c r="T2" s="213"/>
      <c r="U2" s="206"/>
      <c r="V2" s="211">
        <v>40695</v>
      </c>
      <c r="W2" s="212"/>
      <c r="X2" s="206"/>
      <c r="Y2" s="213"/>
      <c r="Z2" s="206"/>
      <c r="AA2" s="211">
        <v>40725</v>
      </c>
      <c r="AB2" s="212"/>
      <c r="AC2" s="206"/>
      <c r="AD2" s="213"/>
      <c r="AE2" s="206"/>
      <c r="AF2" s="211">
        <v>40756</v>
      </c>
      <c r="AG2" s="212"/>
      <c r="AH2" s="206"/>
      <c r="AI2" s="213"/>
      <c r="AJ2" s="206"/>
      <c r="AK2" s="211">
        <v>40787</v>
      </c>
      <c r="AL2" s="212"/>
      <c r="AM2" s="206"/>
      <c r="AN2" s="213"/>
      <c r="AO2" s="206"/>
      <c r="AP2" s="211">
        <v>40817</v>
      </c>
      <c r="AQ2" s="212"/>
      <c r="AR2" s="206"/>
      <c r="AS2" s="213"/>
      <c r="AT2" s="206"/>
      <c r="AU2" s="211">
        <v>40848</v>
      </c>
      <c r="AV2" s="212"/>
      <c r="AW2" s="214"/>
    </row>
    <row r="3" spans="1:49" ht="15" x14ac:dyDescent="0.25">
      <c r="A3" s="151"/>
      <c r="B3" s="155"/>
      <c r="C3" s="156" t="s">
        <v>1224</v>
      </c>
      <c r="D3" s="151"/>
      <c r="E3" s="151"/>
      <c r="F3" s="156"/>
      <c r="G3" s="156" t="s">
        <v>1225</v>
      </c>
      <c r="H3" s="157" t="s">
        <v>1226</v>
      </c>
      <c r="I3" s="175"/>
      <c r="J3" s="151" t="s">
        <v>1227</v>
      </c>
      <c r="K3" s="151" t="s">
        <v>1228</v>
      </c>
      <c r="L3" s="159" t="s">
        <v>1225</v>
      </c>
      <c r="M3" s="151" t="s">
        <v>1226</v>
      </c>
      <c r="N3" s="151" t="s">
        <v>1229</v>
      </c>
      <c r="O3" s="153" t="s">
        <v>1227</v>
      </c>
      <c r="P3" s="151" t="s">
        <v>1228</v>
      </c>
      <c r="Q3" s="159" t="s">
        <v>1225</v>
      </c>
      <c r="R3" s="151" t="s">
        <v>1226</v>
      </c>
      <c r="S3" s="151" t="s">
        <v>1229</v>
      </c>
      <c r="T3" s="153" t="s">
        <v>1227</v>
      </c>
      <c r="U3" s="151" t="s">
        <v>1228</v>
      </c>
      <c r="V3" s="159" t="s">
        <v>1225</v>
      </c>
      <c r="W3" s="151" t="s">
        <v>1226</v>
      </c>
      <c r="X3" s="151" t="s">
        <v>1229</v>
      </c>
      <c r="Y3" s="153" t="s">
        <v>1227</v>
      </c>
      <c r="Z3" s="151" t="s">
        <v>1228</v>
      </c>
      <c r="AA3" s="159" t="s">
        <v>1225</v>
      </c>
      <c r="AB3" s="151" t="s">
        <v>1226</v>
      </c>
      <c r="AC3" s="151" t="s">
        <v>1229</v>
      </c>
      <c r="AD3" s="153" t="s">
        <v>1227</v>
      </c>
      <c r="AE3" s="151" t="s">
        <v>1228</v>
      </c>
      <c r="AF3" s="151" t="s">
        <v>1225</v>
      </c>
      <c r="AG3" s="151" t="s">
        <v>1226</v>
      </c>
      <c r="AH3" s="151" t="s">
        <v>1229</v>
      </c>
      <c r="AI3" s="153" t="s">
        <v>1227</v>
      </c>
      <c r="AJ3" s="151" t="s">
        <v>1228</v>
      </c>
      <c r="AK3" s="151" t="s">
        <v>1225</v>
      </c>
      <c r="AL3" s="151" t="s">
        <v>1226</v>
      </c>
      <c r="AM3" s="151" t="s">
        <v>1229</v>
      </c>
      <c r="AN3" s="153" t="s">
        <v>1227</v>
      </c>
      <c r="AO3" s="151" t="s">
        <v>1228</v>
      </c>
      <c r="AP3" s="151" t="s">
        <v>1225</v>
      </c>
      <c r="AQ3" s="151" t="s">
        <v>1226</v>
      </c>
      <c r="AR3" s="151" t="s">
        <v>1229</v>
      </c>
      <c r="AS3" s="153" t="s">
        <v>1227</v>
      </c>
      <c r="AT3" s="151" t="s">
        <v>1228</v>
      </c>
      <c r="AU3" s="151" t="s">
        <v>1225</v>
      </c>
      <c r="AV3" s="151" t="s">
        <v>1226</v>
      </c>
      <c r="AW3" s="160" t="s">
        <v>1229</v>
      </c>
    </row>
    <row r="4" spans="1:49" ht="15" x14ac:dyDescent="0.25">
      <c r="A4" s="149">
        <v>11</v>
      </c>
      <c r="B4" s="148" t="s">
        <v>1230</v>
      </c>
      <c r="C4" s="161">
        <v>94</v>
      </c>
      <c r="D4" s="147" t="s">
        <v>1231</v>
      </c>
      <c r="E4" s="172">
        <v>23680</v>
      </c>
      <c r="F4" s="172">
        <v>251.91489361702128</v>
      </c>
      <c r="G4" s="172">
        <v>146</v>
      </c>
      <c r="H4" s="172">
        <v>27030</v>
      </c>
      <c r="I4" s="174">
        <v>185.13698630136986</v>
      </c>
      <c r="J4" s="172">
        <v>10</v>
      </c>
      <c r="K4" s="172">
        <v>2519.1489361702129</v>
      </c>
      <c r="L4" s="172">
        <v>7.6</v>
      </c>
      <c r="M4" s="172">
        <v>1400</v>
      </c>
      <c r="N4" s="173">
        <v>1232.6575342465751</v>
      </c>
      <c r="O4" s="172">
        <v>10</v>
      </c>
      <c r="P4" s="172">
        <v>2519.1489361702129</v>
      </c>
      <c r="Q4" s="172">
        <v>7.6</v>
      </c>
      <c r="R4" s="172">
        <v>1400</v>
      </c>
      <c r="S4" s="173">
        <v>1232.6575342465751</v>
      </c>
      <c r="T4" s="172">
        <v>35</v>
      </c>
      <c r="U4" s="172">
        <v>8817.021276595744</v>
      </c>
      <c r="V4" s="172">
        <v>31.9</v>
      </c>
      <c r="W4" s="172">
        <v>5908.3</v>
      </c>
      <c r="X4" s="173">
        <v>5173.9178082191775</v>
      </c>
      <c r="Y4" s="172">
        <v>50</v>
      </c>
      <c r="Z4" s="172">
        <v>12595.744680851063</v>
      </c>
      <c r="AA4" s="172">
        <v>49</v>
      </c>
      <c r="AB4" s="172">
        <v>9071.75</v>
      </c>
      <c r="AC4" s="173">
        <v>7947.3972602739732</v>
      </c>
      <c r="AD4" s="172">
        <v>70</v>
      </c>
      <c r="AE4" s="172">
        <v>17634.042553191488</v>
      </c>
      <c r="AF4" s="172">
        <v>107.4</v>
      </c>
      <c r="AG4" s="172">
        <v>19878.3</v>
      </c>
      <c r="AH4" s="173">
        <v>17419.397260273974</v>
      </c>
      <c r="AI4" s="172">
        <v>90</v>
      </c>
      <c r="AJ4" s="172">
        <v>22672.340425531915</v>
      </c>
      <c r="AK4" s="172">
        <v>111.7</v>
      </c>
      <c r="AL4" s="172">
        <v>20668.8</v>
      </c>
      <c r="AM4" s="173">
        <v>18116.821917808218</v>
      </c>
      <c r="AN4" s="172">
        <v>90</v>
      </c>
      <c r="AO4" s="172">
        <v>22672.340425531915</v>
      </c>
      <c r="AP4" s="172">
        <v>130.9</v>
      </c>
      <c r="AQ4" s="172">
        <v>24220.2</v>
      </c>
      <c r="AR4" s="173">
        <v>24220</v>
      </c>
      <c r="AS4" s="172">
        <v>94</v>
      </c>
      <c r="AT4" s="172">
        <v>23680</v>
      </c>
      <c r="AU4" s="172">
        <v>146</v>
      </c>
      <c r="AV4" s="172">
        <v>28430.2</v>
      </c>
      <c r="AW4" s="173">
        <v>23680</v>
      </c>
    </row>
    <row r="5" spans="1:49" ht="15" x14ac:dyDescent="0.25">
      <c r="A5" s="149">
        <v>13</v>
      </c>
      <c r="B5" s="148" t="s">
        <v>1232</v>
      </c>
      <c r="C5" s="161">
        <v>1</v>
      </c>
      <c r="D5" s="147" t="s">
        <v>1233</v>
      </c>
      <c r="E5" s="172">
        <v>14950</v>
      </c>
      <c r="F5" s="172">
        <v>14950</v>
      </c>
      <c r="G5" s="172">
        <v>1</v>
      </c>
      <c r="H5" s="172">
        <v>7650</v>
      </c>
      <c r="I5" s="174">
        <v>7650</v>
      </c>
      <c r="J5" s="172">
        <v>0</v>
      </c>
      <c r="K5" s="172">
        <v>0</v>
      </c>
      <c r="L5" s="172">
        <v>0</v>
      </c>
      <c r="M5" s="172">
        <v>0</v>
      </c>
      <c r="N5" s="174">
        <v>0</v>
      </c>
      <c r="O5" s="172">
        <v>0.1</v>
      </c>
      <c r="P5" s="172">
        <v>1495</v>
      </c>
      <c r="Q5" s="172">
        <v>0</v>
      </c>
      <c r="R5" s="172">
        <v>90</v>
      </c>
      <c r="S5" s="174">
        <v>0</v>
      </c>
      <c r="T5" s="172">
        <v>0.25</v>
      </c>
      <c r="U5" s="172">
        <v>3737.5</v>
      </c>
      <c r="V5" s="172">
        <v>0.25</v>
      </c>
      <c r="W5" s="172">
        <v>2650</v>
      </c>
      <c r="X5" s="174">
        <v>3737.5</v>
      </c>
      <c r="Y5" s="172">
        <v>0.5</v>
      </c>
      <c r="Z5" s="172">
        <v>7475</v>
      </c>
      <c r="AA5" s="172">
        <v>0.65</v>
      </c>
      <c r="AB5" s="172">
        <v>5050</v>
      </c>
      <c r="AC5" s="174">
        <v>9717.5</v>
      </c>
      <c r="AD5" s="172">
        <v>0.75</v>
      </c>
      <c r="AE5" s="172">
        <v>11212.5</v>
      </c>
      <c r="AF5" s="172">
        <v>0.9</v>
      </c>
      <c r="AG5" s="172">
        <v>6850</v>
      </c>
      <c r="AH5" s="174">
        <v>13455</v>
      </c>
      <c r="AI5" s="172">
        <v>1</v>
      </c>
      <c r="AJ5" s="172">
        <v>14950</v>
      </c>
      <c r="AK5" s="172">
        <v>1</v>
      </c>
      <c r="AL5" s="172">
        <v>7650</v>
      </c>
      <c r="AM5" s="174">
        <v>14950</v>
      </c>
      <c r="AN5" s="172">
        <v>1</v>
      </c>
      <c r="AO5" s="172">
        <v>14950</v>
      </c>
      <c r="AP5" s="172">
        <v>1</v>
      </c>
      <c r="AQ5" s="172">
        <v>7650</v>
      </c>
      <c r="AR5" s="174">
        <v>14950</v>
      </c>
      <c r="AS5" s="172">
        <v>1</v>
      </c>
      <c r="AT5" s="172">
        <v>14950</v>
      </c>
      <c r="AU5" s="172">
        <v>1</v>
      </c>
      <c r="AV5" s="172">
        <v>7650</v>
      </c>
      <c r="AW5" s="174">
        <v>14950</v>
      </c>
    </row>
    <row r="6" spans="1:49" ht="15" x14ac:dyDescent="0.25">
      <c r="A6" s="149">
        <v>15</v>
      </c>
      <c r="B6" s="148" t="s">
        <v>1234</v>
      </c>
      <c r="C6" s="161">
        <v>0</v>
      </c>
      <c r="D6" s="147" t="s">
        <v>451</v>
      </c>
      <c r="E6" s="172">
        <v>0</v>
      </c>
      <c r="F6" s="172">
        <v>0</v>
      </c>
      <c r="G6" s="172">
        <v>1</v>
      </c>
      <c r="H6" s="172">
        <v>1105</v>
      </c>
      <c r="I6" s="174">
        <v>1105</v>
      </c>
      <c r="J6" s="172">
        <v>0</v>
      </c>
      <c r="K6" s="172">
        <v>0</v>
      </c>
      <c r="L6" s="172">
        <v>0</v>
      </c>
      <c r="M6" s="172">
        <v>0</v>
      </c>
      <c r="N6" s="174">
        <v>0</v>
      </c>
      <c r="O6" s="172">
        <v>0</v>
      </c>
      <c r="P6" s="172">
        <v>0</v>
      </c>
      <c r="Q6" s="172">
        <v>0</v>
      </c>
      <c r="R6" s="172">
        <v>0</v>
      </c>
      <c r="S6" s="174">
        <v>0</v>
      </c>
      <c r="T6" s="172">
        <v>0</v>
      </c>
      <c r="U6" s="172">
        <v>0</v>
      </c>
      <c r="V6" s="172">
        <v>0</v>
      </c>
      <c r="W6" s="172">
        <v>0</v>
      </c>
      <c r="X6" s="174">
        <v>0</v>
      </c>
      <c r="Y6" s="172">
        <v>0</v>
      </c>
      <c r="Z6" s="172">
        <v>0</v>
      </c>
      <c r="AA6" s="172">
        <v>0.1</v>
      </c>
      <c r="AB6" s="172">
        <v>130</v>
      </c>
      <c r="AC6" s="174">
        <v>0</v>
      </c>
      <c r="AD6" s="172">
        <v>0</v>
      </c>
      <c r="AE6" s="172">
        <v>0</v>
      </c>
      <c r="AF6" s="172">
        <v>0.1</v>
      </c>
      <c r="AG6" s="172">
        <v>130</v>
      </c>
      <c r="AH6" s="174">
        <v>0</v>
      </c>
      <c r="AI6" s="172">
        <v>0</v>
      </c>
      <c r="AJ6" s="172">
        <v>0</v>
      </c>
      <c r="AK6" s="172">
        <v>0.9</v>
      </c>
      <c r="AL6" s="172">
        <v>910</v>
      </c>
      <c r="AM6" s="174">
        <v>0</v>
      </c>
      <c r="AN6" s="172">
        <v>0</v>
      </c>
      <c r="AO6" s="172">
        <v>0</v>
      </c>
      <c r="AP6" s="172">
        <v>1</v>
      </c>
      <c r="AQ6" s="172">
        <v>1105</v>
      </c>
      <c r="AR6" s="174">
        <v>0</v>
      </c>
      <c r="AS6" s="172">
        <v>0</v>
      </c>
      <c r="AT6" s="172">
        <v>0</v>
      </c>
      <c r="AU6" s="172">
        <v>1</v>
      </c>
      <c r="AV6" s="172">
        <v>1105</v>
      </c>
      <c r="AW6" s="174">
        <v>0</v>
      </c>
    </row>
    <row r="7" spans="1:49" ht="17.25" x14ac:dyDescent="0.25">
      <c r="A7" s="149">
        <v>21</v>
      </c>
      <c r="B7" s="148" t="s">
        <v>1235</v>
      </c>
      <c r="C7" s="161">
        <v>2350</v>
      </c>
      <c r="D7" s="147" t="s">
        <v>1236</v>
      </c>
      <c r="E7" s="172">
        <v>4482</v>
      </c>
      <c r="F7" s="172">
        <v>1.9072340425531915</v>
      </c>
      <c r="G7" s="172">
        <v>2350</v>
      </c>
      <c r="H7" s="172">
        <v>12096</v>
      </c>
      <c r="I7" s="174">
        <v>5.1472340425531913</v>
      </c>
      <c r="J7" s="172">
        <v>500</v>
      </c>
      <c r="K7" s="172">
        <v>953.61702127659578</v>
      </c>
      <c r="L7" s="172">
        <v>0</v>
      </c>
      <c r="M7" s="172">
        <v>0</v>
      </c>
      <c r="N7" s="174">
        <v>0</v>
      </c>
      <c r="O7" s="172">
        <v>2350</v>
      </c>
      <c r="P7" s="172">
        <v>4482</v>
      </c>
      <c r="Q7" s="172">
        <v>1750</v>
      </c>
      <c r="R7" s="172">
        <v>9101.3700000000026</v>
      </c>
      <c r="S7" s="174">
        <v>3337.6595744680849</v>
      </c>
      <c r="T7" s="172">
        <v>2350</v>
      </c>
      <c r="U7" s="172">
        <v>4482</v>
      </c>
      <c r="V7" s="172">
        <v>1750</v>
      </c>
      <c r="W7" s="172">
        <v>9101.3700000000026</v>
      </c>
      <c r="X7" s="174">
        <v>3337.6595744680849</v>
      </c>
      <c r="Y7" s="172">
        <v>2350</v>
      </c>
      <c r="Z7" s="172">
        <v>4482</v>
      </c>
      <c r="AA7" s="172">
        <v>2200</v>
      </c>
      <c r="AB7" s="172">
        <v>11312.405000000002</v>
      </c>
      <c r="AC7" s="174">
        <v>4195.9148936170213</v>
      </c>
      <c r="AD7" s="172">
        <v>2350</v>
      </c>
      <c r="AE7" s="172">
        <v>4482</v>
      </c>
      <c r="AF7" s="172">
        <v>2350</v>
      </c>
      <c r="AG7" s="172">
        <v>12095.585000000003</v>
      </c>
      <c r="AH7" s="174">
        <v>4482</v>
      </c>
      <c r="AI7" s="172">
        <v>2350</v>
      </c>
      <c r="AJ7" s="172">
        <v>4482</v>
      </c>
      <c r="AK7" s="172">
        <v>2350</v>
      </c>
      <c r="AL7" s="172">
        <v>12095.585000000003</v>
      </c>
      <c r="AM7" s="174">
        <v>4482</v>
      </c>
      <c r="AN7" s="172">
        <v>2350</v>
      </c>
      <c r="AO7" s="172">
        <v>4482</v>
      </c>
      <c r="AP7" s="172">
        <v>2350</v>
      </c>
      <c r="AQ7" s="172">
        <v>12095.585000000003</v>
      </c>
      <c r="AR7" s="174">
        <v>4482</v>
      </c>
      <c r="AS7" s="172">
        <v>2350</v>
      </c>
      <c r="AT7" s="172">
        <v>4482</v>
      </c>
      <c r="AU7" s="172">
        <v>2350</v>
      </c>
      <c r="AV7" s="172">
        <v>12095.585000000003</v>
      </c>
      <c r="AW7" s="174">
        <v>4482</v>
      </c>
    </row>
    <row r="8" spans="1:49" ht="15" x14ac:dyDescent="0.25">
      <c r="A8" s="149">
        <v>22</v>
      </c>
      <c r="B8" s="148" t="s">
        <v>1237</v>
      </c>
      <c r="C8" s="161">
        <v>14033</v>
      </c>
      <c r="D8" s="147" t="s">
        <v>451</v>
      </c>
      <c r="E8" s="172">
        <v>8832</v>
      </c>
      <c r="F8" s="172">
        <v>0.62937361932587477</v>
      </c>
      <c r="G8" s="172">
        <v>0</v>
      </c>
      <c r="H8" s="172">
        <v>0</v>
      </c>
      <c r="I8" s="174">
        <v>0</v>
      </c>
      <c r="J8" s="172">
        <v>4500</v>
      </c>
      <c r="K8" s="172">
        <v>2832.1812869664363</v>
      </c>
      <c r="L8" s="172">
        <v>0</v>
      </c>
      <c r="M8" s="172">
        <v>0</v>
      </c>
      <c r="N8" s="174">
        <v>0</v>
      </c>
      <c r="O8" s="172">
        <v>14033</v>
      </c>
      <c r="P8" s="172">
        <v>8832</v>
      </c>
      <c r="Q8" s="172">
        <v>0</v>
      </c>
      <c r="R8" s="172">
        <v>0</v>
      </c>
      <c r="S8" s="174">
        <v>0</v>
      </c>
      <c r="T8" s="172">
        <v>14033</v>
      </c>
      <c r="U8" s="172">
        <v>8832</v>
      </c>
      <c r="V8" s="172">
        <v>0</v>
      </c>
      <c r="W8" s="172">
        <v>0</v>
      </c>
      <c r="X8" s="174">
        <v>0</v>
      </c>
      <c r="Y8" s="172">
        <v>14033</v>
      </c>
      <c r="Z8" s="172">
        <v>8832</v>
      </c>
      <c r="AA8" s="172">
        <v>0</v>
      </c>
      <c r="AB8" s="172">
        <v>0</v>
      </c>
      <c r="AC8" s="174">
        <v>8268.2553191489369</v>
      </c>
      <c r="AD8" s="172">
        <v>14033</v>
      </c>
      <c r="AE8" s="172">
        <v>8832</v>
      </c>
      <c r="AF8" s="172">
        <v>0</v>
      </c>
      <c r="AG8" s="172">
        <v>0</v>
      </c>
      <c r="AH8" s="174">
        <v>8832</v>
      </c>
      <c r="AI8" s="172">
        <v>14033</v>
      </c>
      <c r="AJ8" s="172">
        <v>8832</v>
      </c>
      <c r="AK8" s="172">
        <v>0</v>
      </c>
      <c r="AL8" s="172">
        <v>0</v>
      </c>
      <c r="AM8" s="174">
        <v>8832</v>
      </c>
      <c r="AN8" s="172">
        <v>14033</v>
      </c>
      <c r="AO8" s="172">
        <v>8832</v>
      </c>
      <c r="AP8" s="172">
        <v>0</v>
      </c>
      <c r="AQ8" s="172">
        <v>0</v>
      </c>
      <c r="AR8" s="174">
        <v>8832</v>
      </c>
      <c r="AS8" s="172">
        <v>14033</v>
      </c>
      <c r="AT8" s="172">
        <v>8832</v>
      </c>
      <c r="AU8" s="172">
        <v>0</v>
      </c>
      <c r="AV8" s="172">
        <v>0</v>
      </c>
      <c r="AW8" s="174">
        <v>8832</v>
      </c>
    </row>
    <row r="9" spans="1:49" ht="15" x14ac:dyDescent="0.25">
      <c r="A9" s="149">
        <v>23</v>
      </c>
      <c r="B9" s="148" t="s">
        <v>1238</v>
      </c>
      <c r="C9" s="161">
        <v>14033</v>
      </c>
      <c r="D9" s="147" t="s">
        <v>451</v>
      </c>
      <c r="E9" s="172">
        <v>7000</v>
      </c>
      <c r="F9" s="172">
        <v>0.49882420009976486</v>
      </c>
      <c r="G9" s="172">
        <v>0</v>
      </c>
      <c r="H9" s="172">
        <v>0</v>
      </c>
      <c r="I9" s="174">
        <v>0</v>
      </c>
      <c r="J9" s="172">
        <v>0</v>
      </c>
      <c r="K9" s="172">
        <v>0</v>
      </c>
      <c r="L9" s="172">
        <v>0</v>
      </c>
      <c r="M9" s="172">
        <v>0</v>
      </c>
      <c r="N9" s="174">
        <v>0</v>
      </c>
      <c r="O9" s="172">
        <v>0</v>
      </c>
      <c r="P9" s="172">
        <v>0</v>
      </c>
      <c r="Q9" s="172">
        <v>0</v>
      </c>
      <c r="R9" s="172">
        <v>0</v>
      </c>
      <c r="S9" s="174">
        <v>0</v>
      </c>
      <c r="T9" s="172">
        <v>14033</v>
      </c>
      <c r="U9" s="172">
        <v>7000</v>
      </c>
      <c r="V9" s="172">
        <v>0</v>
      </c>
      <c r="W9" s="172">
        <v>0</v>
      </c>
      <c r="X9" s="174">
        <v>0</v>
      </c>
      <c r="Y9" s="172">
        <v>14033</v>
      </c>
      <c r="Z9" s="172">
        <v>7000</v>
      </c>
      <c r="AA9" s="172">
        <v>0</v>
      </c>
      <c r="AB9" s="172">
        <v>0</v>
      </c>
      <c r="AC9" s="174">
        <v>0</v>
      </c>
      <c r="AD9" s="172">
        <v>14033</v>
      </c>
      <c r="AE9" s="172">
        <v>7000</v>
      </c>
      <c r="AF9" s="172">
        <v>0</v>
      </c>
      <c r="AG9" s="172">
        <v>0</v>
      </c>
      <c r="AH9" s="174">
        <v>7000</v>
      </c>
      <c r="AI9" s="172">
        <v>14033</v>
      </c>
      <c r="AJ9" s="172">
        <v>7000</v>
      </c>
      <c r="AK9" s="172">
        <v>0</v>
      </c>
      <c r="AL9" s="172">
        <v>0</v>
      </c>
      <c r="AM9" s="174">
        <v>7000</v>
      </c>
      <c r="AN9" s="172">
        <v>14033</v>
      </c>
      <c r="AO9" s="172">
        <v>7000</v>
      </c>
      <c r="AP9" s="172">
        <v>0</v>
      </c>
      <c r="AQ9" s="172">
        <v>0</v>
      </c>
      <c r="AR9" s="174">
        <v>7000</v>
      </c>
      <c r="AS9" s="172">
        <v>14033</v>
      </c>
      <c r="AT9" s="172">
        <v>7000</v>
      </c>
      <c r="AU9" s="172">
        <v>0</v>
      </c>
      <c r="AV9" s="172">
        <v>0</v>
      </c>
      <c r="AW9" s="174">
        <v>7000</v>
      </c>
    </row>
    <row r="10" spans="1:49" ht="17.25" x14ac:dyDescent="0.25">
      <c r="A10" s="149">
        <v>31</v>
      </c>
      <c r="B10" s="148" t="s">
        <v>1239</v>
      </c>
      <c r="C10" s="161">
        <v>1151</v>
      </c>
      <c r="D10" s="147" t="s">
        <v>1236</v>
      </c>
      <c r="E10" s="172">
        <v>9869.8250000000007</v>
      </c>
      <c r="F10" s="172">
        <v>8.5750000000000011</v>
      </c>
      <c r="G10" s="172">
        <v>1151</v>
      </c>
      <c r="H10" s="172">
        <v>17447</v>
      </c>
      <c r="I10" s="174">
        <v>15.158123370981755</v>
      </c>
      <c r="J10" s="172">
        <v>500</v>
      </c>
      <c r="K10" s="172">
        <v>4287.5000000000009</v>
      </c>
      <c r="L10" s="172">
        <v>0</v>
      </c>
      <c r="M10" s="172">
        <v>0</v>
      </c>
      <c r="N10" s="174">
        <v>0</v>
      </c>
      <c r="O10" s="172">
        <v>1151</v>
      </c>
      <c r="P10" s="172">
        <v>9869.8250000000007</v>
      </c>
      <c r="Q10" s="172">
        <v>850</v>
      </c>
      <c r="R10" s="172">
        <v>13286.15</v>
      </c>
      <c r="S10" s="174">
        <v>7288.7500000000009</v>
      </c>
      <c r="T10" s="172">
        <v>1151</v>
      </c>
      <c r="U10" s="172">
        <v>9869.8250000000007</v>
      </c>
      <c r="V10" s="172">
        <v>850</v>
      </c>
      <c r="W10" s="172">
        <v>13286.15</v>
      </c>
      <c r="X10" s="174">
        <v>7288.7500000000009</v>
      </c>
      <c r="Y10" s="172">
        <v>1151</v>
      </c>
      <c r="Z10" s="172">
        <v>9869.8250000000007</v>
      </c>
      <c r="AA10" s="172">
        <v>1050</v>
      </c>
      <c r="AB10" s="172">
        <v>16303.484999999999</v>
      </c>
      <c r="AC10" s="174">
        <v>9003.7500000000018</v>
      </c>
      <c r="AD10" s="172">
        <v>1151</v>
      </c>
      <c r="AE10" s="172">
        <v>9869.8250000000007</v>
      </c>
      <c r="AF10" s="172">
        <v>1151</v>
      </c>
      <c r="AG10" s="172">
        <v>17446.664999999997</v>
      </c>
      <c r="AH10" s="174">
        <v>9869.8250000000007</v>
      </c>
      <c r="AI10" s="172">
        <v>1151</v>
      </c>
      <c r="AJ10" s="172">
        <v>9869.8250000000007</v>
      </c>
      <c r="AK10" s="172">
        <v>1151</v>
      </c>
      <c r="AL10" s="172">
        <v>17446.664999999997</v>
      </c>
      <c r="AM10" s="174">
        <v>9869.8250000000007</v>
      </c>
      <c r="AN10" s="172">
        <v>1151</v>
      </c>
      <c r="AO10" s="172">
        <v>9869.8250000000007</v>
      </c>
      <c r="AP10" s="172">
        <v>1151</v>
      </c>
      <c r="AQ10" s="172">
        <v>17446.664999999997</v>
      </c>
      <c r="AR10" s="174">
        <v>9869.8250000000007</v>
      </c>
      <c r="AS10" s="172">
        <v>1151</v>
      </c>
      <c r="AT10" s="172">
        <v>9869.8250000000007</v>
      </c>
      <c r="AU10" s="172">
        <v>1151</v>
      </c>
      <c r="AV10" s="172">
        <v>17446.664999999997</v>
      </c>
      <c r="AW10" s="174">
        <v>9869.8250000000007</v>
      </c>
    </row>
    <row r="11" spans="1:49" ht="17.25" x14ac:dyDescent="0.25">
      <c r="A11" s="149">
        <v>32</v>
      </c>
      <c r="B11" s="148" t="s">
        <v>1240</v>
      </c>
      <c r="C11" s="161">
        <v>27</v>
      </c>
      <c r="D11" s="147" t="s">
        <v>1236</v>
      </c>
      <c r="E11" s="172">
        <v>353.02499999999998</v>
      </c>
      <c r="F11" s="172">
        <v>13.074999999999999</v>
      </c>
      <c r="G11" s="172">
        <v>0</v>
      </c>
      <c r="H11" s="172">
        <v>0</v>
      </c>
      <c r="I11" s="174">
        <v>0</v>
      </c>
      <c r="J11" s="172">
        <v>0</v>
      </c>
      <c r="K11" s="172">
        <v>0</v>
      </c>
      <c r="L11" s="172">
        <v>0</v>
      </c>
      <c r="M11" s="172">
        <v>0</v>
      </c>
      <c r="N11" s="174">
        <v>0</v>
      </c>
      <c r="O11" s="172">
        <v>27</v>
      </c>
      <c r="P11" s="172">
        <v>353.02499999999998</v>
      </c>
      <c r="Q11" s="172">
        <v>0</v>
      </c>
      <c r="R11" s="172">
        <v>0</v>
      </c>
      <c r="S11" s="174">
        <v>0</v>
      </c>
      <c r="T11" s="172">
        <v>27</v>
      </c>
      <c r="U11" s="172">
        <v>353.02499999999998</v>
      </c>
      <c r="V11" s="172">
        <v>0</v>
      </c>
      <c r="W11" s="172">
        <v>0</v>
      </c>
      <c r="X11" s="174">
        <v>0</v>
      </c>
      <c r="Y11" s="172">
        <v>27</v>
      </c>
      <c r="Z11" s="172">
        <v>353.02499999999998</v>
      </c>
      <c r="AA11" s="172">
        <v>0</v>
      </c>
      <c r="AB11" s="172">
        <v>0</v>
      </c>
      <c r="AC11" s="174">
        <v>0</v>
      </c>
      <c r="AD11" s="172">
        <v>27</v>
      </c>
      <c r="AE11" s="172">
        <v>353.02499999999998</v>
      </c>
      <c r="AF11" s="172">
        <v>0</v>
      </c>
      <c r="AG11" s="172">
        <v>0</v>
      </c>
      <c r="AH11" s="174">
        <v>353.02499999999998</v>
      </c>
      <c r="AI11" s="172">
        <v>27</v>
      </c>
      <c r="AJ11" s="172">
        <v>353.02499999999998</v>
      </c>
      <c r="AK11" s="172">
        <v>0</v>
      </c>
      <c r="AL11" s="172">
        <v>0</v>
      </c>
      <c r="AM11" s="174">
        <v>353.02499999999998</v>
      </c>
      <c r="AN11" s="172">
        <v>27</v>
      </c>
      <c r="AO11" s="172">
        <v>353.02499999999998</v>
      </c>
      <c r="AP11" s="172">
        <v>0</v>
      </c>
      <c r="AQ11" s="172">
        <v>0</v>
      </c>
      <c r="AR11" s="174">
        <v>353.02499999999998</v>
      </c>
      <c r="AS11" s="172">
        <v>27</v>
      </c>
      <c r="AT11" s="172">
        <v>353.02499999999998</v>
      </c>
      <c r="AU11" s="172">
        <v>0</v>
      </c>
      <c r="AV11" s="172">
        <v>0</v>
      </c>
      <c r="AW11" s="174">
        <v>353.02499999999998</v>
      </c>
    </row>
    <row r="12" spans="1:49" ht="17.25" x14ac:dyDescent="0.25">
      <c r="A12" s="149">
        <v>33</v>
      </c>
      <c r="B12" s="148" t="s">
        <v>1241</v>
      </c>
      <c r="C12" s="161">
        <v>389</v>
      </c>
      <c r="D12" s="147" t="s">
        <v>1236</v>
      </c>
      <c r="E12" s="172">
        <v>5539.36</v>
      </c>
      <c r="F12" s="172">
        <v>14.239999999999998</v>
      </c>
      <c r="G12" s="172">
        <v>389</v>
      </c>
      <c r="H12" s="172">
        <v>14500</v>
      </c>
      <c r="I12" s="174">
        <v>37.275064267352185</v>
      </c>
      <c r="J12" s="172">
        <v>0</v>
      </c>
      <c r="K12" s="172">
        <v>0</v>
      </c>
      <c r="L12" s="172">
        <v>0</v>
      </c>
      <c r="M12" s="172">
        <v>0</v>
      </c>
      <c r="N12" s="174">
        <v>0</v>
      </c>
      <c r="O12" s="172">
        <v>0</v>
      </c>
      <c r="P12" s="172">
        <v>0</v>
      </c>
      <c r="Q12" s="172">
        <v>0</v>
      </c>
      <c r="R12" s="172">
        <v>0</v>
      </c>
      <c r="S12" s="174">
        <v>0</v>
      </c>
      <c r="T12" s="172">
        <v>0</v>
      </c>
      <c r="U12" s="172">
        <v>0</v>
      </c>
      <c r="V12" s="172">
        <v>0</v>
      </c>
      <c r="W12" s="172">
        <v>0</v>
      </c>
      <c r="X12" s="174">
        <v>0</v>
      </c>
      <c r="Y12" s="172">
        <v>0</v>
      </c>
      <c r="Z12" s="172">
        <v>0</v>
      </c>
      <c r="AA12" s="172">
        <v>0</v>
      </c>
      <c r="AB12" s="172">
        <v>0</v>
      </c>
      <c r="AC12" s="174">
        <v>0</v>
      </c>
      <c r="AD12" s="172">
        <v>0</v>
      </c>
      <c r="AE12" s="172">
        <v>0</v>
      </c>
      <c r="AF12" s="172">
        <v>100</v>
      </c>
      <c r="AG12" s="172">
        <v>4051.7299999999996</v>
      </c>
      <c r="AH12" s="174">
        <v>1423.9999999999998</v>
      </c>
      <c r="AI12" s="172">
        <v>389</v>
      </c>
      <c r="AJ12" s="172">
        <v>5539.36</v>
      </c>
      <c r="AK12" s="172">
        <v>325</v>
      </c>
      <c r="AL12" s="172">
        <v>12235.91</v>
      </c>
      <c r="AM12" s="174">
        <v>4628</v>
      </c>
      <c r="AN12" s="172">
        <v>389</v>
      </c>
      <c r="AO12" s="172">
        <v>5539.36</v>
      </c>
      <c r="AP12" s="172">
        <v>389</v>
      </c>
      <c r="AQ12" s="172">
        <v>14500.110000000004</v>
      </c>
      <c r="AR12" s="174">
        <v>5539.36</v>
      </c>
      <c r="AS12" s="172">
        <v>389</v>
      </c>
      <c r="AT12" s="172">
        <v>5539.36</v>
      </c>
      <c r="AU12" s="172">
        <v>389</v>
      </c>
      <c r="AV12" s="172">
        <v>14500.110000000004</v>
      </c>
      <c r="AW12" s="174">
        <v>5539.36</v>
      </c>
    </row>
    <row r="13" spans="1:49" ht="15" x14ac:dyDescent="0.25">
      <c r="A13" s="149">
        <v>41</v>
      </c>
      <c r="B13" s="148" t="s">
        <v>1242</v>
      </c>
      <c r="C13" s="161">
        <v>1</v>
      </c>
      <c r="D13" s="147" t="s">
        <v>1233</v>
      </c>
      <c r="E13" s="172">
        <v>29059.425016931356</v>
      </c>
      <c r="F13" s="172">
        <v>29059.425016931356</v>
      </c>
      <c r="G13" s="172">
        <v>1</v>
      </c>
      <c r="H13" s="172">
        <v>13911</v>
      </c>
      <c r="I13" s="174">
        <v>13911</v>
      </c>
      <c r="J13" s="172">
        <v>0</v>
      </c>
      <c r="K13" s="172">
        <v>0</v>
      </c>
      <c r="L13" s="172">
        <v>0</v>
      </c>
      <c r="M13" s="172">
        <v>0</v>
      </c>
      <c r="N13" s="174">
        <v>0</v>
      </c>
      <c r="O13" s="172">
        <v>0</v>
      </c>
      <c r="P13" s="172">
        <v>0</v>
      </c>
      <c r="Q13" s="172">
        <v>0</v>
      </c>
      <c r="R13" s="172">
        <v>0</v>
      </c>
      <c r="S13" s="174">
        <v>0</v>
      </c>
      <c r="T13" s="172">
        <v>0.25</v>
      </c>
      <c r="U13" s="172">
        <v>7264.8562542328391</v>
      </c>
      <c r="V13" s="172">
        <v>0</v>
      </c>
      <c r="W13" s="172">
        <v>0</v>
      </c>
      <c r="X13" s="174">
        <v>0</v>
      </c>
      <c r="Y13" s="172">
        <v>0.5</v>
      </c>
      <c r="Z13" s="172">
        <v>14529.712508465678</v>
      </c>
      <c r="AA13" s="172">
        <v>0.6</v>
      </c>
      <c r="AB13" s="172">
        <v>8267.7350000000006</v>
      </c>
      <c r="AC13" s="174">
        <v>17435.655010158815</v>
      </c>
      <c r="AD13" s="172">
        <v>0.75</v>
      </c>
      <c r="AE13" s="172">
        <v>21794.568762698516</v>
      </c>
      <c r="AF13" s="172">
        <v>0.65</v>
      </c>
      <c r="AG13" s="172">
        <v>9050.6750000000011</v>
      </c>
      <c r="AH13" s="174">
        <v>18888.626261005382</v>
      </c>
      <c r="AI13" s="172">
        <v>1</v>
      </c>
      <c r="AJ13" s="172">
        <v>29059.425016931356</v>
      </c>
      <c r="AK13" s="172">
        <v>1</v>
      </c>
      <c r="AL13" s="172">
        <v>13910.675000000001</v>
      </c>
      <c r="AM13" s="174">
        <v>29059.425016931356</v>
      </c>
      <c r="AN13" s="172">
        <v>1</v>
      </c>
      <c r="AO13" s="172">
        <v>29059.425016931356</v>
      </c>
      <c r="AP13" s="172">
        <v>1</v>
      </c>
      <c r="AQ13" s="172">
        <v>13910.675000000001</v>
      </c>
      <c r="AR13" s="174">
        <v>29059.425016931356</v>
      </c>
      <c r="AS13" s="172">
        <v>1</v>
      </c>
      <c r="AT13" s="172">
        <v>29059.425016931356</v>
      </c>
      <c r="AU13" s="172">
        <v>1</v>
      </c>
      <c r="AV13" s="172">
        <v>13910.675000000001</v>
      </c>
      <c r="AW13" s="174">
        <v>29059.425016931356</v>
      </c>
    </row>
    <row r="14" spans="1:49" ht="17.25" x14ac:dyDescent="0.25">
      <c r="A14" s="149">
        <v>51</v>
      </c>
      <c r="B14" s="148" t="s">
        <v>1243</v>
      </c>
      <c r="C14" s="161">
        <v>2848</v>
      </c>
      <c r="D14" s="147" t="s">
        <v>1236</v>
      </c>
      <c r="E14" s="172">
        <v>20085.73113573113</v>
      </c>
      <c r="F14" s="172">
        <v>7.0525741347370543</v>
      </c>
      <c r="G14" s="172">
        <v>2848</v>
      </c>
      <c r="H14" s="172">
        <v>49136</v>
      </c>
      <c r="I14" s="174">
        <v>17.252808988764045</v>
      </c>
      <c r="J14" s="172">
        <v>0</v>
      </c>
      <c r="K14" s="172">
        <v>0</v>
      </c>
      <c r="L14" s="172">
        <v>0</v>
      </c>
      <c r="M14" s="172">
        <v>0</v>
      </c>
      <c r="N14" s="174">
        <v>0</v>
      </c>
      <c r="O14" s="172">
        <v>0</v>
      </c>
      <c r="P14" s="172">
        <v>0</v>
      </c>
      <c r="Q14" s="172">
        <v>200</v>
      </c>
      <c r="R14" s="172">
        <v>2823.8999999999996</v>
      </c>
      <c r="S14" s="174">
        <v>1410.5148269474109</v>
      </c>
      <c r="T14" s="172">
        <v>0</v>
      </c>
      <c r="U14" s="172">
        <v>0</v>
      </c>
      <c r="V14" s="172">
        <v>200</v>
      </c>
      <c r="W14" s="172">
        <v>2823.8999999999996</v>
      </c>
      <c r="X14" s="174">
        <v>1410.5148269474109</v>
      </c>
      <c r="Y14" s="172">
        <v>1400</v>
      </c>
      <c r="Z14" s="172">
        <v>9873.6037886318754</v>
      </c>
      <c r="AA14" s="172">
        <v>1100</v>
      </c>
      <c r="AB14" s="172">
        <v>19971.644999999997</v>
      </c>
      <c r="AC14" s="174">
        <v>7757.83154821076</v>
      </c>
      <c r="AD14" s="172">
        <v>2848</v>
      </c>
      <c r="AE14" s="172">
        <v>20085.73113573113</v>
      </c>
      <c r="AF14" s="172">
        <v>2100</v>
      </c>
      <c r="AG14" s="172">
        <v>36896.174999999996</v>
      </c>
      <c r="AH14" s="174">
        <v>14810.405682947814</v>
      </c>
      <c r="AI14" s="172">
        <v>2848</v>
      </c>
      <c r="AJ14" s="172">
        <v>20085.73113573113</v>
      </c>
      <c r="AK14" s="172">
        <v>2848</v>
      </c>
      <c r="AL14" s="172">
        <v>49136.348999999987</v>
      </c>
      <c r="AM14" s="174">
        <v>20085.73113573113</v>
      </c>
      <c r="AN14" s="172">
        <v>2848</v>
      </c>
      <c r="AO14" s="172">
        <v>20085.73113573113</v>
      </c>
      <c r="AP14" s="172">
        <v>2848</v>
      </c>
      <c r="AQ14" s="172">
        <v>49136.348999999987</v>
      </c>
      <c r="AR14" s="174">
        <v>20085.73113573113</v>
      </c>
      <c r="AS14" s="172">
        <v>2848</v>
      </c>
      <c r="AT14" s="172">
        <v>20085.73113573113</v>
      </c>
      <c r="AU14" s="172">
        <v>2848</v>
      </c>
      <c r="AV14" s="172">
        <v>49136.348999999987</v>
      </c>
      <c r="AW14" s="174">
        <v>20085.73113573113</v>
      </c>
    </row>
    <row r="15" spans="1:49" ht="17.25" x14ac:dyDescent="0.25">
      <c r="A15" s="149">
        <v>52</v>
      </c>
      <c r="B15" s="148" t="s">
        <v>1244</v>
      </c>
      <c r="C15" s="161">
        <v>7508</v>
      </c>
      <c r="D15" s="147" t="s">
        <v>1236</v>
      </c>
      <c r="E15" s="172">
        <v>94981.437930343789</v>
      </c>
      <c r="F15" s="172">
        <v>12.650697646556178</v>
      </c>
      <c r="G15" s="172">
        <v>7508</v>
      </c>
      <c r="H15" s="172">
        <v>164871</v>
      </c>
      <c r="I15" s="174">
        <v>21.959376664890783</v>
      </c>
      <c r="J15" s="172">
        <v>0</v>
      </c>
      <c r="K15" s="172">
        <v>0</v>
      </c>
      <c r="L15" s="172">
        <v>0</v>
      </c>
      <c r="M15" s="172">
        <v>0</v>
      </c>
      <c r="N15" s="174">
        <v>0</v>
      </c>
      <c r="O15" s="172">
        <v>1000</v>
      </c>
      <c r="P15" s="172">
        <v>12650.697646556178</v>
      </c>
      <c r="Q15" s="172">
        <v>0</v>
      </c>
      <c r="R15" s="172">
        <v>1484</v>
      </c>
      <c r="S15" s="174">
        <v>0</v>
      </c>
      <c r="T15" s="172">
        <v>5000</v>
      </c>
      <c r="U15" s="172">
        <v>63253.488232780895</v>
      </c>
      <c r="V15" s="172">
        <v>3500</v>
      </c>
      <c r="W15" s="172">
        <v>87840.84500000003</v>
      </c>
      <c r="X15" s="174">
        <v>44277.441762946626</v>
      </c>
      <c r="Y15" s="172">
        <v>6000</v>
      </c>
      <c r="Z15" s="172">
        <v>75904.185879337077</v>
      </c>
      <c r="AA15" s="172">
        <v>5900</v>
      </c>
      <c r="AB15" s="172">
        <v>130649.97000000002</v>
      </c>
      <c r="AC15" s="174">
        <v>74639.116114681456</v>
      </c>
      <c r="AD15" s="172">
        <v>7508</v>
      </c>
      <c r="AE15" s="172">
        <v>94981.437930343789</v>
      </c>
      <c r="AF15" s="172">
        <v>7508</v>
      </c>
      <c r="AG15" s="172">
        <v>164870.93999999989</v>
      </c>
      <c r="AH15" s="174">
        <v>94981.437930343789</v>
      </c>
      <c r="AI15" s="172">
        <v>7508</v>
      </c>
      <c r="AJ15" s="172">
        <v>94981.437930343789</v>
      </c>
      <c r="AK15" s="172">
        <v>7508</v>
      </c>
      <c r="AL15" s="172">
        <v>164870.93999999989</v>
      </c>
      <c r="AM15" s="174">
        <v>94981.437930343789</v>
      </c>
      <c r="AN15" s="172">
        <v>7508</v>
      </c>
      <c r="AO15" s="172">
        <v>94981.437930343789</v>
      </c>
      <c r="AP15" s="172">
        <v>7508</v>
      </c>
      <c r="AQ15" s="172">
        <v>164870.93999999989</v>
      </c>
      <c r="AR15" s="174">
        <v>94981.437930343789</v>
      </c>
      <c r="AS15" s="172">
        <v>7508</v>
      </c>
      <c r="AT15" s="172">
        <v>94981.437930343789</v>
      </c>
      <c r="AU15" s="172">
        <v>7508</v>
      </c>
      <c r="AV15" s="172">
        <v>164870.93999999989</v>
      </c>
      <c r="AW15" s="174">
        <v>94981.437930343789</v>
      </c>
    </row>
    <row r="16" spans="1:49" ht="17.25" x14ac:dyDescent="0.25">
      <c r="A16" s="149">
        <v>53</v>
      </c>
      <c r="B16" s="148" t="s">
        <v>1245</v>
      </c>
      <c r="C16" s="161">
        <v>2052</v>
      </c>
      <c r="D16" s="147" t="s">
        <v>1236</v>
      </c>
      <c r="E16" s="172">
        <v>33153.158333333333</v>
      </c>
      <c r="F16" s="172">
        <v>16.15650990903184</v>
      </c>
      <c r="G16" s="172">
        <v>2052</v>
      </c>
      <c r="H16" s="172">
        <v>11630</v>
      </c>
      <c r="I16" s="174">
        <v>5.6676413255360627</v>
      </c>
      <c r="J16" s="172">
        <v>0</v>
      </c>
      <c r="K16" s="172">
        <v>0</v>
      </c>
      <c r="L16" s="172">
        <v>0</v>
      </c>
      <c r="M16" s="172">
        <v>0</v>
      </c>
      <c r="N16" s="174">
        <v>0</v>
      </c>
      <c r="O16" s="172">
        <v>0</v>
      </c>
      <c r="P16" s="172">
        <v>0</v>
      </c>
      <c r="Q16" s="172">
        <v>0</v>
      </c>
      <c r="R16" s="172">
        <v>0</v>
      </c>
      <c r="S16" s="174">
        <v>0</v>
      </c>
      <c r="T16" s="172">
        <v>500</v>
      </c>
      <c r="U16" s="172">
        <v>8078.25495451592</v>
      </c>
      <c r="V16" s="172">
        <v>10</v>
      </c>
      <c r="W16" s="172">
        <v>317.56</v>
      </c>
      <c r="X16" s="174">
        <v>161.56509909031837</v>
      </c>
      <c r="Y16" s="172">
        <v>1500</v>
      </c>
      <c r="Z16" s="172">
        <v>24234.76486354776</v>
      </c>
      <c r="AA16" s="172">
        <v>0</v>
      </c>
      <c r="AB16" s="172">
        <v>317.56</v>
      </c>
      <c r="AC16" s="174">
        <v>0</v>
      </c>
      <c r="AD16" s="172">
        <v>2052</v>
      </c>
      <c r="AE16" s="172">
        <v>33153.158333333333</v>
      </c>
      <c r="AF16" s="172">
        <v>645</v>
      </c>
      <c r="AG16" s="172">
        <v>3858.56</v>
      </c>
      <c r="AH16" s="174">
        <v>10420.948891325535</v>
      </c>
      <c r="AI16" s="172">
        <v>2052</v>
      </c>
      <c r="AJ16" s="172">
        <v>33153.158333333333</v>
      </c>
      <c r="AK16" s="172">
        <v>2052</v>
      </c>
      <c r="AL16" s="172">
        <v>11630.28</v>
      </c>
      <c r="AM16" s="174">
        <v>33153.158333333333</v>
      </c>
      <c r="AN16" s="172">
        <v>2052</v>
      </c>
      <c r="AO16" s="172">
        <v>33153.158333333333</v>
      </c>
      <c r="AP16" s="172">
        <v>2052</v>
      </c>
      <c r="AQ16" s="172">
        <v>11630.28</v>
      </c>
      <c r="AR16" s="174">
        <v>33153.158333333333</v>
      </c>
      <c r="AS16" s="172">
        <v>2052</v>
      </c>
      <c r="AT16" s="172">
        <v>33153.158333333333</v>
      </c>
      <c r="AU16" s="172">
        <v>2052</v>
      </c>
      <c r="AV16" s="172">
        <v>11630.28</v>
      </c>
      <c r="AW16" s="174">
        <v>33153.158333333333</v>
      </c>
    </row>
    <row r="17" spans="1:49" ht="17.25" x14ac:dyDescent="0.25">
      <c r="A17" s="149">
        <v>57</v>
      </c>
      <c r="B17" s="148" t="s">
        <v>1246</v>
      </c>
      <c r="C17" s="161">
        <v>473</v>
      </c>
      <c r="D17" s="147" t="s">
        <v>1236</v>
      </c>
      <c r="E17" s="172">
        <v>27999.423164154894</v>
      </c>
      <c r="F17" s="172">
        <v>59.195397810052633</v>
      </c>
      <c r="G17" s="172">
        <v>473</v>
      </c>
      <c r="H17" s="172">
        <v>29372</v>
      </c>
      <c r="I17" s="174">
        <v>62.097251585623681</v>
      </c>
      <c r="J17" s="172">
        <v>0</v>
      </c>
      <c r="K17" s="172">
        <v>0</v>
      </c>
      <c r="L17" s="172">
        <v>0</v>
      </c>
      <c r="M17" s="172">
        <v>0</v>
      </c>
      <c r="N17" s="174">
        <v>0</v>
      </c>
      <c r="O17" s="172">
        <v>0</v>
      </c>
      <c r="P17" s="172">
        <v>0</v>
      </c>
      <c r="Q17" s="172">
        <v>0</v>
      </c>
      <c r="R17" s="172">
        <v>0</v>
      </c>
      <c r="S17" s="174">
        <v>0</v>
      </c>
      <c r="T17" s="172">
        <v>200</v>
      </c>
      <c r="U17" s="172">
        <v>11839.079562010527</v>
      </c>
      <c r="V17" s="172">
        <v>90</v>
      </c>
      <c r="W17" s="172">
        <v>8333.5400000000009</v>
      </c>
      <c r="X17" s="174">
        <v>5327.5858029047367</v>
      </c>
      <c r="Y17" s="172">
        <v>473</v>
      </c>
      <c r="Z17" s="172">
        <v>27999.423164154894</v>
      </c>
      <c r="AA17" s="172">
        <v>330</v>
      </c>
      <c r="AB17" s="172">
        <v>29372.455000000002</v>
      </c>
      <c r="AC17" s="174">
        <v>19534.481277317369</v>
      </c>
      <c r="AD17" s="172">
        <v>473</v>
      </c>
      <c r="AE17" s="172">
        <v>27999.423164154894</v>
      </c>
      <c r="AF17" s="172">
        <v>460</v>
      </c>
      <c r="AG17" s="172">
        <v>40753.904999999984</v>
      </c>
      <c r="AH17" s="174">
        <v>27229.882992624211</v>
      </c>
      <c r="AI17" s="172">
        <v>473</v>
      </c>
      <c r="AJ17" s="172">
        <v>27999.423164154894</v>
      </c>
      <c r="AK17" s="172">
        <v>473</v>
      </c>
      <c r="AL17" s="172">
        <v>41783.659999999982</v>
      </c>
      <c r="AM17" s="174">
        <v>27999.423164154894</v>
      </c>
      <c r="AN17" s="172">
        <v>473</v>
      </c>
      <c r="AO17" s="172">
        <v>27999.423164154894</v>
      </c>
      <c r="AP17" s="172">
        <v>473</v>
      </c>
      <c r="AQ17" s="172">
        <v>41783.659999999982</v>
      </c>
      <c r="AR17" s="174">
        <v>27999.423164154894</v>
      </c>
      <c r="AS17" s="172">
        <v>473</v>
      </c>
      <c r="AT17" s="172">
        <v>27999.423164154894</v>
      </c>
      <c r="AU17" s="172">
        <v>473</v>
      </c>
      <c r="AV17" s="172">
        <v>41783.659999999982</v>
      </c>
      <c r="AW17" s="174">
        <v>27999.423164154894</v>
      </c>
    </row>
    <row r="18" spans="1:49" ht="17.25" x14ac:dyDescent="0.25">
      <c r="A18" s="149">
        <v>61</v>
      </c>
      <c r="B18" s="148" t="s">
        <v>1247</v>
      </c>
      <c r="C18" s="161">
        <v>22003</v>
      </c>
      <c r="D18" s="147" t="s">
        <v>1248</v>
      </c>
      <c r="E18" s="172">
        <v>44898.201269841258</v>
      </c>
      <c r="F18" s="172">
        <v>2.0405490737554541</v>
      </c>
      <c r="G18" s="172">
        <v>22003</v>
      </c>
      <c r="H18" s="172">
        <v>6723</v>
      </c>
      <c r="I18" s="174">
        <v>0.3055492432850066</v>
      </c>
      <c r="J18" s="172">
        <v>0</v>
      </c>
      <c r="K18" s="172">
        <v>0</v>
      </c>
      <c r="L18" s="172">
        <v>0</v>
      </c>
      <c r="M18" s="172">
        <v>0</v>
      </c>
      <c r="N18" s="174">
        <v>0</v>
      </c>
      <c r="O18" s="172">
        <v>2500</v>
      </c>
      <c r="P18" s="172">
        <v>5101.3726843886352</v>
      </c>
      <c r="Q18" s="172">
        <v>6000</v>
      </c>
      <c r="R18" s="172">
        <v>2730.24</v>
      </c>
      <c r="S18" s="174">
        <v>12243.294442532726</v>
      </c>
      <c r="T18" s="172">
        <v>6000</v>
      </c>
      <c r="U18" s="172">
        <v>12243.294442532724</v>
      </c>
      <c r="V18" s="172">
        <v>15000</v>
      </c>
      <c r="W18" s="172">
        <v>4354.0599999999995</v>
      </c>
      <c r="X18" s="174">
        <v>30608.236106331813</v>
      </c>
      <c r="Y18" s="172">
        <v>12500</v>
      </c>
      <c r="Z18" s="172">
        <v>25506.863421943177</v>
      </c>
      <c r="AA18" s="172">
        <v>14500</v>
      </c>
      <c r="AB18" s="172">
        <v>4354.0599999999995</v>
      </c>
      <c r="AC18" s="174">
        <v>29587.961569454084</v>
      </c>
      <c r="AD18" s="172">
        <v>22003</v>
      </c>
      <c r="AE18" s="172">
        <v>44898.201269841258</v>
      </c>
      <c r="AF18" s="172">
        <v>21000</v>
      </c>
      <c r="AG18" s="172">
        <v>6279.9199999999983</v>
      </c>
      <c r="AH18" s="174">
        <v>42851.530548864539</v>
      </c>
      <c r="AI18" s="172">
        <v>22003</v>
      </c>
      <c r="AJ18" s="172">
        <v>44898.201269841258</v>
      </c>
      <c r="AK18" s="172">
        <v>22003</v>
      </c>
      <c r="AL18" s="172">
        <v>6722.7199999999975</v>
      </c>
      <c r="AM18" s="174">
        <v>44898.201269841258</v>
      </c>
      <c r="AN18" s="172">
        <v>22003</v>
      </c>
      <c r="AO18" s="172">
        <v>44898.201269841258</v>
      </c>
      <c r="AP18" s="172">
        <v>22003</v>
      </c>
      <c r="AQ18" s="172">
        <v>6722.7199999999975</v>
      </c>
      <c r="AR18" s="174">
        <v>44898.201269841258</v>
      </c>
      <c r="AS18" s="172">
        <v>22003</v>
      </c>
      <c r="AT18" s="172">
        <v>44898.201269841258</v>
      </c>
      <c r="AU18" s="172">
        <v>22003</v>
      </c>
      <c r="AV18" s="172">
        <v>6722.7199999999975</v>
      </c>
      <c r="AW18" s="174">
        <v>44898.201269841258</v>
      </c>
    </row>
    <row r="19" spans="1:49" ht="15" x14ac:dyDescent="0.25">
      <c r="A19" s="149">
        <v>62</v>
      </c>
      <c r="B19" s="148" t="s">
        <v>1249</v>
      </c>
      <c r="C19" s="161">
        <v>7995</v>
      </c>
      <c r="D19" s="147" t="s">
        <v>64</v>
      </c>
      <c r="E19" s="172">
        <v>40636.323092648294</v>
      </c>
      <c r="F19" s="172">
        <v>5.0827170847590111</v>
      </c>
      <c r="G19" s="172">
        <v>5536</v>
      </c>
      <c r="H19" s="172">
        <v>91849</v>
      </c>
      <c r="I19" s="174">
        <v>16.591221098265898</v>
      </c>
      <c r="J19" s="172">
        <v>0</v>
      </c>
      <c r="K19" s="172">
        <v>0</v>
      </c>
      <c r="L19" s="172">
        <v>0</v>
      </c>
      <c r="M19" s="172">
        <v>0</v>
      </c>
      <c r="N19" s="174">
        <v>0</v>
      </c>
      <c r="O19" s="172">
        <v>0</v>
      </c>
      <c r="P19" s="172">
        <v>0</v>
      </c>
      <c r="Q19" s="172">
        <v>0</v>
      </c>
      <c r="R19" s="172">
        <v>0</v>
      </c>
      <c r="S19" s="174">
        <v>0</v>
      </c>
      <c r="T19" s="172">
        <v>2500</v>
      </c>
      <c r="U19" s="172">
        <v>12706.792711897528</v>
      </c>
      <c r="V19" s="172">
        <v>275</v>
      </c>
      <c r="W19" s="172">
        <v>4650.1800000000012</v>
      </c>
      <c r="X19" s="174">
        <v>2018.6034773262791</v>
      </c>
      <c r="Y19" s="172">
        <v>4000</v>
      </c>
      <c r="Z19" s="172">
        <v>20330.868339036046</v>
      </c>
      <c r="AA19" s="172">
        <v>1036</v>
      </c>
      <c r="AB19" s="172">
        <v>17611.695000000003</v>
      </c>
      <c r="AC19" s="174">
        <v>7604.6298273091825</v>
      </c>
      <c r="AD19" s="172">
        <v>7000</v>
      </c>
      <c r="AE19" s="172">
        <v>35579.019593313074</v>
      </c>
      <c r="AF19" s="172">
        <v>2423</v>
      </c>
      <c r="AG19" s="172">
        <v>48779.539999999986</v>
      </c>
      <c r="AH19" s="174">
        <v>17785.731729314815</v>
      </c>
      <c r="AI19" s="172">
        <v>7995</v>
      </c>
      <c r="AJ19" s="172">
        <v>40636.323092648294</v>
      </c>
      <c r="AK19" s="172">
        <v>5100</v>
      </c>
      <c r="AL19" s="172">
        <v>84713.124999999985</v>
      </c>
      <c r="AM19" s="174">
        <v>37435.919034050996</v>
      </c>
      <c r="AN19" s="172">
        <v>7995</v>
      </c>
      <c r="AO19" s="172">
        <v>40636.323092648294</v>
      </c>
      <c r="AP19" s="172">
        <v>5536</v>
      </c>
      <c r="AQ19" s="172">
        <v>91849.124999999985</v>
      </c>
      <c r="AR19" s="174">
        <v>40636.323092648294</v>
      </c>
      <c r="AS19" s="172">
        <v>7995</v>
      </c>
      <c r="AT19" s="172">
        <v>40636.323092648294</v>
      </c>
      <c r="AU19" s="172">
        <v>5536</v>
      </c>
      <c r="AV19" s="172">
        <v>91849.124999999985</v>
      </c>
      <c r="AW19" s="174">
        <v>40636.323092648294</v>
      </c>
    </row>
    <row r="20" spans="1:49" ht="17.25" x14ac:dyDescent="0.25">
      <c r="A20" s="149">
        <v>63</v>
      </c>
      <c r="B20" s="148" t="s">
        <v>1250</v>
      </c>
      <c r="C20" s="161">
        <v>18417</v>
      </c>
      <c r="D20" s="147" t="s">
        <v>1248</v>
      </c>
      <c r="E20" s="172">
        <v>45346.746666666666</v>
      </c>
      <c r="F20" s="172">
        <v>2.4622222222222221</v>
      </c>
      <c r="G20" s="172">
        <v>18417</v>
      </c>
      <c r="H20" s="172">
        <v>45940</v>
      </c>
      <c r="I20" s="174">
        <v>2.4944344898734863</v>
      </c>
      <c r="J20" s="172">
        <v>0</v>
      </c>
      <c r="K20" s="172">
        <v>0</v>
      </c>
      <c r="L20" s="172">
        <v>0</v>
      </c>
      <c r="M20" s="172">
        <v>0</v>
      </c>
      <c r="N20" s="174">
        <v>0</v>
      </c>
      <c r="O20" s="172">
        <v>0</v>
      </c>
      <c r="P20" s="172">
        <v>0</v>
      </c>
      <c r="Q20" s="172">
        <v>0</v>
      </c>
      <c r="R20" s="172">
        <v>78.78</v>
      </c>
      <c r="S20" s="174">
        <v>0</v>
      </c>
      <c r="T20" s="172">
        <v>3050</v>
      </c>
      <c r="U20" s="172">
        <v>7509.7777777777774</v>
      </c>
      <c r="V20" s="172">
        <v>2700</v>
      </c>
      <c r="W20" s="172">
        <v>6951.6649999999991</v>
      </c>
      <c r="X20" s="174">
        <v>6647.9999999999991</v>
      </c>
      <c r="Y20" s="172">
        <v>9000</v>
      </c>
      <c r="Z20" s="172">
        <v>22160</v>
      </c>
      <c r="AA20" s="172">
        <v>8460</v>
      </c>
      <c r="AB20" s="172">
        <v>21171.289999999994</v>
      </c>
      <c r="AC20" s="174">
        <v>20830.399999999998</v>
      </c>
      <c r="AD20" s="172">
        <v>14000</v>
      </c>
      <c r="AE20" s="172">
        <v>34471.111111111109</v>
      </c>
      <c r="AF20" s="172">
        <v>14350</v>
      </c>
      <c r="AG20" s="172">
        <v>35928.424999999974</v>
      </c>
      <c r="AH20" s="174">
        <v>35332.888888888883</v>
      </c>
      <c r="AI20" s="172">
        <v>18417</v>
      </c>
      <c r="AJ20" s="172">
        <v>45346.746666666666</v>
      </c>
      <c r="AK20" s="172">
        <v>18417</v>
      </c>
      <c r="AL20" s="172">
        <v>45939.65499999997</v>
      </c>
      <c r="AM20" s="174">
        <v>45346.746666666666</v>
      </c>
      <c r="AN20" s="172">
        <v>18417</v>
      </c>
      <c r="AO20" s="172">
        <v>45346.746666666666</v>
      </c>
      <c r="AP20" s="172">
        <v>18417</v>
      </c>
      <c r="AQ20" s="172">
        <v>45939.65499999997</v>
      </c>
      <c r="AR20" s="174">
        <v>45346.746666666666</v>
      </c>
      <c r="AS20" s="172">
        <v>18417</v>
      </c>
      <c r="AT20" s="172">
        <v>45346.746666666666</v>
      </c>
      <c r="AU20" s="172">
        <v>18417</v>
      </c>
      <c r="AV20" s="172">
        <v>45939.65499999997</v>
      </c>
      <c r="AW20" s="174">
        <v>45346.746666666666</v>
      </c>
    </row>
    <row r="21" spans="1:49" ht="17.25" x14ac:dyDescent="0.25">
      <c r="A21" s="149">
        <v>64</v>
      </c>
      <c r="B21" s="148" t="s">
        <v>1251</v>
      </c>
      <c r="C21" s="161">
        <v>14781</v>
      </c>
      <c r="D21" s="147" t="s">
        <v>1248</v>
      </c>
      <c r="E21" s="172">
        <v>69649.104500000001</v>
      </c>
      <c r="F21" s="172">
        <v>4.7120698531899059</v>
      </c>
      <c r="G21" s="172">
        <v>14781</v>
      </c>
      <c r="H21" s="172">
        <v>105958</v>
      </c>
      <c r="I21" s="174">
        <v>7.1685271632501184</v>
      </c>
      <c r="J21" s="172">
        <v>0</v>
      </c>
      <c r="K21" s="172">
        <v>0</v>
      </c>
      <c r="L21" s="172">
        <v>0</v>
      </c>
      <c r="M21" s="172">
        <v>0</v>
      </c>
      <c r="N21" s="174">
        <v>0</v>
      </c>
      <c r="O21" s="172">
        <v>0</v>
      </c>
      <c r="P21" s="172">
        <v>0</v>
      </c>
      <c r="Q21" s="172">
        <v>0</v>
      </c>
      <c r="R21" s="172">
        <v>0</v>
      </c>
      <c r="S21" s="174">
        <v>0</v>
      </c>
      <c r="T21" s="172">
        <v>3050</v>
      </c>
      <c r="U21" s="172">
        <v>14371.813052229212</v>
      </c>
      <c r="V21" s="172">
        <v>0</v>
      </c>
      <c r="W21" s="172">
        <v>0</v>
      </c>
      <c r="X21" s="174">
        <v>0</v>
      </c>
      <c r="Y21" s="172">
        <v>3050</v>
      </c>
      <c r="Z21" s="172">
        <v>14371.813052229212</v>
      </c>
      <c r="AA21" s="172">
        <v>3075</v>
      </c>
      <c r="AB21" s="172">
        <v>22054.747199999998</v>
      </c>
      <c r="AC21" s="174">
        <v>14489.61479855896</v>
      </c>
      <c r="AD21" s="172">
        <v>8200</v>
      </c>
      <c r="AE21" s="172">
        <v>38638.972796157228</v>
      </c>
      <c r="AF21" s="172">
        <v>8150</v>
      </c>
      <c r="AG21" s="172">
        <v>58444.747199999998</v>
      </c>
      <c r="AH21" s="174">
        <v>38403.369303497733</v>
      </c>
      <c r="AI21" s="172">
        <v>14781</v>
      </c>
      <c r="AJ21" s="172">
        <v>69649.104500000001</v>
      </c>
      <c r="AK21" s="172">
        <v>14781</v>
      </c>
      <c r="AL21" s="172">
        <v>105957.8072</v>
      </c>
      <c r="AM21" s="174">
        <v>69649.104500000001</v>
      </c>
      <c r="AN21" s="172">
        <v>14781</v>
      </c>
      <c r="AO21" s="172">
        <v>69649.104500000001</v>
      </c>
      <c r="AP21" s="172">
        <v>14781</v>
      </c>
      <c r="AQ21" s="172">
        <v>105957.8072</v>
      </c>
      <c r="AR21" s="174">
        <v>69649.104500000001</v>
      </c>
      <c r="AS21" s="172">
        <v>14781</v>
      </c>
      <c r="AT21" s="172">
        <v>69649.104500000001</v>
      </c>
      <c r="AU21" s="172">
        <v>14781</v>
      </c>
      <c r="AV21" s="172">
        <v>105957.8072</v>
      </c>
      <c r="AW21" s="174">
        <v>69649.104500000001</v>
      </c>
    </row>
    <row r="22" spans="1:49" ht="15" x14ac:dyDescent="0.25">
      <c r="A22" s="149">
        <v>65</v>
      </c>
      <c r="B22" s="148" t="s">
        <v>1252</v>
      </c>
      <c r="C22" s="161">
        <v>1369</v>
      </c>
      <c r="D22" s="147" t="s">
        <v>64</v>
      </c>
      <c r="E22" s="172">
        <v>392816.9</v>
      </c>
      <c r="F22" s="172">
        <v>307.85023510971791</v>
      </c>
      <c r="G22" s="172">
        <v>1276</v>
      </c>
      <c r="H22" s="172">
        <v>307649</v>
      </c>
      <c r="I22" s="174">
        <v>241.10423197492162</v>
      </c>
      <c r="J22" s="172">
        <v>0</v>
      </c>
      <c r="K22" s="172">
        <v>0</v>
      </c>
      <c r="L22" s="172">
        <v>0</v>
      </c>
      <c r="M22" s="172">
        <v>0</v>
      </c>
      <c r="N22" s="174">
        <v>0</v>
      </c>
      <c r="O22" s="172">
        <v>0</v>
      </c>
      <c r="P22" s="172">
        <v>0</v>
      </c>
      <c r="Q22" s="172">
        <v>0</v>
      </c>
      <c r="R22" s="172">
        <v>0</v>
      </c>
      <c r="S22" s="174">
        <v>0</v>
      </c>
      <c r="T22" s="172">
        <v>0</v>
      </c>
      <c r="U22" s="172">
        <v>0</v>
      </c>
      <c r="V22" s="172">
        <v>0</v>
      </c>
      <c r="W22" s="172">
        <v>0</v>
      </c>
      <c r="X22" s="174">
        <v>0</v>
      </c>
      <c r="Y22" s="172">
        <v>0</v>
      </c>
      <c r="Z22" s="172">
        <v>0</v>
      </c>
      <c r="AA22" s="172">
        <v>0</v>
      </c>
      <c r="AB22" s="172">
        <v>0</v>
      </c>
      <c r="AC22" s="174">
        <v>0</v>
      </c>
      <c r="AD22" s="172">
        <v>700</v>
      </c>
      <c r="AE22" s="172">
        <v>200855.97516435356</v>
      </c>
      <c r="AF22" s="172">
        <v>0</v>
      </c>
      <c r="AG22" s="172">
        <v>0</v>
      </c>
      <c r="AH22" s="174">
        <v>0</v>
      </c>
      <c r="AI22" s="172">
        <v>1369</v>
      </c>
      <c r="AJ22" s="172">
        <v>392816.9</v>
      </c>
      <c r="AK22" s="172">
        <v>509</v>
      </c>
      <c r="AL22" s="172">
        <v>315.12</v>
      </c>
      <c r="AM22" s="174">
        <v>156695.76967084641</v>
      </c>
      <c r="AN22" s="172">
        <v>1369</v>
      </c>
      <c r="AO22" s="172">
        <v>392816.9</v>
      </c>
      <c r="AP22" s="172">
        <v>1276</v>
      </c>
      <c r="AQ22" s="172">
        <v>185012.62</v>
      </c>
      <c r="AR22" s="174">
        <v>392816.90000000008</v>
      </c>
      <c r="AS22" s="172">
        <v>1369</v>
      </c>
      <c r="AT22" s="172">
        <v>392816.9</v>
      </c>
      <c r="AU22" s="172">
        <v>1276</v>
      </c>
      <c r="AV22" s="172">
        <v>185012.62</v>
      </c>
      <c r="AW22" s="174">
        <v>392816.90000000008</v>
      </c>
    </row>
    <row r="23" spans="1:49" ht="15" x14ac:dyDescent="0.25">
      <c r="A23" s="149">
        <v>66</v>
      </c>
      <c r="B23" s="148" t="s">
        <v>1253</v>
      </c>
      <c r="C23" s="161">
        <v>1</v>
      </c>
      <c r="D23" s="147" t="s">
        <v>1233</v>
      </c>
      <c r="E23" s="172">
        <v>12634.337391304347</v>
      </c>
      <c r="F23" s="172">
        <v>12634.337391304347</v>
      </c>
      <c r="G23" s="172">
        <v>1</v>
      </c>
      <c r="H23" s="172">
        <v>11724</v>
      </c>
      <c r="I23" s="174">
        <v>11724</v>
      </c>
      <c r="J23" s="172">
        <v>0</v>
      </c>
      <c r="K23" s="172">
        <v>0</v>
      </c>
      <c r="L23" s="172">
        <v>0</v>
      </c>
      <c r="M23" s="172">
        <v>0</v>
      </c>
      <c r="N23" s="174">
        <v>0</v>
      </c>
      <c r="O23" s="172">
        <v>0</v>
      </c>
      <c r="P23" s="172">
        <v>0</v>
      </c>
      <c r="Q23" s="172">
        <v>0</v>
      </c>
      <c r="R23" s="172">
        <v>0</v>
      </c>
      <c r="S23" s="174">
        <v>0</v>
      </c>
      <c r="T23" s="172">
        <v>0</v>
      </c>
      <c r="U23" s="172">
        <v>0</v>
      </c>
      <c r="V23" s="172">
        <v>0</v>
      </c>
      <c r="W23" s="172">
        <v>0</v>
      </c>
      <c r="X23" s="174">
        <v>0</v>
      </c>
      <c r="Y23" s="172">
        <v>0</v>
      </c>
      <c r="Z23" s="172">
        <v>0</v>
      </c>
      <c r="AA23" s="172">
        <v>0</v>
      </c>
      <c r="AB23" s="172">
        <v>0</v>
      </c>
      <c r="AC23" s="174">
        <v>0</v>
      </c>
      <c r="AD23" s="172">
        <v>0.5</v>
      </c>
      <c r="AE23" s="172">
        <v>6317.1686956521735</v>
      </c>
      <c r="AF23" s="172">
        <v>0</v>
      </c>
      <c r="AG23" s="172">
        <v>753.3900000000001</v>
      </c>
      <c r="AH23" s="174">
        <v>0</v>
      </c>
      <c r="AI23" s="172">
        <v>1</v>
      </c>
      <c r="AJ23" s="172">
        <v>12634.337391304347</v>
      </c>
      <c r="AK23" s="172">
        <v>0</v>
      </c>
      <c r="AL23" s="172">
        <v>753.3900000000001</v>
      </c>
      <c r="AM23" s="174">
        <v>0</v>
      </c>
      <c r="AN23" s="172">
        <v>1</v>
      </c>
      <c r="AO23" s="172">
        <v>12634.337391304347</v>
      </c>
      <c r="AP23" s="172">
        <v>0</v>
      </c>
      <c r="AQ23" s="172">
        <v>753.3900000000001</v>
      </c>
      <c r="AR23" s="174">
        <v>0</v>
      </c>
      <c r="AS23" s="172">
        <v>1</v>
      </c>
      <c r="AT23" s="172">
        <v>12634.337391304347</v>
      </c>
      <c r="AU23" s="172">
        <v>1</v>
      </c>
      <c r="AV23" s="172">
        <v>11724.39</v>
      </c>
      <c r="AW23" s="174">
        <v>12634.337391304347</v>
      </c>
    </row>
    <row r="24" spans="1:49" ht="15" x14ac:dyDescent="0.25">
      <c r="A24" s="149">
        <v>67</v>
      </c>
      <c r="B24" s="148" t="s">
        <v>1254</v>
      </c>
      <c r="C24" s="161">
        <v>96</v>
      </c>
      <c r="D24" s="147" t="s">
        <v>1255</v>
      </c>
      <c r="E24" s="172">
        <v>16715.500000000004</v>
      </c>
      <c r="F24" s="172">
        <v>174.11979166666671</v>
      </c>
      <c r="G24" s="172">
        <v>96</v>
      </c>
      <c r="H24" s="172">
        <v>2865</v>
      </c>
      <c r="I24" s="174">
        <v>29.84375</v>
      </c>
      <c r="J24" s="172">
        <v>0</v>
      </c>
      <c r="K24" s="172">
        <v>0</v>
      </c>
      <c r="L24" s="172">
        <v>0</v>
      </c>
      <c r="M24" s="172">
        <v>0</v>
      </c>
      <c r="N24" s="174">
        <v>0</v>
      </c>
      <c r="O24" s="172">
        <v>0</v>
      </c>
      <c r="P24" s="172">
        <v>0</v>
      </c>
      <c r="Q24" s="172">
        <v>0</v>
      </c>
      <c r="R24" s="172">
        <v>0</v>
      </c>
      <c r="S24" s="174">
        <v>0</v>
      </c>
      <c r="T24" s="172">
        <v>0</v>
      </c>
      <c r="U24" s="172">
        <v>0</v>
      </c>
      <c r="V24" s="172">
        <v>0</v>
      </c>
      <c r="W24" s="172">
        <v>0</v>
      </c>
      <c r="X24" s="174">
        <v>0</v>
      </c>
      <c r="Y24" s="172">
        <v>0</v>
      </c>
      <c r="Z24" s="172">
        <v>0</v>
      </c>
      <c r="AA24" s="172">
        <v>0</v>
      </c>
      <c r="AB24" s="172">
        <v>0</v>
      </c>
      <c r="AC24" s="174">
        <v>0</v>
      </c>
      <c r="AD24" s="172">
        <v>26</v>
      </c>
      <c r="AE24" s="172">
        <v>4527.1145833333348</v>
      </c>
      <c r="AF24" s="172">
        <v>0</v>
      </c>
      <c r="AG24" s="172">
        <v>0</v>
      </c>
      <c r="AH24" s="174">
        <v>0</v>
      </c>
      <c r="AI24" s="172">
        <v>96</v>
      </c>
      <c r="AJ24" s="172">
        <v>16715.500000000004</v>
      </c>
      <c r="AK24" s="172">
        <v>20</v>
      </c>
      <c r="AL24" s="172">
        <v>713.5</v>
      </c>
      <c r="AM24" s="174">
        <v>3482.3958333333344</v>
      </c>
      <c r="AN24" s="172">
        <v>96</v>
      </c>
      <c r="AO24" s="172">
        <v>16715.500000000004</v>
      </c>
      <c r="AP24" s="172">
        <v>20</v>
      </c>
      <c r="AQ24" s="172">
        <v>713.5</v>
      </c>
      <c r="AR24" s="174">
        <v>3482.3958333333344</v>
      </c>
      <c r="AS24" s="172">
        <v>96</v>
      </c>
      <c r="AT24" s="172">
        <v>16715.500000000004</v>
      </c>
      <c r="AU24" s="172">
        <v>96</v>
      </c>
      <c r="AV24" s="172">
        <v>2865.1750000000002</v>
      </c>
      <c r="AW24" s="174">
        <v>16715.500000000004</v>
      </c>
    </row>
    <row r="25" spans="1:49" ht="17.25" x14ac:dyDescent="0.25">
      <c r="A25" s="149">
        <v>68</v>
      </c>
      <c r="B25" s="148" t="s">
        <v>1256</v>
      </c>
      <c r="C25" s="161">
        <v>3890</v>
      </c>
      <c r="D25" s="147" t="s">
        <v>1248</v>
      </c>
      <c r="E25" s="172">
        <v>42787.121399999996</v>
      </c>
      <c r="F25" s="172">
        <v>10.99926</v>
      </c>
      <c r="G25" s="172">
        <v>3890</v>
      </c>
      <c r="H25" s="172">
        <v>13280</v>
      </c>
      <c r="I25" s="174">
        <v>3.4138817480719794</v>
      </c>
      <c r="J25" s="172">
        <v>0</v>
      </c>
      <c r="K25" s="172">
        <v>0</v>
      </c>
      <c r="L25" s="172">
        <v>0</v>
      </c>
      <c r="M25" s="172">
        <v>0</v>
      </c>
      <c r="N25" s="174">
        <v>0</v>
      </c>
      <c r="O25" s="172">
        <v>0</v>
      </c>
      <c r="P25" s="172">
        <v>0</v>
      </c>
      <c r="Q25" s="172">
        <v>0</v>
      </c>
      <c r="R25" s="172">
        <v>0</v>
      </c>
      <c r="S25" s="174">
        <v>0</v>
      </c>
      <c r="T25" s="172">
        <v>0</v>
      </c>
      <c r="U25" s="172">
        <v>0</v>
      </c>
      <c r="V25" s="172">
        <v>0</v>
      </c>
      <c r="W25" s="172">
        <v>0</v>
      </c>
      <c r="X25" s="174">
        <v>0</v>
      </c>
      <c r="Y25" s="172">
        <v>0</v>
      </c>
      <c r="Z25" s="172">
        <v>0</v>
      </c>
      <c r="AA25" s="172">
        <v>0</v>
      </c>
      <c r="AB25" s="172">
        <v>0</v>
      </c>
      <c r="AC25" s="174">
        <v>0</v>
      </c>
      <c r="AD25" s="172">
        <v>0</v>
      </c>
      <c r="AE25" s="172">
        <v>0</v>
      </c>
      <c r="AF25" s="172">
        <v>3250</v>
      </c>
      <c r="AG25" s="172">
        <v>0</v>
      </c>
      <c r="AH25" s="174">
        <v>35747.595000000001</v>
      </c>
      <c r="AI25" s="172">
        <v>0</v>
      </c>
      <c r="AJ25" s="172">
        <v>0</v>
      </c>
      <c r="AK25" s="172">
        <v>3500</v>
      </c>
      <c r="AL25" s="172">
        <v>0</v>
      </c>
      <c r="AM25" s="174">
        <v>38497.409999999996</v>
      </c>
      <c r="AN25" s="172">
        <v>3890</v>
      </c>
      <c r="AO25" s="172">
        <v>42787.121399999996</v>
      </c>
      <c r="AP25" s="172">
        <v>3500</v>
      </c>
      <c r="AQ25" s="172">
        <v>0</v>
      </c>
      <c r="AR25" s="174">
        <v>0</v>
      </c>
      <c r="AS25" s="172">
        <v>3890</v>
      </c>
      <c r="AT25" s="172">
        <v>42787.121399999996</v>
      </c>
      <c r="AU25" s="172">
        <v>3890</v>
      </c>
      <c r="AV25" s="172">
        <v>868.4</v>
      </c>
      <c r="AW25" s="174">
        <v>42787.121399999996</v>
      </c>
    </row>
    <row r="26" spans="1:49" ht="15" x14ac:dyDescent="0.25">
      <c r="A26" s="149">
        <v>71</v>
      </c>
      <c r="B26" s="148" t="s">
        <v>1257</v>
      </c>
      <c r="C26" s="161">
        <v>1517</v>
      </c>
      <c r="D26" s="147" t="s">
        <v>1258</v>
      </c>
      <c r="E26" s="172">
        <v>30932.822120613793</v>
      </c>
      <c r="F26" s="172">
        <v>20.390785840879232</v>
      </c>
      <c r="G26" s="172">
        <v>1517</v>
      </c>
      <c r="H26" s="172">
        <v>37067</v>
      </c>
      <c r="I26" s="174">
        <v>24.434410019775875</v>
      </c>
      <c r="J26" s="172">
        <v>0</v>
      </c>
      <c r="K26" s="172">
        <v>0</v>
      </c>
      <c r="L26" s="172">
        <v>0</v>
      </c>
      <c r="M26" s="172">
        <v>0</v>
      </c>
      <c r="N26" s="174">
        <v>0</v>
      </c>
      <c r="O26" s="172">
        <v>0</v>
      </c>
      <c r="P26" s="172">
        <v>0</v>
      </c>
      <c r="Q26" s="172">
        <v>0</v>
      </c>
      <c r="R26" s="172">
        <v>0</v>
      </c>
      <c r="S26" s="174">
        <v>0</v>
      </c>
      <c r="T26" s="172">
        <v>100</v>
      </c>
      <c r="U26" s="172">
        <v>2039.0785840879232</v>
      </c>
      <c r="V26" s="172">
        <v>0</v>
      </c>
      <c r="W26" s="172">
        <v>0</v>
      </c>
      <c r="X26" s="174">
        <v>0</v>
      </c>
      <c r="Y26" s="172">
        <v>100</v>
      </c>
      <c r="Z26" s="172">
        <v>2039.0785840879232</v>
      </c>
      <c r="AA26" s="172">
        <v>81</v>
      </c>
      <c r="AB26" s="172">
        <v>1995.7999999999997</v>
      </c>
      <c r="AC26" s="174">
        <v>1651.6536531112176</v>
      </c>
      <c r="AD26" s="172">
        <v>400</v>
      </c>
      <c r="AE26" s="172">
        <v>8156.3143363516929</v>
      </c>
      <c r="AF26" s="172">
        <v>81</v>
      </c>
      <c r="AG26" s="172">
        <v>2580.2999999999997</v>
      </c>
      <c r="AH26" s="174">
        <v>1651.6536531112176</v>
      </c>
      <c r="AI26" s="172">
        <v>1571</v>
      </c>
      <c r="AJ26" s="172">
        <v>32033.924556021273</v>
      </c>
      <c r="AK26" s="172">
        <v>150</v>
      </c>
      <c r="AL26" s="172">
        <v>3724.5</v>
      </c>
      <c r="AM26" s="174">
        <v>3058.6178761318843</v>
      </c>
      <c r="AN26" s="172">
        <v>1517</v>
      </c>
      <c r="AO26" s="172">
        <v>30932.822120613797</v>
      </c>
      <c r="AP26" s="172">
        <v>200</v>
      </c>
      <c r="AQ26" s="172">
        <v>5024.5</v>
      </c>
      <c r="AR26" s="174">
        <v>4078.157168175846</v>
      </c>
      <c r="AS26" s="172">
        <v>1517</v>
      </c>
      <c r="AT26" s="172">
        <v>30932.822120613797</v>
      </c>
      <c r="AU26" s="172">
        <v>1517</v>
      </c>
      <c r="AV26" s="172">
        <v>37066.600000000006</v>
      </c>
      <c r="AW26" s="174">
        <v>30932.822120613793</v>
      </c>
    </row>
    <row r="27" spans="1:49" ht="16.25" x14ac:dyDescent="0.65">
      <c r="A27" s="149">
        <v>73</v>
      </c>
      <c r="B27" s="148" t="s">
        <v>1259</v>
      </c>
      <c r="C27" s="161">
        <v>1005</v>
      </c>
      <c r="D27" s="147" t="s">
        <v>1248</v>
      </c>
      <c r="E27" s="172">
        <v>19964.446498604317</v>
      </c>
      <c r="F27" s="172">
        <v>19.86512089413365</v>
      </c>
      <c r="G27" s="172">
        <v>1005</v>
      </c>
      <c r="H27" s="172">
        <v>33677</v>
      </c>
      <c r="I27" s="174">
        <v>33.509452736318408</v>
      </c>
      <c r="J27" s="172">
        <v>0</v>
      </c>
      <c r="K27" s="172">
        <v>0</v>
      </c>
      <c r="L27" s="172">
        <v>0</v>
      </c>
      <c r="M27" s="172">
        <v>0</v>
      </c>
      <c r="N27" s="174">
        <v>0</v>
      </c>
      <c r="O27" s="172">
        <v>0</v>
      </c>
      <c r="P27" s="172">
        <v>0</v>
      </c>
      <c r="Q27" s="172">
        <v>0</v>
      </c>
      <c r="R27" s="172">
        <v>0</v>
      </c>
      <c r="S27" s="174">
        <v>0</v>
      </c>
      <c r="T27" s="172">
        <v>0</v>
      </c>
      <c r="U27" s="172">
        <v>0</v>
      </c>
      <c r="V27" s="172">
        <v>0</v>
      </c>
      <c r="W27" s="172">
        <v>0</v>
      </c>
      <c r="X27" s="174">
        <v>0</v>
      </c>
      <c r="Y27" s="172">
        <v>250</v>
      </c>
      <c r="Z27" s="172">
        <v>4966.280223533412</v>
      </c>
      <c r="AA27" s="172">
        <v>0</v>
      </c>
      <c r="AB27" s="172">
        <v>0</v>
      </c>
      <c r="AC27" s="174">
        <v>0</v>
      </c>
      <c r="AD27" s="172">
        <v>500</v>
      </c>
      <c r="AE27" s="172">
        <v>9932.5604470668241</v>
      </c>
      <c r="AF27" s="172">
        <v>475</v>
      </c>
      <c r="AG27" s="172">
        <v>16041.175000000001</v>
      </c>
      <c r="AH27" s="174">
        <v>9435.9324247134828</v>
      </c>
      <c r="AI27" s="172">
        <v>500</v>
      </c>
      <c r="AJ27" s="172">
        <v>9932.5604470668241</v>
      </c>
      <c r="AK27" s="172">
        <v>535</v>
      </c>
      <c r="AL27" s="172">
        <v>18009.800000000007</v>
      </c>
      <c r="AM27" s="174">
        <v>10627.839678361503</v>
      </c>
      <c r="AN27" s="172">
        <v>1005</v>
      </c>
      <c r="AO27" s="172">
        <v>19964.446498604317</v>
      </c>
      <c r="AP27" s="172">
        <v>940</v>
      </c>
      <c r="AQ27" s="172">
        <v>31516.900000000009</v>
      </c>
      <c r="AR27" s="174">
        <v>18673.213640485628</v>
      </c>
      <c r="AS27" s="172">
        <v>1005</v>
      </c>
      <c r="AT27" s="172">
        <v>19964.446498604317</v>
      </c>
      <c r="AU27" s="172">
        <v>1005</v>
      </c>
      <c r="AV27" s="172">
        <v>33676.900000000009</v>
      </c>
      <c r="AW27" s="174">
        <v>19964.446498604317</v>
      </c>
    </row>
    <row r="28" spans="1:49" x14ac:dyDescent="0.65">
      <c r="A28" s="149">
        <v>81</v>
      </c>
      <c r="B28" s="148" t="s">
        <v>1260</v>
      </c>
      <c r="C28" s="161">
        <v>202</v>
      </c>
      <c r="D28" s="147" t="s">
        <v>1258</v>
      </c>
      <c r="E28" s="172">
        <v>10313.807109644516</v>
      </c>
      <c r="F28" s="172">
        <v>51.058451037844144</v>
      </c>
      <c r="G28" s="172">
        <v>202</v>
      </c>
      <c r="H28" s="172">
        <v>17495</v>
      </c>
      <c r="I28" s="174">
        <v>86.60891089108911</v>
      </c>
      <c r="J28" s="172">
        <v>0</v>
      </c>
      <c r="K28" s="172">
        <v>0</v>
      </c>
      <c r="L28" s="172">
        <v>0</v>
      </c>
      <c r="M28" s="172">
        <v>0</v>
      </c>
      <c r="N28" s="174">
        <v>0</v>
      </c>
      <c r="O28" s="172">
        <v>0</v>
      </c>
      <c r="P28" s="172">
        <v>0</v>
      </c>
      <c r="Q28" s="172">
        <v>0</v>
      </c>
      <c r="R28" s="172">
        <v>0</v>
      </c>
      <c r="S28" s="174">
        <v>0</v>
      </c>
      <c r="T28" s="172">
        <v>50</v>
      </c>
      <c r="U28" s="172">
        <v>2552.9225518922071</v>
      </c>
      <c r="V28" s="172">
        <v>0</v>
      </c>
      <c r="W28" s="172">
        <v>157.56</v>
      </c>
      <c r="X28" s="174">
        <v>0</v>
      </c>
      <c r="Y28" s="172">
        <v>202</v>
      </c>
      <c r="Z28" s="172">
        <v>10313.807109644516</v>
      </c>
      <c r="AA28" s="172">
        <v>151</v>
      </c>
      <c r="AB28" s="172">
        <v>13194.42</v>
      </c>
      <c r="AC28" s="174">
        <v>7709.8261067144649</v>
      </c>
      <c r="AD28" s="172">
        <v>202</v>
      </c>
      <c r="AE28" s="172">
        <v>10313.807109644516</v>
      </c>
      <c r="AF28" s="172">
        <v>151</v>
      </c>
      <c r="AG28" s="172">
        <v>13464.42</v>
      </c>
      <c r="AH28" s="174">
        <v>7709.8261067144649</v>
      </c>
      <c r="AI28" s="172">
        <v>202</v>
      </c>
      <c r="AJ28" s="172">
        <v>10313.807109644516</v>
      </c>
      <c r="AK28" s="172">
        <v>202</v>
      </c>
      <c r="AL28" s="172">
        <v>17494.82</v>
      </c>
      <c r="AM28" s="174">
        <v>10313.807109644516</v>
      </c>
      <c r="AN28" s="172">
        <v>202</v>
      </c>
      <c r="AO28" s="172">
        <v>10313.807109644516</v>
      </c>
      <c r="AP28" s="172">
        <v>202</v>
      </c>
      <c r="AQ28" s="172">
        <v>17494.82</v>
      </c>
      <c r="AR28" s="174">
        <v>10313.807109644516</v>
      </c>
      <c r="AS28" s="172">
        <v>202</v>
      </c>
      <c r="AT28" s="172">
        <v>10313.807109644516</v>
      </c>
      <c r="AU28" s="172">
        <v>202</v>
      </c>
      <c r="AV28" s="172">
        <v>17494.82</v>
      </c>
      <c r="AW28" s="174">
        <v>10313.807109644516</v>
      </c>
    </row>
    <row r="29" spans="1:49" x14ac:dyDescent="0.65">
      <c r="A29" s="149">
        <v>85</v>
      </c>
      <c r="B29" s="148" t="s">
        <v>1261</v>
      </c>
      <c r="C29" s="161">
        <v>24</v>
      </c>
      <c r="D29" s="147" t="s">
        <v>1255</v>
      </c>
      <c r="E29" s="172">
        <v>21867</v>
      </c>
      <c r="F29" s="172">
        <v>911.125</v>
      </c>
      <c r="G29" s="172">
        <v>24</v>
      </c>
      <c r="H29" s="172">
        <v>25121</v>
      </c>
      <c r="I29" s="174">
        <v>1046.7083333333333</v>
      </c>
      <c r="J29" s="172">
        <v>0</v>
      </c>
      <c r="K29" s="172">
        <v>0</v>
      </c>
      <c r="L29" s="172">
        <v>0</v>
      </c>
      <c r="M29" s="172">
        <v>0</v>
      </c>
      <c r="N29" s="174">
        <v>0</v>
      </c>
      <c r="O29" s="172">
        <v>0</v>
      </c>
      <c r="P29" s="172">
        <v>0</v>
      </c>
      <c r="Q29" s="172">
        <v>0</v>
      </c>
      <c r="R29" s="172">
        <v>0</v>
      </c>
      <c r="S29" s="174">
        <v>0</v>
      </c>
      <c r="T29" s="172">
        <v>0</v>
      </c>
      <c r="U29" s="172">
        <v>0</v>
      </c>
      <c r="V29" s="172">
        <v>0</v>
      </c>
      <c r="W29" s="172">
        <v>0</v>
      </c>
      <c r="X29" s="174">
        <v>0</v>
      </c>
      <c r="Y29" s="172">
        <v>0</v>
      </c>
      <c r="Z29" s="172">
        <v>0</v>
      </c>
      <c r="AA29" s="172">
        <v>3.75</v>
      </c>
      <c r="AB29" s="172">
        <v>4000</v>
      </c>
      <c r="AC29" s="174">
        <v>3416.71875</v>
      </c>
      <c r="AD29" s="172">
        <v>18</v>
      </c>
      <c r="AE29" s="172">
        <v>16400.25</v>
      </c>
      <c r="AF29" s="172">
        <v>12.5</v>
      </c>
      <c r="AG29" s="172">
        <v>13197.58</v>
      </c>
      <c r="AH29" s="174">
        <v>11389.0625</v>
      </c>
      <c r="AI29" s="172">
        <v>24</v>
      </c>
      <c r="AJ29" s="172">
        <v>21867</v>
      </c>
      <c r="AK29" s="172">
        <v>23.5</v>
      </c>
      <c r="AL29" s="172">
        <v>24799.29</v>
      </c>
      <c r="AM29" s="174">
        <v>21411.4375</v>
      </c>
      <c r="AN29" s="172">
        <v>24</v>
      </c>
      <c r="AO29" s="172">
        <v>21867</v>
      </c>
      <c r="AP29" s="172">
        <v>24</v>
      </c>
      <c r="AQ29" s="172">
        <v>25120.690000000002</v>
      </c>
      <c r="AR29" s="174">
        <v>21867</v>
      </c>
      <c r="AS29" s="172">
        <v>24</v>
      </c>
      <c r="AT29" s="172">
        <v>21867</v>
      </c>
      <c r="AU29" s="172">
        <v>24</v>
      </c>
      <c r="AV29" s="172">
        <v>25120.690000000002</v>
      </c>
      <c r="AW29" s="174">
        <v>21867</v>
      </c>
    </row>
    <row r="30" spans="1:49" x14ac:dyDescent="0.65">
      <c r="A30" s="149">
        <v>95</v>
      </c>
      <c r="B30" s="148" t="s">
        <v>1262</v>
      </c>
      <c r="C30" s="161">
        <v>1</v>
      </c>
      <c r="D30" s="147" t="s">
        <v>1233</v>
      </c>
      <c r="E30" s="172">
        <v>174672.4</v>
      </c>
      <c r="F30" s="172">
        <v>174672.4</v>
      </c>
      <c r="G30" s="172">
        <v>1</v>
      </c>
      <c r="H30" s="172">
        <v>139556</v>
      </c>
      <c r="I30" s="174">
        <v>139556</v>
      </c>
      <c r="J30" s="172">
        <v>0</v>
      </c>
      <c r="K30" s="172">
        <v>0</v>
      </c>
      <c r="L30" s="172">
        <v>0</v>
      </c>
      <c r="M30" s="172">
        <v>0</v>
      </c>
      <c r="N30" s="174">
        <v>0</v>
      </c>
      <c r="O30" s="172">
        <v>0.15</v>
      </c>
      <c r="P30" s="172">
        <v>26200.859999999997</v>
      </c>
      <c r="Q30" s="172">
        <v>0.17</v>
      </c>
      <c r="R30" s="172">
        <v>29539.91</v>
      </c>
      <c r="S30" s="174">
        <v>29694.308000000001</v>
      </c>
      <c r="T30" s="172">
        <v>0.45</v>
      </c>
      <c r="U30" s="172">
        <v>78602.58</v>
      </c>
      <c r="V30" s="172">
        <v>0.4</v>
      </c>
      <c r="W30" s="172">
        <v>62560.92</v>
      </c>
      <c r="X30" s="174">
        <v>69868.960000000006</v>
      </c>
      <c r="Y30" s="172">
        <v>0.5</v>
      </c>
      <c r="Z30" s="172">
        <v>87336.2</v>
      </c>
      <c r="AA30" s="172">
        <v>0.45</v>
      </c>
      <c r="AB30" s="172">
        <v>63546.92</v>
      </c>
      <c r="AC30" s="174">
        <v>78602.58</v>
      </c>
      <c r="AD30" s="172">
        <v>0.5</v>
      </c>
      <c r="AE30" s="172">
        <v>87336.2</v>
      </c>
      <c r="AF30" s="172">
        <v>0.47</v>
      </c>
      <c r="AG30" s="172">
        <v>65136.92</v>
      </c>
      <c r="AH30" s="174">
        <v>82096.027999999991</v>
      </c>
      <c r="AI30" s="172">
        <v>1</v>
      </c>
      <c r="AJ30" s="172">
        <v>174672.4</v>
      </c>
      <c r="AK30" s="172">
        <v>0.99</v>
      </c>
      <c r="AL30" s="172">
        <v>138951.91999999998</v>
      </c>
      <c r="AM30" s="174">
        <v>172925.67600000001</v>
      </c>
      <c r="AN30" s="172">
        <v>1</v>
      </c>
      <c r="AO30" s="172">
        <v>174672.4</v>
      </c>
      <c r="AP30" s="172">
        <v>1</v>
      </c>
      <c r="AQ30" s="172">
        <v>139556.12000000005</v>
      </c>
      <c r="AR30" s="174">
        <v>174672.4</v>
      </c>
      <c r="AS30" s="172">
        <v>1</v>
      </c>
      <c r="AT30" s="172">
        <v>174672.4</v>
      </c>
      <c r="AU30" s="172">
        <v>1</v>
      </c>
      <c r="AV30" s="172">
        <v>145242.12000000005</v>
      </c>
      <c r="AW30" s="174">
        <v>174672.4</v>
      </c>
    </row>
    <row r="31" spans="1:49" x14ac:dyDescent="0.65">
      <c r="A31" s="149">
        <v>103</v>
      </c>
      <c r="B31" s="148" t="s">
        <v>1263</v>
      </c>
      <c r="C31" s="161">
        <v>285</v>
      </c>
      <c r="D31" s="147" t="s">
        <v>1258</v>
      </c>
      <c r="E31" s="172">
        <v>24123.643199999995</v>
      </c>
      <c r="F31" s="172">
        <v>84.644362105263141</v>
      </c>
      <c r="G31" s="172">
        <v>285</v>
      </c>
      <c r="H31" s="172">
        <v>8135</v>
      </c>
      <c r="I31" s="174">
        <v>28.543859649122808</v>
      </c>
      <c r="J31" s="172">
        <v>0</v>
      </c>
      <c r="K31" s="172">
        <v>0</v>
      </c>
      <c r="L31" s="172">
        <v>0</v>
      </c>
      <c r="M31" s="172">
        <v>0</v>
      </c>
      <c r="N31" s="174">
        <v>0</v>
      </c>
      <c r="O31" s="172">
        <v>0</v>
      </c>
      <c r="P31" s="172">
        <v>0</v>
      </c>
      <c r="Q31" s="172">
        <v>30</v>
      </c>
      <c r="R31" s="172">
        <v>2320</v>
      </c>
      <c r="S31" s="174">
        <v>2539.3308631578939</v>
      </c>
      <c r="T31" s="172">
        <v>50</v>
      </c>
      <c r="U31" s="172">
        <v>4232.2181052631568</v>
      </c>
      <c r="V31" s="172">
        <v>35</v>
      </c>
      <c r="W31" s="172">
        <v>2905</v>
      </c>
      <c r="X31" s="174">
        <v>2962.5526736842098</v>
      </c>
      <c r="Y31" s="172">
        <v>50</v>
      </c>
      <c r="Z31" s="172">
        <v>4232.2181052631568</v>
      </c>
      <c r="AA31" s="172">
        <v>95</v>
      </c>
      <c r="AB31" s="172">
        <v>2905</v>
      </c>
      <c r="AC31" s="174">
        <v>8041.214399999998</v>
      </c>
      <c r="AD31" s="172">
        <v>285</v>
      </c>
      <c r="AE31" s="172">
        <v>24123.643199999995</v>
      </c>
      <c r="AF31" s="172">
        <v>285</v>
      </c>
      <c r="AG31" s="172">
        <v>8135</v>
      </c>
      <c r="AH31" s="174">
        <v>24123.643199999995</v>
      </c>
      <c r="AI31" s="172">
        <v>285</v>
      </c>
      <c r="AJ31" s="172">
        <v>24123.643199999995</v>
      </c>
      <c r="AK31" s="172">
        <v>285</v>
      </c>
      <c r="AL31" s="172">
        <v>8135</v>
      </c>
      <c r="AM31" s="174">
        <v>24123.643199999995</v>
      </c>
      <c r="AN31" s="172">
        <v>285</v>
      </c>
      <c r="AO31" s="172">
        <v>24123.643199999995</v>
      </c>
      <c r="AP31" s="172">
        <v>285</v>
      </c>
      <c r="AQ31" s="172">
        <v>8135</v>
      </c>
      <c r="AR31" s="174">
        <v>24123.643199999995</v>
      </c>
      <c r="AS31" s="172">
        <v>285</v>
      </c>
      <c r="AT31" s="172">
        <v>24123.643199999995</v>
      </c>
      <c r="AU31" s="172">
        <v>285</v>
      </c>
      <c r="AV31" s="172">
        <v>8325</v>
      </c>
      <c r="AW31" s="174">
        <v>24123.643199999995</v>
      </c>
    </row>
    <row r="32" spans="1:49" x14ac:dyDescent="0.65">
      <c r="A32" s="149">
        <v>111</v>
      </c>
      <c r="B32" s="148" t="s">
        <v>1264</v>
      </c>
      <c r="C32" s="161">
        <v>995</v>
      </c>
      <c r="D32" s="147" t="s">
        <v>1258</v>
      </c>
      <c r="E32" s="172">
        <v>65406.522552656148</v>
      </c>
      <c r="F32" s="172">
        <v>65.735198545383057</v>
      </c>
      <c r="G32" s="172">
        <v>995</v>
      </c>
      <c r="H32" s="172">
        <v>39338</v>
      </c>
      <c r="I32" s="174">
        <v>39.535678391959799</v>
      </c>
      <c r="J32" s="172">
        <v>0</v>
      </c>
      <c r="K32" s="172">
        <v>0</v>
      </c>
      <c r="L32" s="172">
        <v>0</v>
      </c>
      <c r="M32" s="172">
        <v>0</v>
      </c>
      <c r="N32" s="174">
        <v>0</v>
      </c>
      <c r="O32" s="172">
        <v>0</v>
      </c>
      <c r="P32" s="172">
        <v>0</v>
      </c>
      <c r="Q32" s="172">
        <v>0</v>
      </c>
      <c r="R32" s="172">
        <v>0</v>
      </c>
      <c r="S32" s="174">
        <v>0</v>
      </c>
      <c r="T32" s="172">
        <v>400</v>
      </c>
      <c r="U32" s="172">
        <v>26294.079418153222</v>
      </c>
      <c r="V32" s="172">
        <v>295</v>
      </c>
      <c r="W32" s="172">
        <v>13375</v>
      </c>
      <c r="X32" s="174">
        <v>19391.883570888003</v>
      </c>
      <c r="Y32" s="172">
        <v>995</v>
      </c>
      <c r="Z32" s="172">
        <v>65406.522552656141</v>
      </c>
      <c r="AA32" s="172">
        <v>860</v>
      </c>
      <c r="AB32" s="172">
        <v>34451.339999999997</v>
      </c>
      <c r="AC32" s="174">
        <v>56532.270749029434</v>
      </c>
      <c r="AD32" s="172">
        <v>995</v>
      </c>
      <c r="AE32" s="172">
        <v>65406.522552656141</v>
      </c>
      <c r="AF32" s="172">
        <v>860</v>
      </c>
      <c r="AG32" s="172">
        <v>34631.339999999997</v>
      </c>
      <c r="AH32" s="174">
        <v>56532.270749029434</v>
      </c>
      <c r="AI32" s="172">
        <v>995</v>
      </c>
      <c r="AJ32" s="172">
        <v>65406.522552656141</v>
      </c>
      <c r="AK32" s="172">
        <v>930</v>
      </c>
      <c r="AL32" s="172">
        <v>37173.589999999997</v>
      </c>
      <c r="AM32" s="174">
        <v>61133.734647206249</v>
      </c>
      <c r="AN32" s="172">
        <v>995</v>
      </c>
      <c r="AO32" s="172">
        <v>65406.522552656141</v>
      </c>
      <c r="AP32" s="172">
        <v>995</v>
      </c>
      <c r="AQ32" s="172">
        <v>39337.689999999981</v>
      </c>
      <c r="AR32" s="174">
        <v>65406.522552656148</v>
      </c>
      <c r="AS32" s="172">
        <v>995</v>
      </c>
      <c r="AT32" s="172">
        <v>65406.522552656141</v>
      </c>
      <c r="AU32" s="172">
        <v>995</v>
      </c>
      <c r="AV32" s="172">
        <v>40668.489999999983</v>
      </c>
      <c r="AW32" s="174">
        <v>65406.522552656148</v>
      </c>
    </row>
    <row r="33" spans="1:49" x14ac:dyDescent="0.65">
      <c r="A33" s="149">
        <v>112</v>
      </c>
      <c r="B33" s="148" t="s">
        <v>1265</v>
      </c>
      <c r="C33" s="161">
        <v>1</v>
      </c>
      <c r="D33" s="147" t="s">
        <v>1233</v>
      </c>
      <c r="E33" s="172">
        <v>0</v>
      </c>
      <c r="F33" s="172">
        <v>0</v>
      </c>
      <c r="G33" s="172">
        <v>1</v>
      </c>
      <c r="H33" s="172">
        <v>0</v>
      </c>
      <c r="I33" s="174">
        <v>0</v>
      </c>
      <c r="J33" s="172">
        <v>0</v>
      </c>
      <c r="K33" s="172">
        <v>0</v>
      </c>
      <c r="L33" s="172">
        <v>0</v>
      </c>
      <c r="M33" s="172">
        <v>0</v>
      </c>
      <c r="N33" s="174">
        <v>0</v>
      </c>
      <c r="O33" s="172">
        <v>0</v>
      </c>
      <c r="P33" s="172">
        <v>0</v>
      </c>
      <c r="Q33" s="172">
        <v>0</v>
      </c>
      <c r="R33" s="172">
        <v>0</v>
      </c>
      <c r="S33" s="174">
        <v>0</v>
      </c>
      <c r="T33" s="172">
        <v>0</v>
      </c>
      <c r="U33" s="172">
        <v>0</v>
      </c>
      <c r="V33" s="172">
        <v>0</v>
      </c>
      <c r="W33" s="172">
        <v>0</v>
      </c>
      <c r="X33" s="174">
        <v>0</v>
      </c>
      <c r="Y33" s="172">
        <v>1</v>
      </c>
      <c r="Z33" s="172">
        <v>0</v>
      </c>
      <c r="AA33" s="172">
        <v>0</v>
      </c>
      <c r="AB33" s="172">
        <v>0</v>
      </c>
      <c r="AC33" s="174">
        <v>0</v>
      </c>
      <c r="AD33" s="172">
        <v>1</v>
      </c>
      <c r="AE33" s="172">
        <v>0</v>
      </c>
      <c r="AF33" s="172">
        <v>0</v>
      </c>
      <c r="AG33" s="172">
        <v>0</v>
      </c>
      <c r="AH33" s="174">
        <v>0</v>
      </c>
      <c r="AI33" s="172">
        <v>1</v>
      </c>
      <c r="AJ33" s="172">
        <v>0</v>
      </c>
      <c r="AK33" s="172">
        <v>0</v>
      </c>
      <c r="AL33" s="172">
        <v>0</v>
      </c>
      <c r="AM33" s="174">
        <v>0</v>
      </c>
      <c r="AN33" s="172">
        <v>1</v>
      </c>
      <c r="AO33" s="172">
        <v>0</v>
      </c>
      <c r="AP33" s="172">
        <v>1</v>
      </c>
      <c r="AQ33" s="172">
        <v>0</v>
      </c>
      <c r="AR33" s="174">
        <v>0</v>
      </c>
      <c r="AS33" s="172">
        <v>1</v>
      </c>
      <c r="AT33" s="172">
        <v>0</v>
      </c>
      <c r="AU33" s="172">
        <v>1</v>
      </c>
      <c r="AV33" s="172">
        <v>150</v>
      </c>
      <c r="AW33" s="174">
        <v>0</v>
      </c>
    </row>
    <row r="34" spans="1:49" x14ac:dyDescent="0.65">
      <c r="A34" s="149">
        <v>113</v>
      </c>
      <c r="B34" s="148" t="s">
        <v>1266</v>
      </c>
      <c r="C34" s="161">
        <v>1</v>
      </c>
      <c r="D34" s="147" t="s">
        <v>1233</v>
      </c>
      <c r="E34" s="172">
        <v>69827</v>
      </c>
      <c r="F34" s="172">
        <v>69827</v>
      </c>
      <c r="G34" s="172">
        <v>1</v>
      </c>
      <c r="H34" s="172">
        <v>84469</v>
      </c>
      <c r="I34" s="174">
        <v>84469</v>
      </c>
      <c r="J34" s="172">
        <v>0</v>
      </c>
      <c r="K34" s="172">
        <v>0</v>
      </c>
      <c r="L34" s="172">
        <v>0</v>
      </c>
      <c r="M34" s="172">
        <v>0</v>
      </c>
      <c r="N34" s="174">
        <v>0</v>
      </c>
      <c r="O34" s="172">
        <v>0</v>
      </c>
      <c r="P34" s="172">
        <v>0</v>
      </c>
      <c r="Q34" s="172">
        <v>0</v>
      </c>
      <c r="R34" s="172">
        <v>0</v>
      </c>
      <c r="S34" s="174">
        <v>0</v>
      </c>
      <c r="T34" s="172">
        <v>0</v>
      </c>
      <c r="U34" s="172">
        <v>0</v>
      </c>
      <c r="V34" s="172">
        <v>0</v>
      </c>
      <c r="W34" s="172">
        <v>0</v>
      </c>
      <c r="X34" s="174">
        <v>0</v>
      </c>
      <c r="Y34" s="172">
        <v>0</v>
      </c>
      <c r="Z34" s="172">
        <v>0</v>
      </c>
      <c r="AA34" s="172">
        <v>0</v>
      </c>
      <c r="AB34" s="172">
        <v>1705.425</v>
      </c>
      <c r="AC34" s="174">
        <v>0</v>
      </c>
      <c r="AD34" s="172">
        <v>0</v>
      </c>
      <c r="AE34" s="172">
        <v>0</v>
      </c>
      <c r="AF34" s="172">
        <v>0.15</v>
      </c>
      <c r="AG34" s="172">
        <v>12625.424999999999</v>
      </c>
      <c r="AH34" s="174">
        <v>10474.049999999999</v>
      </c>
      <c r="AI34" s="172">
        <v>1</v>
      </c>
      <c r="AJ34" s="172">
        <v>69827</v>
      </c>
      <c r="AK34" s="172">
        <v>0.35</v>
      </c>
      <c r="AL34" s="172">
        <v>29136.824999999997</v>
      </c>
      <c r="AM34" s="174">
        <v>24439.449999999997</v>
      </c>
      <c r="AN34" s="172">
        <v>1</v>
      </c>
      <c r="AO34" s="172">
        <v>69827</v>
      </c>
      <c r="AP34" s="172">
        <v>1</v>
      </c>
      <c r="AQ34" s="172">
        <v>84469.434999999998</v>
      </c>
      <c r="AR34" s="174">
        <v>69827</v>
      </c>
      <c r="AS34" s="172">
        <v>1</v>
      </c>
      <c r="AT34" s="172">
        <v>69827</v>
      </c>
      <c r="AU34" s="172">
        <v>1</v>
      </c>
      <c r="AV34" s="172">
        <v>84469.434999999998</v>
      </c>
      <c r="AW34" s="174">
        <v>69827</v>
      </c>
    </row>
    <row r="35" spans="1:49" ht="16.25" x14ac:dyDescent="0.65">
      <c r="A35" s="149">
        <v>121</v>
      </c>
      <c r="B35" s="148" t="s">
        <v>1267</v>
      </c>
      <c r="C35" s="161">
        <v>3271</v>
      </c>
      <c r="D35" s="147" t="s">
        <v>1248</v>
      </c>
      <c r="E35" s="172">
        <v>0</v>
      </c>
      <c r="F35" s="172">
        <v>0</v>
      </c>
      <c r="G35" s="172">
        <v>3271</v>
      </c>
      <c r="H35" s="172">
        <v>7800</v>
      </c>
      <c r="I35" s="174">
        <v>2.3845918679302964</v>
      </c>
      <c r="J35" s="172">
        <v>0</v>
      </c>
      <c r="K35" s="172">
        <v>0</v>
      </c>
      <c r="L35" s="172">
        <v>0</v>
      </c>
      <c r="M35" s="172">
        <v>0</v>
      </c>
      <c r="N35" s="174">
        <v>0</v>
      </c>
      <c r="O35" s="172">
        <v>0</v>
      </c>
      <c r="P35" s="172">
        <v>0</v>
      </c>
      <c r="Q35" s="172">
        <v>0</v>
      </c>
      <c r="R35" s="172">
        <v>0</v>
      </c>
      <c r="S35" s="174">
        <v>0</v>
      </c>
      <c r="T35" s="172">
        <v>0</v>
      </c>
      <c r="U35" s="172">
        <v>0</v>
      </c>
      <c r="V35" s="172">
        <v>0</v>
      </c>
      <c r="W35" s="172">
        <v>0</v>
      </c>
      <c r="X35" s="174">
        <v>0</v>
      </c>
      <c r="Y35" s="172">
        <v>0</v>
      </c>
      <c r="Z35" s="172">
        <v>0</v>
      </c>
      <c r="AA35" s="172">
        <v>0</v>
      </c>
      <c r="AB35" s="172">
        <v>0</v>
      </c>
      <c r="AC35" s="174">
        <v>0</v>
      </c>
      <c r="AD35" s="172">
        <v>0</v>
      </c>
      <c r="AE35" s="172">
        <v>0</v>
      </c>
      <c r="AF35" s="172">
        <v>0</v>
      </c>
      <c r="AG35" s="172">
        <v>0</v>
      </c>
      <c r="AH35" s="174">
        <v>0</v>
      </c>
      <c r="AI35" s="172">
        <v>0</v>
      </c>
      <c r="AJ35" s="172">
        <v>0</v>
      </c>
      <c r="AK35" s="172">
        <v>0</v>
      </c>
      <c r="AL35" s="172">
        <v>0</v>
      </c>
      <c r="AM35" s="174">
        <v>0</v>
      </c>
      <c r="AN35" s="172">
        <v>3271</v>
      </c>
      <c r="AO35" s="172">
        <v>0</v>
      </c>
      <c r="AP35" s="172">
        <v>0</v>
      </c>
      <c r="AQ35" s="172">
        <v>0</v>
      </c>
      <c r="AR35" s="174">
        <v>0</v>
      </c>
      <c r="AS35" s="172">
        <v>3271</v>
      </c>
      <c r="AT35" s="172">
        <v>0</v>
      </c>
      <c r="AU35" s="172">
        <v>3271</v>
      </c>
      <c r="AV35" s="172">
        <v>7800</v>
      </c>
      <c r="AW35" s="174">
        <v>0</v>
      </c>
    </row>
    <row r="36" spans="1:49" x14ac:dyDescent="0.65">
      <c r="A36" s="149">
        <v>131</v>
      </c>
      <c r="B36" s="148" t="s">
        <v>1268</v>
      </c>
      <c r="C36" s="161">
        <v>1602</v>
      </c>
      <c r="D36" s="147" t="s">
        <v>1258</v>
      </c>
      <c r="E36" s="172">
        <v>54957.333999999995</v>
      </c>
      <c r="F36" s="172">
        <v>34.305451935081145</v>
      </c>
      <c r="G36" s="172">
        <v>1602</v>
      </c>
      <c r="H36" s="172">
        <v>59187</v>
      </c>
      <c r="I36" s="174">
        <v>36.945692883895134</v>
      </c>
      <c r="J36" s="172">
        <v>0</v>
      </c>
      <c r="K36" s="172">
        <v>0</v>
      </c>
      <c r="L36" s="172">
        <v>0</v>
      </c>
      <c r="M36" s="172">
        <v>0</v>
      </c>
      <c r="N36" s="174">
        <v>0</v>
      </c>
      <c r="O36" s="172">
        <v>0</v>
      </c>
      <c r="P36" s="172">
        <v>0</v>
      </c>
      <c r="Q36" s="172">
        <v>0</v>
      </c>
      <c r="R36" s="172">
        <v>0</v>
      </c>
      <c r="S36" s="174">
        <v>0</v>
      </c>
      <c r="T36" s="172">
        <v>0</v>
      </c>
      <c r="U36" s="172">
        <v>0</v>
      </c>
      <c r="V36" s="172">
        <v>0</v>
      </c>
      <c r="W36" s="172">
        <v>0</v>
      </c>
      <c r="X36" s="174">
        <v>0</v>
      </c>
      <c r="Y36" s="172">
        <v>0</v>
      </c>
      <c r="Z36" s="172">
        <v>0</v>
      </c>
      <c r="AA36" s="172">
        <v>0</v>
      </c>
      <c r="AB36" s="172">
        <v>0</v>
      </c>
      <c r="AC36" s="174">
        <v>0</v>
      </c>
      <c r="AD36" s="172">
        <v>800</v>
      </c>
      <c r="AE36" s="172">
        <v>27444.361548064917</v>
      </c>
      <c r="AF36" s="172">
        <v>45</v>
      </c>
      <c r="AG36" s="172">
        <v>1680.35</v>
      </c>
      <c r="AH36" s="174">
        <v>1543.7453370786516</v>
      </c>
      <c r="AI36" s="172">
        <v>800</v>
      </c>
      <c r="AJ36" s="172">
        <v>27444.361548064917</v>
      </c>
      <c r="AK36" s="172">
        <v>45</v>
      </c>
      <c r="AL36" s="172">
        <v>1680.35</v>
      </c>
      <c r="AM36" s="174">
        <v>1543.7453370786516</v>
      </c>
      <c r="AN36" s="172">
        <v>1602</v>
      </c>
      <c r="AO36" s="172">
        <v>54957.333999999995</v>
      </c>
      <c r="AP36" s="172">
        <v>53</v>
      </c>
      <c r="AQ36" s="172">
        <v>1963.53</v>
      </c>
      <c r="AR36" s="174">
        <v>1818.1889525593006</v>
      </c>
      <c r="AS36" s="172">
        <v>1602</v>
      </c>
      <c r="AT36" s="172">
        <v>54957.333999999995</v>
      </c>
      <c r="AU36" s="172">
        <v>1602</v>
      </c>
      <c r="AV36" s="172">
        <v>63042.17</v>
      </c>
      <c r="AW36" s="174">
        <v>54957.333999999995</v>
      </c>
    </row>
    <row r="37" spans="1:49" x14ac:dyDescent="0.65">
      <c r="A37" s="149">
        <v>134</v>
      </c>
      <c r="B37" s="148" t="s">
        <v>1768</v>
      </c>
      <c r="C37" s="161"/>
      <c r="E37" s="172">
        <v>0</v>
      </c>
      <c r="F37" s="172"/>
      <c r="G37" s="172"/>
      <c r="H37" s="172"/>
      <c r="I37" s="174"/>
      <c r="J37" s="172"/>
      <c r="K37" s="172"/>
      <c r="L37" s="172"/>
      <c r="M37" s="172">
        <v>0</v>
      </c>
      <c r="N37" s="174"/>
      <c r="O37" s="172"/>
      <c r="P37" s="172"/>
      <c r="Q37" s="172"/>
      <c r="R37" s="172">
        <v>0</v>
      </c>
      <c r="S37" s="174"/>
      <c r="T37" s="172"/>
      <c r="U37" s="172"/>
      <c r="V37" s="172"/>
      <c r="W37" s="172">
        <v>0</v>
      </c>
      <c r="X37" s="174"/>
      <c r="Y37" s="172"/>
      <c r="Z37" s="172"/>
      <c r="AA37" s="172"/>
      <c r="AB37" s="172">
        <v>0</v>
      </c>
      <c r="AC37" s="174"/>
      <c r="AD37" s="172"/>
      <c r="AE37" s="172"/>
      <c r="AF37" s="172"/>
      <c r="AG37" s="172">
        <v>0</v>
      </c>
      <c r="AH37" s="174"/>
      <c r="AI37" s="172"/>
      <c r="AJ37" s="172"/>
      <c r="AK37" s="172"/>
      <c r="AL37" s="172">
        <v>0</v>
      </c>
      <c r="AM37" s="174"/>
      <c r="AN37" s="172"/>
      <c r="AO37" s="172"/>
      <c r="AP37" s="172"/>
      <c r="AQ37" s="172">
        <v>0</v>
      </c>
      <c r="AR37" s="174"/>
      <c r="AS37" s="172"/>
      <c r="AT37" s="172"/>
      <c r="AU37" s="172"/>
      <c r="AV37" s="172">
        <v>708.3</v>
      </c>
      <c r="AW37" s="174"/>
    </row>
    <row r="38" spans="1:49" x14ac:dyDescent="0.65">
      <c r="A38" s="149">
        <v>141</v>
      </c>
      <c r="B38" s="148" t="s">
        <v>1269</v>
      </c>
      <c r="C38" s="161">
        <v>177</v>
      </c>
      <c r="D38" s="147" t="s">
        <v>1231</v>
      </c>
      <c r="E38" s="172">
        <v>9194.4</v>
      </c>
      <c r="F38" s="172">
        <v>51.945762711864404</v>
      </c>
      <c r="G38" s="172">
        <v>285</v>
      </c>
      <c r="H38" s="172">
        <v>14798</v>
      </c>
      <c r="I38" s="174">
        <v>51.92280701754386</v>
      </c>
      <c r="J38" s="172">
        <v>0</v>
      </c>
      <c r="K38" s="172">
        <v>0</v>
      </c>
      <c r="L38" s="172">
        <v>0</v>
      </c>
      <c r="M38" s="172">
        <v>0</v>
      </c>
      <c r="N38" s="174">
        <v>0</v>
      </c>
      <c r="O38" s="172">
        <v>24</v>
      </c>
      <c r="P38" s="172">
        <v>1246.6983050847457</v>
      </c>
      <c r="Q38" s="172">
        <v>0</v>
      </c>
      <c r="R38" s="172">
        <v>0</v>
      </c>
      <c r="S38" s="174">
        <v>0</v>
      </c>
      <c r="T38" s="172">
        <v>48</v>
      </c>
      <c r="U38" s="172">
        <v>2493.3966101694914</v>
      </c>
      <c r="V38" s="172">
        <v>0</v>
      </c>
      <c r="W38" s="172">
        <v>0</v>
      </c>
      <c r="X38" s="174">
        <v>0</v>
      </c>
      <c r="Y38" s="172">
        <v>72</v>
      </c>
      <c r="Z38" s="172">
        <v>3740.0949152542371</v>
      </c>
      <c r="AA38" s="172">
        <v>0</v>
      </c>
      <c r="AB38" s="172">
        <v>0</v>
      </c>
      <c r="AC38" s="174">
        <v>0</v>
      </c>
      <c r="AD38" s="172">
        <v>96</v>
      </c>
      <c r="AE38" s="172">
        <v>4986.7932203389828</v>
      </c>
      <c r="AF38" s="172">
        <v>28</v>
      </c>
      <c r="AG38" s="172">
        <v>1485.6999999999998</v>
      </c>
      <c r="AH38" s="174">
        <v>903.3094736842105</v>
      </c>
      <c r="AI38" s="172">
        <v>177</v>
      </c>
      <c r="AJ38" s="172">
        <v>9194.4</v>
      </c>
      <c r="AK38" s="172">
        <v>94</v>
      </c>
      <c r="AL38" s="172">
        <v>4892</v>
      </c>
      <c r="AM38" s="174">
        <v>3032.5389473684213</v>
      </c>
      <c r="AN38" s="172">
        <v>177</v>
      </c>
      <c r="AO38" s="172">
        <v>9194.4</v>
      </c>
      <c r="AP38" s="172">
        <v>120</v>
      </c>
      <c r="AQ38" s="172">
        <v>6323.6750000000011</v>
      </c>
      <c r="AR38" s="174">
        <v>3871.3263157894735</v>
      </c>
      <c r="AS38" s="172">
        <v>177</v>
      </c>
      <c r="AT38" s="172">
        <v>9194.4</v>
      </c>
      <c r="AU38" s="172">
        <v>285</v>
      </c>
      <c r="AV38" s="172">
        <v>14798.475</v>
      </c>
      <c r="AW38" s="174">
        <v>9194.4</v>
      </c>
    </row>
    <row r="39" spans="1:49" x14ac:dyDescent="0.65">
      <c r="A39" s="149">
        <v>142</v>
      </c>
      <c r="B39" s="148" t="s">
        <v>1270</v>
      </c>
      <c r="C39" s="161">
        <v>16</v>
      </c>
      <c r="D39" s="147" t="s">
        <v>1271</v>
      </c>
      <c r="E39" s="172">
        <v>16500</v>
      </c>
      <c r="F39" s="172">
        <v>1031.25</v>
      </c>
      <c r="G39" s="172">
        <v>8</v>
      </c>
      <c r="H39" s="172">
        <v>4339</v>
      </c>
      <c r="I39" s="174">
        <v>542.375</v>
      </c>
      <c r="J39" s="172">
        <v>0</v>
      </c>
      <c r="K39" s="172">
        <v>0</v>
      </c>
      <c r="L39" s="172">
        <v>0</v>
      </c>
      <c r="M39" s="172">
        <v>0</v>
      </c>
      <c r="N39" s="174">
        <v>0</v>
      </c>
      <c r="O39" s="172">
        <v>2</v>
      </c>
      <c r="P39" s="172">
        <v>2062.5</v>
      </c>
      <c r="Q39" s="172">
        <v>0</v>
      </c>
      <c r="R39" s="172">
        <v>0</v>
      </c>
      <c r="S39" s="174">
        <v>0</v>
      </c>
      <c r="T39" s="172">
        <v>6</v>
      </c>
      <c r="U39" s="172">
        <v>6187.5</v>
      </c>
      <c r="V39" s="172">
        <v>0</v>
      </c>
      <c r="W39" s="172">
        <v>0</v>
      </c>
      <c r="X39" s="174">
        <v>0</v>
      </c>
      <c r="Y39" s="172">
        <v>10</v>
      </c>
      <c r="Z39" s="172">
        <v>10312.5</v>
      </c>
      <c r="AA39" s="172">
        <v>0</v>
      </c>
      <c r="AB39" s="172">
        <v>0</v>
      </c>
      <c r="AC39" s="174">
        <v>0</v>
      </c>
      <c r="AD39" s="172">
        <v>14</v>
      </c>
      <c r="AE39" s="172">
        <v>14437.5</v>
      </c>
      <c r="AF39" s="172">
        <v>4</v>
      </c>
      <c r="AG39" s="172">
        <v>1454.11</v>
      </c>
      <c r="AH39" s="174">
        <v>8250</v>
      </c>
      <c r="AI39" s="172">
        <v>16</v>
      </c>
      <c r="AJ39" s="172">
        <v>16500</v>
      </c>
      <c r="AK39" s="172">
        <v>4</v>
      </c>
      <c r="AL39" s="172">
        <v>1454.11</v>
      </c>
      <c r="AM39" s="174">
        <v>8250</v>
      </c>
      <c r="AN39" s="172">
        <v>16</v>
      </c>
      <c r="AO39" s="172">
        <v>16500</v>
      </c>
      <c r="AP39" s="172">
        <v>8</v>
      </c>
      <c r="AQ39" s="172">
        <v>4339.41</v>
      </c>
      <c r="AR39" s="174">
        <v>16500</v>
      </c>
      <c r="AS39" s="172">
        <v>16</v>
      </c>
      <c r="AT39" s="172">
        <v>16500</v>
      </c>
      <c r="AU39" s="172">
        <v>8</v>
      </c>
      <c r="AV39" s="172">
        <v>4339.41</v>
      </c>
      <c r="AW39" s="174">
        <v>16500</v>
      </c>
    </row>
    <row r="40" spans="1:49" x14ac:dyDescent="0.65">
      <c r="A40" s="149">
        <v>151</v>
      </c>
      <c r="B40" s="148" t="s">
        <v>1272</v>
      </c>
      <c r="C40" s="161">
        <v>2000</v>
      </c>
      <c r="D40" s="147" t="s">
        <v>1258</v>
      </c>
      <c r="E40" s="172">
        <v>19140.030780307803</v>
      </c>
      <c r="F40" s="172">
        <v>9.5700153901539018</v>
      </c>
      <c r="G40" s="172">
        <v>0</v>
      </c>
      <c r="H40" s="172">
        <v>177</v>
      </c>
      <c r="I40" s="174">
        <v>0</v>
      </c>
      <c r="J40" s="172">
        <v>0</v>
      </c>
      <c r="K40" s="172">
        <v>0</v>
      </c>
      <c r="L40" s="172">
        <v>0</v>
      </c>
      <c r="M40" s="172">
        <v>0</v>
      </c>
      <c r="N40" s="174">
        <v>0</v>
      </c>
      <c r="O40" s="172">
        <v>1000</v>
      </c>
      <c r="P40" s="172">
        <v>9570.0153901539015</v>
      </c>
      <c r="Q40" s="172">
        <v>0</v>
      </c>
      <c r="R40" s="172">
        <v>0</v>
      </c>
      <c r="S40" s="174">
        <v>0</v>
      </c>
      <c r="T40" s="172">
        <v>2000</v>
      </c>
      <c r="U40" s="172">
        <v>19140.030780307803</v>
      </c>
      <c r="V40" s="172">
        <v>0</v>
      </c>
      <c r="W40" s="172">
        <v>177.255</v>
      </c>
      <c r="X40" s="174">
        <v>0</v>
      </c>
      <c r="Y40" s="172">
        <v>2000</v>
      </c>
      <c r="Z40" s="172">
        <v>19140.030780307803</v>
      </c>
      <c r="AA40" s="172">
        <v>0</v>
      </c>
      <c r="AB40" s="172">
        <v>177.255</v>
      </c>
      <c r="AC40" s="174">
        <v>19140.030780307803</v>
      </c>
      <c r="AD40" s="172">
        <v>2000</v>
      </c>
      <c r="AE40" s="172">
        <v>19140.030780307803</v>
      </c>
      <c r="AF40" s="172">
        <v>0</v>
      </c>
      <c r="AG40" s="172">
        <v>177.255</v>
      </c>
      <c r="AH40" s="174">
        <v>19140.030780307803</v>
      </c>
      <c r="AI40" s="172">
        <v>2000</v>
      </c>
      <c r="AJ40" s="172">
        <v>19140.030780307803</v>
      </c>
      <c r="AK40" s="172">
        <v>0</v>
      </c>
      <c r="AL40" s="172">
        <v>177.255</v>
      </c>
      <c r="AM40" s="174">
        <v>19140.030780307803</v>
      </c>
      <c r="AN40" s="172">
        <v>2000</v>
      </c>
      <c r="AO40" s="172">
        <v>19140.030780307803</v>
      </c>
      <c r="AP40" s="172">
        <v>0</v>
      </c>
      <c r="AQ40" s="172">
        <v>177.255</v>
      </c>
      <c r="AR40" s="174">
        <v>19140.030780307803</v>
      </c>
      <c r="AS40" s="172">
        <v>2000</v>
      </c>
      <c r="AT40" s="172">
        <v>19140.030780307803</v>
      </c>
      <c r="AU40" s="172">
        <v>0</v>
      </c>
      <c r="AV40" s="172">
        <v>177.255</v>
      </c>
      <c r="AW40" s="174">
        <v>19140.030780307803</v>
      </c>
    </row>
    <row r="41" spans="1:49" x14ac:dyDescent="0.65">
      <c r="A41" s="149">
        <v>152</v>
      </c>
      <c r="B41" s="148" t="s">
        <v>1273</v>
      </c>
      <c r="C41" s="161">
        <v>1</v>
      </c>
      <c r="D41" s="147" t="s">
        <v>1233</v>
      </c>
      <c r="E41" s="172">
        <v>12768</v>
      </c>
      <c r="F41" s="172">
        <v>12768</v>
      </c>
      <c r="G41" s="172">
        <v>1</v>
      </c>
      <c r="H41" s="172">
        <v>2806</v>
      </c>
      <c r="I41" s="174">
        <v>2806</v>
      </c>
      <c r="J41" s="172">
        <v>0</v>
      </c>
      <c r="K41" s="172">
        <v>0</v>
      </c>
      <c r="L41" s="172">
        <v>0</v>
      </c>
      <c r="M41" s="172">
        <v>0</v>
      </c>
      <c r="N41" s="174">
        <v>0</v>
      </c>
      <c r="O41" s="172">
        <v>1</v>
      </c>
      <c r="P41" s="172">
        <v>12768</v>
      </c>
      <c r="Q41" s="172">
        <v>0.05</v>
      </c>
      <c r="R41" s="172">
        <v>590.85</v>
      </c>
      <c r="S41" s="174">
        <v>638.40000000000009</v>
      </c>
      <c r="T41" s="172">
        <v>1</v>
      </c>
      <c r="U41" s="172">
        <v>12768</v>
      </c>
      <c r="V41" s="172">
        <v>0.4</v>
      </c>
      <c r="W41" s="172">
        <v>1343.8500000000001</v>
      </c>
      <c r="X41" s="174">
        <v>5107.2000000000007</v>
      </c>
      <c r="Y41" s="172">
        <v>1</v>
      </c>
      <c r="Z41" s="172">
        <v>12768</v>
      </c>
      <c r="AA41" s="172">
        <v>0.6</v>
      </c>
      <c r="AB41" s="172">
        <v>1931.2749999999999</v>
      </c>
      <c r="AC41" s="174">
        <v>7660.7999999999993</v>
      </c>
      <c r="AD41" s="172">
        <v>1</v>
      </c>
      <c r="AE41" s="172">
        <v>12768</v>
      </c>
      <c r="AF41" s="172">
        <v>1</v>
      </c>
      <c r="AG41" s="172">
        <v>2805.915</v>
      </c>
      <c r="AH41" s="174">
        <v>12768</v>
      </c>
      <c r="AI41" s="172">
        <v>1</v>
      </c>
      <c r="AJ41" s="172">
        <v>12768</v>
      </c>
      <c r="AK41" s="172">
        <v>1</v>
      </c>
      <c r="AL41" s="172">
        <v>2805.915</v>
      </c>
      <c r="AM41" s="174">
        <v>12768</v>
      </c>
      <c r="AN41" s="172">
        <v>1</v>
      </c>
      <c r="AO41" s="172">
        <v>12768</v>
      </c>
      <c r="AP41" s="172">
        <v>1</v>
      </c>
      <c r="AQ41" s="172">
        <v>2805.915</v>
      </c>
      <c r="AR41" s="174">
        <v>12768</v>
      </c>
      <c r="AS41" s="172">
        <v>1</v>
      </c>
      <c r="AT41" s="172">
        <v>12768</v>
      </c>
      <c r="AU41" s="172">
        <v>1</v>
      </c>
      <c r="AV41" s="172">
        <v>2805.915</v>
      </c>
      <c r="AW41" s="174">
        <v>12768</v>
      </c>
    </row>
    <row r="42" spans="1:49" x14ac:dyDescent="0.65">
      <c r="A42" s="149">
        <v>221</v>
      </c>
      <c r="B42" s="148" t="s">
        <v>1274</v>
      </c>
      <c r="C42" s="161">
        <v>1</v>
      </c>
      <c r="D42" s="147" t="s">
        <v>1233</v>
      </c>
      <c r="E42" s="172">
        <v>325.24</v>
      </c>
      <c r="F42" s="172">
        <v>325.24</v>
      </c>
      <c r="G42" s="172">
        <v>1</v>
      </c>
      <c r="H42" s="172">
        <v>424</v>
      </c>
      <c r="I42" s="174">
        <v>424</v>
      </c>
      <c r="J42" s="172">
        <v>0</v>
      </c>
      <c r="K42" s="172">
        <v>0</v>
      </c>
      <c r="L42" s="172">
        <v>0</v>
      </c>
      <c r="M42" s="172">
        <v>0</v>
      </c>
      <c r="N42" s="174">
        <v>0</v>
      </c>
      <c r="O42" s="172">
        <v>0</v>
      </c>
      <c r="P42" s="172">
        <v>0</v>
      </c>
      <c r="Q42" s="172">
        <v>0</v>
      </c>
      <c r="R42" s="172">
        <v>0</v>
      </c>
      <c r="S42" s="174">
        <v>0</v>
      </c>
      <c r="T42" s="172">
        <v>0</v>
      </c>
      <c r="U42" s="172">
        <v>0</v>
      </c>
      <c r="V42" s="172">
        <v>0</v>
      </c>
      <c r="W42" s="172">
        <v>0</v>
      </c>
      <c r="X42" s="174">
        <v>0</v>
      </c>
      <c r="Y42" s="172">
        <v>0</v>
      </c>
      <c r="Z42" s="172">
        <v>0</v>
      </c>
      <c r="AA42" s="172">
        <v>0</v>
      </c>
      <c r="AB42" s="172">
        <v>0</v>
      </c>
      <c r="AC42" s="174">
        <v>0</v>
      </c>
      <c r="AD42" s="172">
        <v>0</v>
      </c>
      <c r="AE42" s="172">
        <v>0</v>
      </c>
      <c r="AF42" s="172">
        <v>0</v>
      </c>
      <c r="AG42" s="172">
        <v>0</v>
      </c>
      <c r="AH42" s="174">
        <v>0</v>
      </c>
      <c r="AI42" s="172">
        <v>0</v>
      </c>
      <c r="AJ42" s="172">
        <v>0</v>
      </c>
      <c r="AK42" s="172">
        <v>0</v>
      </c>
      <c r="AL42" s="172">
        <v>0</v>
      </c>
      <c r="AM42" s="174">
        <v>0</v>
      </c>
      <c r="AN42" s="172">
        <v>0</v>
      </c>
      <c r="AO42" s="172">
        <v>0</v>
      </c>
      <c r="AP42" s="172">
        <v>0</v>
      </c>
      <c r="AQ42" s="172">
        <v>0</v>
      </c>
      <c r="AR42" s="174">
        <v>0</v>
      </c>
      <c r="AS42" s="172">
        <v>1</v>
      </c>
      <c r="AT42" s="172">
        <v>325.24</v>
      </c>
      <c r="AU42" s="172">
        <v>1</v>
      </c>
      <c r="AV42" s="172">
        <v>491.47</v>
      </c>
      <c r="AW42" s="174">
        <v>325.24</v>
      </c>
    </row>
    <row r="43" spans="1:49" x14ac:dyDescent="0.65">
      <c r="A43" s="149">
        <v>901</v>
      </c>
      <c r="B43" s="148" t="s">
        <v>1275</v>
      </c>
      <c r="C43" s="161">
        <v>9</v>
      </c>
      <c r="D43" s="147" t="s">
        <v>1271</v>
      </c>
      <c r="E43" s="172">
        <v>29792.75</v>
      </c>
      <c r="F43" s="172">
        <v>3310.3055555555557</v>
      </c>
      <c r="G43" s="172">
        <v>15</v>
      </c>
      <c r="H43" s="172">
        <v>2728</v>
      </c>
      <c r="I43" s="174">
        <v>181.86666666666667</v>
      </c>
      <c r="J43" s="172">
        <v>0</v>
      </c>
      <c r="K43" s="172">
        <v>0</v>
      </c>
      <c r="L43" s="172">
        <v>1.9</v>
      </c>
      <c r="M43" s="172">
        <v>342.19000000000005</v>
      </c>
      <c r="N43" s="174">
        <v>3773.748333333333</v>
      </c>
      <c r="O43" s="172">
        <v>2</v>
      </c>
      <c r="P43" s="172">
        <v>6620.6111111111113</v>
      </c>
      <c r="Q43" s="172">
        <v>5.7</v>
      </c>
      <c r="R43" s="172">
        <v>1035.5</v>
      </c>
      <c r="S43" s="174">
        <v>11321.245000000001</v>
      </c>
      <c r="T43" s="172">
        <v>4</v>
      </c>
      <c r="U43" s="172">
        <v>13241.222222222223</v>
      </c>
      <c r="V43" s="172">
        <v>11.1</v>
      </c>
      <c r="W43" s="172">
        <v>2025.5</v>
      </c>
      <c r="X43" s="174">
        <v>22046.634999999998</v>
      </c>
      <c r="Y43" s="172">
        <v>6</v>
      </c>
      <c r="Z43" s="172">
        <v>19861.833333333336</v>
      </c>
      <c r="AA43" s="172">
        <v>12.9</v>
      </c>
      <c r="AB43" s="172">
        <v>2340.5</v>
      </c>
      <c r="AC43" s="174">
        <v>25621.764999999999</v>
      </c>
      <c r="AD43" s="172">
        <v>8</v>
      </c>
      <c r="AE43" s="172">
        <v>26482.444444444445</v>
      </c>
      <c r="AF43" s="172">
        <v>15</v>
      </c>
      <c r="AG43" s="172">
        <v>2727.54</v>
      </c>
      <c r="AH43" s="174">
        <v>29792.75</v>
      </c>
      <c r="AI43" s="172">
        <v>9</v>
      </c>
      <c r="AJ43" s="172">
        <v>29792.75</v>
      </c>
      <c r="AK43" s="172">
        <v>15</v>
      </c>
      <c r="AL43" s="172">
        <v>2727.54</v>
      </c>
      <c r="AM43" s="174">
        <v>29792.75</v>
      </c>
      <c r="AN43" s="172">
        <v>9</v>
      </c>
      <c r="AO43" s="172">
        <v>29792.75</v>
      </c>
      <c r="AP43" s="172">
        <v>15</v>
      </c>
      <c r="AQ43" s="172">
        <v>2727.54</v>
      </c>
      <c r="AR43" s="174">
        <v>29792.75</v>
      </c>
      <c r="AS43" s="172">
        <v>9</v>
      </c>
      <c r="AT43" s="172">
        <v>29792.75</v>
      </c>
      <c r="AU43" s="172">
        <v>15</v>
      </c>
      <c r="AV43" s="172">
        <v>2727.54</v>
      </c>
      <c r="AW43" s="174">
        <v>29792.75</v>
      </c>
    </row>
    <row r="44" spans="1:49" x14ac:dyDescent="0.65">
      <c r="A44" s="149">
        <v>902</v>
      </c>
      <c r="B44" s="148" t="s">
        <v>304</v>
      </c>
      <c r="C44" s="161">
        <v>16</v>
      </c>
      <c r="D44" s="147" t="s">
        <v>1271</v>
      </c>
      <c r="E44" s="172">
        <v>38411.1</v>
      </c>
      <c r="F44" s="172">
        <v>2400.6937499999999</v>
      </c>
      <c r="G44" s="172">
        <v>30</v>
      </c>
      <c r="H44" s="172">
        <v>83151</v>
      </c>
      <c r="I44" s="174">
        <v>2771.7</v>
      </c>
      <c r="J44" s="172">
        <v>1</v>
      </c>
      <c r="K44" s="172">
        <v>2400.6937499999999</v>
      </c>
      <c r="L44" s="172">
        <v>0.6</v>
      </c>
      <c r="M44" s="172">
        <v>1723.44</v>
      </c>
      <c r="N44" s="174">
        <v>768.22199999999998</v>
      </c>
      <c r="O44" s="172">
        <v>3</v>
      </c>
      <c r="P44" s="172">
        <v>7202.0812499999993</v>
      </c>
      <c r="Q44" s="172">
        <v>5.3</v>
      </c>
      <c r="R44" s="172">
        <v>14752.419999999996</v>
      </c>
      <c r="S44" s="174">
        <v>6785.9609999999993</v>
      </c>
      <c r="T44" s="172">
        <v>7</v>
      </c>
      <c r="U44" s="172">
        <v>16804.856250000001</v>
      </c>
      <c r="V44" s="172">
        <v>10.5</v>
      </c>
      <c r="W44" s="172">
        <v>29150.32499999999</v>
      </c>
      <c r="X44" s="174">
        <v>13443.884999999998</v>
      </c>
      <c r="Y44" s="172">
        <v>11</v>
      </c>
      <c r="Z44" s="172">
        <v>26407.631249999999</v>
      </c>
      <c r="AA44" s="172">
        <v>16.600000000000001</v>
      </c>
      <c r="AB44" s="172">
        <v>45989.769999999982</v>
      </c>
      <c r="AC44" s="174">
        <v>21254.142</v>
      </c>
      <c r="AD44" s="172">
        <v>15</v>
      </c>
      <c r="AE44" s="172">
        <v>36010.40625</v>
      </c>
      <c r="AF44" s="172">
        <v>22.7</v>
      </c>
      <c r="AG44" s="172">
        <v>62865.119999999959</v>
      </c>
      <c r="AH44" s="174">
        <v>29064.398999999998</v>
      </c>
      <c r="AI44" s="172">
        <v>16</v>
      </c>
      <c r="AJ44" s="172">
        <v>38411.1</v>
      </c>
      <c r="AK44" s="172">
        <v>28.4</v>
      </c>
      <c r="AL44" s="172">
        <v>78771.035000000018</v>
      </c>
      <c r="AM44" s="174">
        <v>36362.508000000002</v>
      </c>
      <c r="AN44" s="172">
        <v>16</v>
      </c>
      <c r="AO44" s="172">
        <v>38411.1</v>
      </c>
      <c r="AP44" s="172">
        <v>29.5</v>
      </c>
      <c r="AQ44" s="172">
        <v>81894.770000000033</v>
      </c>
      <c r="AR44" s="174">
        <v>37770.914999999994</v>
      </c>
      <c r="AS44" s="172">
        <v>16</v>
      </c>
      <c r="AT44" s="172">
        <v>38411.1</v>
      </c>
      <c r="AU44" s="172">
        <v>30</v>
      </c>
      <c r="AV44" s="172">
        <v>84084.97500000002</v>
      </c>
      <c r="AW44" s="174">
        <v>38411.1</v>
      </c>
    </row>
    <row r="45" spans="1:49" x14ac:dyDescent="0.65">
      <c r="A45" s="149">
        <v>903</v>
      </c>
      <c r="B45" s="148" t="s">
        <v>1276</v>
      </c>
      <c r="C45" s="161">
        <v>16</v>
      </c>
      <c r="D45" s="147" t="s">
        <v>1271</v>
      </c>
      <c r="E45" s="172">
        <v>30636.800000000003</v>
      </c>
      <c r="F45" s="172">
        <v>1914.8000000000002</v>
      </c>
      <c r="G45" s="172">
        <v>30</v>
      </c>
      <c r="H45" s="172">
        <v>16884</v>
      </c>
      <c r="I45" s="174">
        <v>562.79999999999995</v>
      </c>
      <c r="J45" s="172">
        <v>1</v>
      </c>
      <c r="K45" s="172">
        <v>1914.8000000000002</v>
      </c>
      <c r="L45" s="172">
        <v>0</v>
      </c>
      <c r="M45" s="172">
        <v>0</v>
      </c>
      <c r="N45" s="174">
        <v>0</v>
      </c>
      <c r="O45" s="172">
        <v>3</v>
      </c>
      <c r="P45" s="172">
        <v>5744.4000000000005</v>
      </c>
      <c r="Q45" s="172">
        <v>5.7</v>
      </c>
      <c r="R45" s="172">
        <v>3200</v>
      </c>
      <c r="S45" s="174">
        <v>5820.9920000000002</v>
      </c>
      <c r="T45" s="172">
        <v>7</v>
      </c>
      <c r="U45" s="172">
        <v>13403.600000000002</v>
      </c>
      <c r="V45" s="172">
        <v>10</v>
      </c>
      <c r="W45" s="172">
        <v>5655.5800000000017</v>
      </c>
      <c r="X45" s="174">
        <v>10212.266666666666</v>
      </c>
      <c r="Y45" s="172">
        <v>11</v>
      </c>
      <c r="Z45" s="172">
        <v>21062.800000000003</v>
      </c>
      <c r="AA45" s="172">
        <v>12.3</v>
      </c>
      <c r="AB45" s="172">
        <v>6907.7400000000016</v>
      </c>
      <c r="AC45" s="174">
        <v>12561.088000000002</v>
      </c>
      <c r="AD45" s="172">
        <v>15</v>
      </c>
      <c r="AE45" s="172">
        <v>28722.000000000004</v>
      </c>
      <c r="AF45" s="172">
        <v>17.899999999999999</v>
      </c>
      <c r="AG45" s="172">
        <v>10075.240000000003</v>
      </c>
      <c r="AH45" s="174">
        <v>18279.957333333332</v>
      </c>
      <c r="AI45" s="172">
        <v>16</v>
      </c>
      <c r="AJ45" s="172">
        <v>30636.800000000003</v>
      </c>
      <c r="AK45" s="172">
        <v>18.3</v>
      </c>
      <c r="AL45" s="172">
        <v>10310.440000000004</v>
      </c>
      <c r="AM45" s="174">
        <v>18688.448</v>
      </c>
      <c r="AN45" s="172">
        <v>16</v>
      </c>
      <c r="AO45" s="172">
        <v>30636.800000000003</v>
      </c>
      <c r="AP45" s="172">
        <v>27.7</v>
      </c>
      <c r="AQ45" s="172">
        <v>15568.750000000005</v>
      </c>
      <c r="AR45" s="174">
        <v>28287.97866666667</v>
      </c>
      <c r="AS45" s="172">
        <v>16</v>
      </c>
      <c r="AT45" s="172">
        <v>30636.800000000003</v>
      </c>
      <c r="AU45" s="172">
        <v>30</v>
      </c>
      <c r="AV45" s="172">
        <v>16883.860000000004</v>
      </c>
      <c r="AW45" s="174">
        <v>30636.800000000003</v>
      </c>
    </row>
    <row r="46" spans="1:49" x14ac:dyDescent="0.65">
      <c r="A46" s="149">
        <v>904</v>
      </c>
      <c r="B46" s="148" t="s">
        <v>1277</v>
      </c>
      <c r="C46" s="161">
        <v>1</v>
      </c>
      <c r="D46" s="147" t="s">
        <v>1233</v>
      </c>
      <c r="E46" s="172">
        <v>26060</v>
      </c>
      <c r="F46" s="172">
        <v>26060</v>
      </c>
      <c r="G46" s="172">
        <v>1</v>
      </c>
      <c r="H46" s="172">
        <v>18189</v>
      </c>
      <c r="I46" s="174">
        <v>18189</v>
      </c>
      <c r="J46" s="172">
        <v>0.5</v>
      </c>
      <c r="K46" s="172">
        <v>13030</v>
      </c>
      <c r="L46" s="172">
        <v>0.3</v>
      </c>
      <c r="M46" s="172">
        <v>5968.45</v>
      </c>
      <c r="N46" s="174">
        <v>7818</v>
      </c>
      <c r="O46" s="172">
        <v>1</v>
      </c>
      <c r="P46" s="172">
        <v>26060</v>
      </c>
      <c r="Q46" s="172">
        <v>0.9</v>
      </c>
      <c r="R46" s="172">
        <v>16540.170000000002</v>
      </c>
      <c r="S46" s="174">
        <v>23454</v>
      </c>
      <c r="T46" s="172">
        <v>1</v>
      </c>
      <c r="U46" s="172">
        <v>26060</v>
      </c>
      <c r="V46" s="172">
        <v>0.98</v>
      </c>
      <c r="W46" s="172">
        <v>17953.640000000003</v>
      </c>
      <c r="X46" s="174">
        <v>25538.799999999999</v>
      </c>
      <c r="Y46" s="172">
        <v>1</v>
      </c>
      <c r="Z46" s="172">
        <v>26060</v>
      </c>
      <c r="AA46" s="172">
        <v>1</v>
      </c>
      <c r="AB46" s="172">
        <v>18142.960000000003</v>
      </c>
      <c r="AC46" s="174">
        <v>26060</v>
      </c>
      <c r="AD46" s="172">
        <v>1</v>
      </c>
      <c r="AE46" s="172">
        <v>26060</v>
      </c>
      <c r="AF46" s="172">
        <v>1</v>
      </c>
      <c r="AG46" s="172">
        <v>18188.800000000003</v>
      </c>
      <c r="AH46" s="174">
        <v>26060</v>
      </c>
      <c r="AI46" s="172">
        <v>1</v>
      </c>
      <c r="AJ46" s="172">
        <v>26060</v>
      </c>
      <c r="AK46" s="172">
        <v>1</v>
      </c>
      <c r="AL46" s="172">
        <v>18188.800000000003</v>
      </c>
      <c r="AM46" s="174">
        <v>26060</v>
      </c>
      <c r="AN46" s="172">
        <v>1</v>
      </c>
      <c r="AO46" s="172">
        <v>26060</v>
      </c>
      <c r="AP46" s="172">
        <v>1</v>
      </c>
      <c r="AQ46" s="172">
        <v>18188.800000000003</v>
      </c>
      <c r="AR46" s="174">
        <v>26060</v>
      </c>
      <c r="AS46" s="172">
        <v>1</v>
      </c>
      <c r="AT46" s="172">
        <v>26060</v>
      </c>
      <c r="AU46" s="172">
        <v>1</v>
      </c>
      <c r="AV46" s="172">
        <v>18188.800000000003</v>
      </c>
      <c r="AW46" s="174">
        <v>26060</v>
      </c>
    </row>
    <row r="47" spans="1:49" x14ac:dyDescent="0.65">
      <c r="A47" s="149">
        <v>905</v>
      </c>
      <c r="B47" s="148" t="s">
        <v>796</v>
      </c>
      <c r="C47" s="161">
        <v>1</v>
      </c>
      <c r="D47" s="147" t="s">
        <v>1233</v>
      </c>
      <c r="E47" s="172">
        <v>4224</v>
      </c>
      <c r="F47" s="172">
        <v>4224</v>
      </c>
      <c r="G47" s="172">
        <v>1.08</v>
      </c>
      <c r="H47" s="172">
        <v>4559</v>
      </c>
      <c r="I47" s="174">
        <v>4221.2962962962956</v>
      </c>
      <c r="J47" s="172">
        <v>0</v>
      </c>
      <c r="K47" s="172">
        <v>0</v>
      </c>
      <c r="L47" s="172">
        <v>0</v>
      </c>
      <c r="M47" s="172">
        <v>0</v>
      </c>
      <c r="N47" s="174">
        <v>0</v>
      </c>
      <c r="O47" s="172">
        <v>0</v>
      </c>
      <c r="P47" s="172">
        <v>0</v>
      </c>
      <c r="Q47" s="172">
        <v>0.02</v>
      </c>
      <c r="R47" s="172">
        <v>98</v>
      </c>
      <c r="S47" s="174">
        <v>78.222222222222214</v>
      </c>
      <c r="T47" s="172">
        <v>0.25</v>
      </c>
      <c r="U47" s="172">
        <v>1056</v>
      </c>
      <c r="V47" s="172">
        <v>0.6</v>
      </c>
      <c r="W47" s="172">
        <v>2503.9360000000001</v>
      </c>
      <c r="X47" s="174">
        <v>2346.6666666666665</v>
      </c>
      <c r="Y47" s="172">
        <v>0.5</v>
      </c>
      <c r="Z47" s="172">
        <v>2112</v>
      </c>
      <c r="AA47" s="172">
        <v>0.7</v>
      </c>
      <c r="AB47" s="172">
        <v>3037.0059999999999</v>
      </c>
      <c r="AC47" s="174">
        <v>2737.7777777777774</v>
      </c>
      <c r="AD47" s="172">
        <v>0.75</v>
      </c>
      <c r="AE47" s="172">
        <v>3168</v>
      </c>
      <c r="AF47" s="172">
        <v>1.02</v>
      </c>
      <c r="AG47" s="172">
        <v>4319.6960000000008</v>
      </c>
      <c r="AH47" s="174">
        <v>3989.333333333333</v>
      </c>
      <c r="AI47" s="172">
        <v>1</v>
      </c>
      <c r="AJ47" s="172">
        <v>4224</v>
      </c>
      <c r="AK47" s="172">
        <v>1</v>
      </c>
      <c r="AL47" s="172">
        <v>4374.1560000000009</v>
      </c>
      <c r="AM47" s="174">
        <v>3911.1111111111109</v>
      </c>
      <c r="AN47" s="172">
        <v>1</v>
      </c>
      <c r="AO47" s="172">
        <v>4224</v>
      </c>
      <c r="AP47" s="172">
        <v>1</v>
      </c>
      <c r="AQ47" s="172">
        <v>4428.6060000000007</v>
      </c>
      <c r="AR47" s="174">
        <v>3911.1111111111109</v>
      </c>
      <c r="AS47" s="172">
        <v>1</v>
      </c>
      <c r="AT47" s="172">
        <v>4224</v>
      </c>
      <c r="AU47" s="172">
        <v>1.08</v>
      </c>
      <c r="AV47" s="172">
        <v>4558.8360000000011</v>
      </c>
      <c r="AW47" s="174">
        <v>4224</v>
      </c>
    </row>
    <row r="48" spans="1:49" x14ac:dyDescent="0.65">
      <c r="A48" s="149">
        <v>907</v>
      </c>
      <c r="B48" s="148" t="s">
        <v>1278</v>
      </c>
      <c r="C48" s="161">
        <v>1</v>
      </c>
      <c r="D48" s="147" t="s">
        <v>1233</v>
      </c>
      <c r="E48" s="172">
        <v>13900</v>
      </c>
      <c r="F48" s="172">
        <v>13900</v>
      </c>
      <c r="G48" s="172">
        <v>1</v>
      </c>
      <c r="H48" s="172">
        <v>8228</v>
      </c>
      <c r="I48" s="174">
        <v>8228</v>
      </c>
      <c r="J48" s="172">
        <v>0.25</v>
      </c>
      <c r="K48" s="172">
        <v>3475</v>
      </c>
      <c r="L48" s="172">
        <v>0</v>
      </c>
      <c r="M48" s="172">
        <v>0</v>
      </c>
      <c r="N48" s="174">
        <v>0</v>
      </c>
      <c r="O48" s="172">
        <v>1</v>
      </c>
      <c r="P48" s="172">
        <v>13900</v>
      </c>
      <c r="Q48" s="172">
        <v>0.2</v>
      </c>
      <c r="R48" s="172">
        <v>2425.73</v>
      </c>
      <c r="S48" s="174">
        <v>2780</v>
      </c>
      <c r="T48" s="172">
        <v>1</v>
      </c>
      <c r="U48" s="172">
        <v>13900</v>
      </c>
      <c r="V48" s="172">
        <v>0.5</v>
      </c>
      <c r="W48" s="172">
        <v>4334.7800000000007</v>
      </c>
      <c r="X48" s="174">
        <v>6950</v>
      </c>
      <c r="Y48" s="172">
        <v>1</v>
      </c>
      <c r="Z48" s="172">
        <v>13900</v>
      </c>
      <c r="AA48" s="172">
        <v>0.5</v>
      </c>
      <c r="AB48" s="172">
        <v>4334.7800000000007</v>
      </c>
      <c r="AC48" s="174">
        <v>6950</v>
      </c>
      <c r="AD48" s="172">
        <v>1</v>
      </c>
      <c r="AE48" s="172">
        <v>13900</v>
      </c>
      <c r="AF48" s="172">
        <v>0.5</v>
      </c>
      <c r="AG48" s="172">
        <v>4594.7800000000007</v>
      </c>
      <c r="AH48" s="174">
        <v>6950</v>
      </c>
      <c r="AI48" s="172">
        <v>1</v>
      </c>
      <c r="AJ48" s="172">
        <v>13900</v>
      </c>
      <c r="AK48" s="172">
        <v>0.5</v>
      </c>
      <c r="AL48" s="172">
        <v>4594.7800000000007</v>
      </c>
      <c r="AM48" s="174">
        <v>6950</v>
      </c>
      <c r="AN48" s="172">
        <v>1</v>
      </c>
      <c r="AO48" s="172">
        <v>13900</v>
      </c>
      <c r="AP48" s="172">
        <v>1</v>
      </c>
      <c r="AQ48" s="172">
        <v>8228.3600000000024</v>
      </c>
      <c r="AR48" s="174">
        <v>13900</v>
      </c>
      <c r="AS48" s="172">
        <v>1</v>
      </c>
      <c r="AT48" s="172">
        <v>13900</v>
      </c>
      <c r="AU48" s="172">
        <v>1</v>
      </c>
      <c r="AV48" s="172">
        <v>8728.3600000000024</v>
      </c>
      <c r="AW48" s="174">
        <v>13900</v>
      </c>
    </row>
    <row r="49" spans="1:49" x14ac:dyDescent="0.65">
      <c r="A49" s="149">
        <v>910</v>
      </c>
      <c r="B49" s="148" t="s">
        <v>1279</v>
      </c>
      <c r="C49" s="161">
        <v>1</v>
      </c>
      <c r="D49" s="147" t="s">
        <v>1233</v>
      </c>
      <c r="E49" s="172">
        <v>16740</v>
      </c>
      <c r="F49" s="172">
        <v>16740</v>
      </c>
      <c r="G49" s="172">
        <v>1</v>
      </c>
      <c r="H49" s="172">
        <v>3875</v>
      </c>
      <c r="I49" s="174">
        <v>3875</v>
      </c>
      <c r="J49" s="172">
        <v>0</v>
      </c>
      <c r="K49" s="172">
        <v>0</v>
      </c>
      <c r="L49" s="172">
        <v>0</v>
      </c>
      <c r="M49" s="172">
        <v>0</v>
      </c>
      <c r="N49" s="174">
        <v>0</v>
      </c>
      <c r="O49" s="172">
        <v>0</v>
      </c>
      <c r="P49" s="172">
        <v>0</v>
      </c>
      <c r="Q49" s="172">
        <v>0</v>
      </c>
      <c r="R49" s="172">
        <v>0</v>
      </c>
      <c r="S49" s="174">
        <v>0</v>
      </c>
      <c r="T49" s="172">
        <v>0</v>
      </c>
      <c r="U49" s="172">
        <v>0</v>
      </c>
      <c r="V49" s="172">
        <v>0</v>
      </c>
      <c r="W49" s="172">
        <v>0</v>
      </c>
      <c r="X49" s="174">
        <v>0</v>
      </c>
      <c r="Y49" s="172">
        <v>0</v>
      </c>
      <c r="Z49" s="172">
        <v>0</v>
      </c>
      <c r="AA49" s="172">
        <v>0</v>
      </c>
      <c r="AB49" s="172">
        <v>0</v>
      </c>
      <c r="AC49" s="174">
        <v>0</v>
      </c>
      <c r="AD49" s="172">
        <v>0</v>
      </c>
      <c r="AE49" s="172">
        <v>0</v>
      </c>
      <c r="AF49" s="172">
        <v>0</v>
      </c>
      <c r="AG49" s="172">
        <v>0</v>
      </c>
      <c r="AH49" s="174">
        <v>0</v>
      </c>
      <c r="AI49" s="172">
        <v>0</v>
      </c>
      <c r="AJ49" s="172">
        <v>0</v>
      </c>
      <c r="AK49" s="172">
        <v>0</v>
      </c>
      <c r="AL49" s="172">
        <v>0</v>
      </c>
      <c r="AM49" s="174">
        <v>0</v>
      </c>
      <c r="AN49" s="172">
        <v>1</v>
      </c>
      <c r="AO49" s="172">
        <v>16740</v>
      </c>
      <c r="AP49" s="172">
        <v>0</v>
      </c>
      <c r="AQ49" s="172">
        <v>350</v>
      </c>
      <c r="AR49" s="174">
        <v>0</v>
      </c>
      <c r="AS49" s="172">
        <v>1</v>
      </c>
      <c r="AT49" s="172">
        <v>16740</v>
      </c>
      <c r="AU49" s="172">
        <v>1</v>
      </c>
      <c r="AV49" s="172">
        <v>3874.9</v>
      </c>
      <c r="AW49" s="174">
        <v>16740</v>
      </c>
    </row>
    <row r="50" spans="1:49" ht="16.25" x14ac:dyDescent="0.65">
      <c r="A50" s="149" t="s">
        <v>946</v>
      </c>
      <c r="B50" s="148" t="s">
        <v>1280</v>
      </c>
      <c r="C50" s="161">
        <v>100.7</v>
      </c>
      <c r="D50" s="147" t="s">
        <v>1236</v>
      </c>
      <c r="E50" s="172">
        <v>15804.82560774392</v>
      </c>
      <c r="F50" s="172">
        <v>156.94960881572908</v>
      </c>
      <c r="G50" s="172">
        <v>136.5</v>
      </c>
      <c r="H50" s="172">
        <v>21588</v>
      </c>
      <c r="I50" s="174">
        <v>158.15384615384616</v>
      </c>
      <c r="J50" s="172">
        <v>0</v>
      </c>
      <c r="K50" s="172">
        <v>0</v>
      </c>
      <c r="L50" s="172">
        <v>0</v>
      </c>
      <c r="M50" s="172">
        <v>0</v>
      </c>
      <c r="N50" s="174">
        <v>0</v>
      </c>
      <c r="O50" s="172">
        <v>0</v>
      </c>
      <c r="P50" s="172">
        <v>0</v>
      </c>
      <c r="Q50" s="172">
        <v>0</v>
      </c>
      <c r="R50" s="172">
        <v>0</v>
      </c>
      <c r="S50" s="174">
        <v>0</v>
      </c>
      <c r="T50" s="172">
        <v>0</v>
      </c>
      <c r="U50" s="172">
        <v>0</v>
      </c>
      <c r="V50" s="172">
        <v>0</v>
      </c>
      <c r="W50" s="172">
        <v>0</v>
      </c>
      <c r="X50" s="174">
        <v>0</v>
      </c>
      <c r="Y50" s="172">
        <v>25</v>
      </c>
      <c r="Z50" s="172">
        <v>3923.740220393227</v>
      </c>
      <c r="AA50" s="172">
        <v>4.5</v>
      </c>
      <c r="AB50" s="172">
        <v>708.96</v>
      </c>
      <c r="AC50" s="174">
        <v>521.03820684870072</v>
      </c>
      <c r="AD50" s="172">
        <v>50</v>
      </c>
      <c r="AE50" s="172">
        <v>7847.480440786454</v>
      </c>
      <c r="AF50" s="172">
        <v>58</v>
      </c>
      <c r="AG50" s="172">
        <v>9225.8000000000011</v>
      </c>
      <c r="AH50" s="174">
        <v>6715.603554938808</v>
      </c>
      <c r="AI50" s="172">
        <v>50</v>
      </c>
      <c r="AJ50" s="172">
        <v>7847.480440786454</v>
      </c>
      <c r="AK50" s="172">
        <v>112</v>
      </c>
      <c r="AL50" s="172">
        <v>16426.64</v>
      </c>
      <c r="AM50" s="174">
        <v>12968.062037123216</v>
      </c>
      <c r="AN50" s="172">
        <v>100.7</v>
      </c>
      <c r="AO50" s="172">
        <v>15804.825607743918</v>
      </c>
      <c r="AP50" s="172">
        <v>125</v>
      </c>
      <c r="AQ50" s="172">
        <v>18574.52</v>
      </c>
      <c r="AR50" s="174">
        <v>14473.283523575017</v>
      </c>
      <c r="AS50" s="172">
        <v>100.7</v>
      </c>
      <c r="AT50" s="172">
        <v>15804.825607743918</v>
      </c>
      <c r="AU50" s="172">
        <v>136.5</v>
      </c>
      <c r="AV50" s="172">
        <v>20388.2</v>
      </c>
      <c r="AW50" s="174">
        <v>15804.82560774392</v>
      </c>
    </row>
    <row r="51" spans="1:49" ht="16.25" x14ac:dyDescent="0.65">
      <c r="A51" s="149" t="s">
        <v>957</v>
      </c>
      <c r="B51" s="148" t="s">
        <v>1281</v>
      </c>
      <c r="C51" s="161">
        <v>51.26</v>
      </c>
      <c r="D51" s="147" t="s">
        <v>1236</v>
      </c>
      <c r="E51" s="172">
        <v>9507.2156843118373</v>
      </c>
      <c r="F51" s="172">
        <v>185.47045814108151</v>
      </c>
      <c r="G51" s="172">
        <v>213</v>
      </c>
      <c r="H51" s="172">
        <v>39263</v>
      </c>
      <c r="I51" s="174">
        <v>184.33333333333334</v>
      </c>
      <c r="J51" s="172">
        <v>0</v>
      </c>
      <c r="K51" s="172">
        <v>0</v>
      </c>
      <c r="L51" s="172">
        <v>0</v>
      </c>
      <c r="M51" s="172">
        <v>0</v>
      </c>
      <c r="N51" s="174">
        <v>0</v>
      </c>
      <c r="O51" s="172">
        <v>0</v>
      </c>
      <c r="P51" s="172">
        <v>0</v>
      </c>
      <c r="Q51" s="172">
        <v>0</v>
      </c>
      <c r="R51" s="172">
        <v>0</v>
      </c>
      <c r="S51" s="174">
        <v>0</v>
      </c>
      <c r="T51" s="172">
        <v>0</v>
      </c>
      <c r="U51" s="172">
        <v>0</v>
      </c>
      <c r="V51" s="172">
        <v>0</v>
      </c>
      <c r="W51" s="172">
        <v>0</v>
      </c>
      <c r="X51" s="174">
        <v>0</v>
      </c>
      <c r="Y51" s="172">
        <v>0</v>
      </c>
      <c r="Z51" s="172">
        <v>0</v>
      </c>
      <c r="AA51" s="172">
        <v>49</v>
      </c>
      <c r="AB51" s="172">
        <v>9010.2999999999993</v>
      </c>
      <c r="AC51" s="174">
        <v>2187.1059555459155</v>
      </c>
      <c r="AD51" s="172">
        <v>35</v>
      </c>
      <c r="AE51" s="172">
        <v>6491.4660349378528</v>
      </c>
      <c r="AF51" s="172">
        <v>84</v>
      </c>
      <c r="AG51" s="172">
        <v>15597.72</v>
      </c>
      <c r="AH51" s="174">
        <v>3749.3244952215696</v>
      </c>
      <c r="AI51" s="172">
        <v>51.26</v>
      </c>
      <c r="AJ51" s="172">
        <v>9507.2156843118373</v>
      </c>
      <c r="AK51" s="172">
        <v>186</v>
      </c>
      <c r="AL51" s="172">
        <v>34343.428</v>
      </c>
      <c r="AM51" s="174">
        <v>8302.0756679906171</v>
      </c>
      <c r="AN51" s="172">
        <v>51.26</v>
      </c>
      <c r="AO51" s="172">
        <v>9507.2156843118373</v>
      </c>
      <c r="AP51" s="172">
        <v>213</v>
      </c>
      <c r="AQ51" s="172">
        <v>39263.228000000003</v>
      </c>
      <c r="AR51" s="174">
        <v>9507.2156843118373</v>
      </c>
      <c r="AS51" s="172">
        <v>51.26</v>
      </c>
      <c r="AT51" s="172">
        <v>9507.2156843118373</v>
      </c>
      <c r="AU51" s="172">
        <v>213</v>
      </c>
      <c r="AV51" s="172">
        <v>39263.228000000003</v>
      </c>
      <c r="AW51" s="174">
        <v>9507.2156843118373</v>
      </c>
    </row>
    <row r="52" spans="1:49" ht="16.25" x14ac:dyDescent="0.65">
      <c r="A52" s="149" t="s">
        <v>949</v>
      </c>
      <c r="B52" s="148" t="s">
        <v>1282</v>
      </c>
      <c r="C52" s="161">
        <v>111</v>
      </c>
      <c r="D52" s="147" t="s">
        <v>1236</v>
      </c>
      <c r="E52" s="172">
        <v>25589.698701337624</v>
      </c>
      <c r="F52" s="172">
        <v>230.5378261381768</v>
      </c>
      <c r="G52" s="172">
        <v>136</v>
      </c>
      <c r="H52" s="172">
        <v>25054</v>
      </c>
      <c r="I52" s="174">
        <v>184.22058823529412</v>
      </c>
      <c r="J52" s="172">
        <v>0</v>
      </c>
      <c r="K52" s="172">
        <v>0</v>
      </c>
      <c r="L52" s="172">
        <v>0</v>
      </c>
      <c r="M52" s="172">
        <v>0</v>
      </c>
      <c r="N52" s="174">
        <v>0</v>
      </c>
      <c r="O52" s="172">
        <v>0</v>
      </c>
      <c r="P52" s="172">
        <v>0</v>
      </c>
      <c r="Q52" s="172">
        <v>0</v>
      </c>
      <c r="R52" s="172">
        <v>0</v>
      </c>
      <c r="S52" s="174">
        <v>0</v>
      </c>
      <c r="T52" s="172">
        <v>8</v>
      </c>
      <c r="U52" s="172">
        <v>1844.3026091054144</v>
      </c>
      <c r="V52" s="172">
        <v>0</v>
      </c>
      <c r="W52" s="172">
        <v>0</v>
      </c>
      <c r="X52" s="174">
        <v>0</v>
      </c>
      <c r="Y52" s="172">
        <v>8</v>
      </c>
      <c r="Z52" s="172">
        <v>1844.3026091054144</v>
      </c>
      <c r="AA52" s="172">
        <v>7.5</v>
      </c>
      <c r="AB52" s="172">
        <v>1377.4</v>
      </c>
      <c r="AC52" s="174">
        <v>1411.1966195590601</v>
      </c>
      <c r="AD52" s="172">
        <v>29</v>
      </c>
      <c r="AE52" s="172">
        <v>6685.5969580071269</v>
      </c>
      <c r="AF52" s="172">
        <v>9</v>
      </c>
      <c r="AG52" s="172">
        <v>1673.43</v>
      </c>
      <c r="AH52" s="174">
        <v>1693.4359434708722</v>
      </c>
      <c r="AI52" s="172">
        <v>111</v>
      </c>
      <c r="AJ52" s="172">
        <v>25589.698701337624</v>
      </c>
      <c r="AK52" s="172">
        <v>16</v>
      </c>
      <c r="AL52" s="172">
        <v>2873.13</v>
      </c>
      <c r="AM52" s="174">
        <v>3010.5527883926616</v>
      </c>
      <c r="AN52" s="172">
        <v>111</v>
      </c>
      <c r="AO52" s="172">
        <v>25589.698701337624</v>
      </c>
      <c r="AP52" s="172">
        <v>19</v>
      </c>
      <c r="AQ52" s="172">
        <v>3561.83</v>
      </c>
      <c r="AR52" s="174">
        <v>3575.0314362162858</v>
      </c>
      <c r="AS52" s="172">
        <v>111</v>
      </c>
      <c r="AT52" s="172">
        <v>25589.698701337624</v>
      </c>
      <c r="AU52" s="172">
        <v>136</v>
      </c>
      <c r="AV52" s="172">
        <v>3561.83</v>
      </c>
      <c r="AW52" s="174">
        <v>25589.698701337624</v>
      </c>
    </row>
    <row r="53" spans="1:49" x14ac:dyDescent="0.65">
      <c r="A53" s="149" t="s">
        <v>942</v>
      </c>
      <c r="B53" s="148" t="s">
        <v>1283</v>
      </c>
      <c r="C53" s="161">
        <v>36</v>
      </c>
      <c r="D53" s="147" t="s">
        <v>64</v>
      </c>
      <c r="E53" s="172">
        <v>332</v>
      </c>
      <c r="F53" s="172">
        <v>9.2222222222222214</v>
      </c>
      <c r="G53" s="172">
        <v>36</v>
      </c>
      <c r="H53" s="172">
        <v>12852</v>
      </c>
      <c r="I53" s="174">
        <v>357</v>
      </c>
      <c r="J53" s="172">
        <v>0</v>
      </c>
      <c r="K53" s="172">
        <v>0</v>
      </c>
      <c r="L53" s="172">
        <v>0</v>
      </c>
      <c r="M53" s="172">
        <v>0</v>
      </c>
      <c r="N53" s="174">
        <v>0</v>
      </c>
      <c r="O53" s="172">
        <v>0</v>
      </c>
      <c r="P53" s="172">
        <v>0</v>
      </c>
      <c r="Q53" s="172">
        <v>0</v>
      </c>
      <c r="R53" s="172">
        <v>0</v>
      </c>
      <c r="S53" s="174">
        <v>0</v>
      </c>
      <c r="T53" s="172">
        <v>0</v>
      </c>
      <c r="U53" s="172">
        <v>0</v>
      </c>
      <c r="V53" s="172">
        <v>0</v>
      </c>
      <c r="W53" s="172">
        <v>0</v>
      </c>
      <c r="X53" s="174">
        <v>0</v>
      </c>
      <c r="Y53" s="172">
        <v>0</v>
      </c>
      <c r="Z53" s="172">
        <v>0</v>
      </c>
      <c r="AA53" s="172"/>
      <c r="AB53" s="172">
        <v>0</v>
      </c>
      <c r="AC53" s="174">
        <v>0</v>
      </c>
      <c r="AD53" s="172">
        <v>36</v>
      </c>
      <c r="AE53" s="172">
        <v>332</v>
      </c>
      <c r="AF53" s="172"/>
      <c r="AG53" s="172">
        <v>12852</v>
      </c>
      <c r="AH53" s="174">
        <v>0</v>
      </c>
      <c r="AI53" s="172">
        <v>36</v>
      </c>
      <c r="AJ53" s="172">
        <v>332</v>
      </c>
      <c r="AK53" s="172">
        <v>36</v>
      </c>
      <c r="AL53" s="172">
        <v>12852</v>
      </c>
      <c r="AM53" s="174">
        <v>332</v>
      </c>
      <c r="AN53" s="172">
        <v>36</v>
      </c>
      <c r="AO53" s="172">
        <v>332</v>
      </c>
      <c r="AP53" s="172">
        <v>36</v>
      </c>
      <c r="AQ53" s="172">
        <v>12852</v>
      </c>
      <c r="AR53" s="174">
        <v>332</v>
      </c>
      <c r="AS53" s="172">
        <v>36</v>
      </c>
      <c r="AT53" s="172">
        <v>332</v>
      </c>
      <c r="AU53" s="172">
        <v>36</v>
      </c>
      <c r="AV53" s="172">
        <v>12852</v>
      </c>
      <c r="AW53" s="174">
        <v>332</v>
      </c>
    </row>
    <row r="54" spans="1:49" x14ac:dyDescent="0.65">
      <c r="A54" s="149" t="s">
        <v>964</v>
      </c>
      <c r="B54" s="148" t="s">
        <v>1284</v>
      </c>
      <c r="C54" s="161">
        <v>1465</v>
      </c>
      <c r="D54" s="147" t="s">
        <v>1258</v>
      </c>
      <c r="E54" s="172">
        <v>7656.1374999999998</v>
      </c>
      <c r="F54" s="172">
        <v>5.2260324232081912</v>
      </c>
      <c r="G54" s="172">
        <v>1465</v>
      </c>
      <c r="H54" s="172">
        <v>12317</v>
      </c>
      <c r="I54" s="174">
        <v>8.4075085324232077</v>
      </c>
      <c r="J54" s="172">
        <v>0</v>
      </c>
      <c r="K54" s="172">
        <v>0</v>
      </c>
      <c r="L54" s="172">
        <v>0</v>
      </c>
      <c r="M54" s="172">
        <v>0</v>
      </c>
      <c r="N54" s="174">
        <v>0</v>
      </c>
      <c r="O54" s="172">
        <v>0</v>
      </c>
      <c r="P54" s="172">
        <v>0</v>
      </c>
      <c r="Q54" s="172">
        <v>0</v>
      </c>
      <c r="R54" s="172">
        <v>0</v>
      </c>
      <c r="S54" s="174">
        <v>0</v>
      </c>
      <c r="T54" s="172">
        <v>1465</v>
      </c>
      <c r="U54" s="172">
        <v>7656.1374999999998</v>
      </c>
      <c r="V54" s="172">
        <v>1465</v>
      </c>
      <c r="W54" s="172">
        <v>6927.4</v>
      </c>
      <c r="X54" s="174">
        <v>7656.1374999999998</v>
      </c>
      <c r="Y54" s="172">
        <v>1465</v>
      </c>
      <c r="Z54" s="172">
        <v>7656.1374999999998</v>
      </c>
      <c r="AA54" s="172">
        <v>1465</v>
      </c>
      <c r="AB54" s="172">
        <v>9843.5</v>
      </c>
      <c r="AC54" s="174">
        <v>7656.1374999999998</v>
      </c>
      <c r="AD54" s="172">
        <v>1465</v>
      </c>
      <c r="AE54" s="172">
        <v>7656.1374999999998</v>
      </c>
      <c r="AF54" s="172">
        <v>1465</v>
      </c>
      <c r="AG54" s="172">
        <v>12304.5</v>
      </c>
      <c r="AH54" s="174">
        <v>7656.1374999999998</v>
      </c>
      <c r="AI54" s="172">
        <v>1465</v>
      </c>
      <c r="AJ54" s="172">
        <v>7656.1374999999998</v>
      </c>
      <c r="AK54" s="172">
        <v>1465</v>
      </c>
      <c r="AL54" s="172">
        <v>12317.34</v>
      </c>
      <c r="AM54" s="174">
        <v>7656.1374999999998</v>
      </c>
      <c r="AN54" s="172">
        <v>1465</v>
      </c>
      <c r="AO54" s="172">
        <v>7656.1374999999998</v>
      </c>
      <c r="AP54" s="172">
        <v>1465</v>
      </c>
      <c r="AQ54" s="172">
        <v>12317.34</v>
      </c>
      <c r="AR54" s="174">
        <v>7656.1374999999998</v>
      </c>
      <c r="AS54" s="172">
        <v>1465</v>
      </c>
      <c r="AT54" s="172">
        <v>7656.1374999999998</v>
      </c>
      <c r="AU54" s="172">
        <v>1465</v>
      </c>
      <c r="AV54" s="172">
        <v>12317.34</v>
      </c>
      <c r="AW54" s="174">
        <v>7656.1374999999998</v>
      </c>
    </row>
    <row r="55" spans="1:49" x14ac:dyDescent="0.65">
      <c r="A55" s="149" t="s">
        <v>965</v>
      </c>
      <c r="B55" s="148" t="s">
        <v>1285</v>
      </c>
      <c r="C55" s="161">
        <v>1</v>
      </c>
      <c r="D55" s="147" t="s">
        <v>1233</v>
      </c>
      <c r="E55" s="172">
        <v>14766.488000000001</v>
      </c>
      <c r="F55" s="172">
        <v>14766.488000000001</v>
      </c>
      <c r="G55" s="172">
        <v>1</v>
      </c>
      <c r="H55" s="172">
        <v>9591</v>
      </c>
      <c r="I55" s="174">
        <v>9591</v>
      </c>
      <c r="J55" s="172">
        <v>0</v>
      </c>
      <c r="K55" s="172">
        <v>0</v>
      </c>
      <c r="L55" s="172">
        <v>0</v>
      </c>
      <c r="M55" s="172">
        <v>0</v>
      </c>
      <c r="N55" s="174">
        <v>0</v>
      </c>
      <c r="O55" s="172">
        <v>0</v>
      </c>
      <c r="P55" s="172">
        <v>0</v>
      </c>
      <c r="Q55" s="172">
        <v>0</v>
      </c>
      <c r="R55" s="172">
        <v>0</v>
      </c>
      <c r="S55" s="174">
        <v>0</v>
      </c>
      <c r="T55" s="172">
        <v>1</v>
      </c>
      <c r="U55" s="172">
        <v>14766.488000000001</v>
      </c>
      <c r="V55" s="172">
        <v>0</v>
      </c>
      <c r="W55" s="172">
        <v>133.5</v>
      </c>
      <c r="X55" s="174">
        <v>0</v>
      </c>
      <c r="Y55" s="172">
        <v>1</v>
      </c>
      <c r="Z55" s="172">
        <v>14766.488000000001</v>
      </c>
      <c r="AA55" s="172"/>
      <c r="AB55" s="172">
        <v>1367.31</v>
      </c>
      <c r="AC55" s="174">
        <v>0</v>
      </c>
      <c r="AD55" s="172">
        <v>1</v>
      </c>
      <c r="AE55" s="172">
        <v>14766.488000000001</v>
      </c>
      <c r="AF55" s="172"/>
      <c r="AG55" s="172">
        <v>7011.3099999999995</v>
      </c>
      <c r="AH55" s="174">
        <v>0</v>
      </c>
      <c r="AI55" s="172">
        <v>1</v>
      </c>
      <c r="AJ55" s="172">
        <v>14766.488000000001</v>
      </c>
      <c r="AK55" s="172">
        <v>0.75</v>
      </c>
      <c r="AL55" s="172">
        <v>8711.31</v>
      </c>
      <c r="AM55" s="174">
        <v>11074.866000000002</v>
      </c>
      <c r="AN55" s="172">
        <v>1</v>
      </c>
      <c r="AO55" s="172">
        <v>14766.488000000001</v>
      </c>
      <c r="AP55" s="172">
        <v>1</v>
      </c>
      <c r="AQ55" s="172">
        <v>8711.31</v>
      </c>
      <c r="AR55" s="174">
        <v>14766.488000000001</v>
      </c>
      <c r="AS55" s="172">
        <v>1</v>
      </c>
      <c r="AT55" s="172">
        <v>14766.488000000001</v>
      </c>
      <c r="AU55" s="172">
        <v>1</v>
      </c>
      <c r="AV55" s="172">
        <v>9591.31</v>
      </c>
      <c r="AW55" s="174">
        <v>14766.488000000001</v>
      </c>
    </row>
    <row r="56" spans="1:49" x14ac:dyDescent="0.65">
      <c r="A56" s="149" t="s">
        <v>966</v>
      </c>
      <c r="B56" s="148" t="s">
        <v>1286</v>
      </c>
      <c r="C56" s="161">
        <v>21</v>
      </c>
      <c r="D56" s="147" t="s">
        <v>1255</v>
      </c>
      <c r="E56" s="172">
        <v>17803.8</v>
      </c>
      <c r="F56" s="172">
        <v>847.8</v>
      </c>
      <c r="G56" s="172">
        <v>21</v>
      </c>
      <c r="H56" s="172">
        <v>13861</v>
      </c>
      <c r="I56" s="174">
        <v>660.04761904761904</v>
      </c>
      <c r="J56" s="172">
        <v>0</v>
      </c>
      <c r="K56" s="172">
        <v>0</v>
      </c>
      <c r="L56" s="172">
        <v>0</v>
      </c>
      <c r="M56" s="172">
        <v>0</v>
      </c>
      <c r="N56" s="174">
        <v>0</v>
      </c>
      <c r="O56" s="172">
        <v>0</v>
      </c>
      <c r="P56" s="172">
        <v>0</v>
      </c>
      <c r="Q56" s="172">
        <v>0</v>
      </c>
      <c r="R56" s="172">
        <v>0</v>
      </c>
      <c r="S56" s="174">
        <v>0</v>
      </c>
      <c r="T56" s="172">
        <v>0</v>
      </c>
      <c r="U56" s="172">
        <v>0</v>
      </c>
      <c r="V56" s="172">
        <v>9</v>
      </c>
      <c r="W56" s="172">
        <v>11286</v>
      </c>
      <c r="X56" s="174">
        <v>7630.1999999999989</v>
      </c>
      <c r="Y56" s="172">
        <v>21</v>
      </c>
      <c r="Z56" s="172">
        <v>17803.8</v>
      </c>
      <c r="AA56" s="172">
        <v>15</v>
      </c>
      <c r="AB56" s="172">
        <v>11286</v>
      </c>
      <c r="AC56" s="174">
        <v>12717</v>
      </c>
      <c r="AD56" s="172">
        <v>21</v>
      </c>
      <c r="AE56" s="172">
        <v>17803.8</v>
      </c>
      <c r="AF56" s="172">
        <v>21</v>
      </c>
      <c r="AG56" s="172">
        <v>11286</v>
      </c>
      <c r="AH56" s="174">
        <v>17803.8</v>
      </c>
      <c r="AI56" s="172">
        <v>21</v>
      </c>
      <c r="AJ56" s="172">
        <v>17803.8</v>
      </c>
      <c r="AK56" s="172">
        <v>21</v>
      </c>
      <c r="AL56" s="172">
        <v>13786</v>
      </c>
      <c r="AM56" s="174">
        <v>17803.8</v>
      </c>
      <c r="AN56" s="172">
        <v>21</v>
      </c>
      <c r="AO56" s="172">
        <v>17803.8</v>
      </c>
      <c r="AP56" s="172">
        <v>21</v>
      </c>
      <c r="AQ56" s="172">
        <v>13786</v>
      </c>
      <c r="AR56" s="174">
        <v>17803.8</v>
      </c>
      <c r="AS56" s="172">
        <v>21</v>
      </c>
      <c r="AT56" s="172">
        <v>17803.8</v>
      </c>
      <c r="AU56" s="172">
        <v>21</v>
      </c>
      <c r="AV56" s="172">
        <v>13861</v>
      </c>
      <c r="AW56" s="174">
        <v>17803.8</v>
      </c>
    </row>
    <row r="57" spans="1:49" x14ac:dyDescent="0.65">
      <c r="A57" s="149" t="s">
        <v>948</v>
      </c>
      <c r="B57" s="163" t="s">
        <v>721</v>
      </c>
      <c r="C57" s="161">
        <v>7995</v>
      </c>
      <c r="D57" s="147" t="s">
        <v>64</v>
      </c>
      <c r="E57" s="172">
        <v>170720.15624999997</v>
      </c>
      <c r="F57" s="172">
        <v>21.35336538461538</v>
      </c>
      <c r="G57" s="172">
        <v>5536</v>
      </c>
      <c r="H57" s="172">
        <v>120191</v>
      </c>
      <c r="I57" s="174">
        <v>21.710802023121389</v>
      </c>
      <c r="J57" s="172">
        <v>0</v>
      </c>
      <c r="K57" s="172">
        <v>0</v>
      </c>
      <c r="L57" s="172">
        <v>0</v>
      </c>
      <c r="M57" s="172">
        <v>0</v>
      </c>
      <c r="N57" s="174">
        <v>0</v>
      </c>
      <c r="O57" s="172">
        <v>0</v>
      </c>
      <c r="P57" s="172">
        <v>0</v>
      </c>
      <c r="Q57" s="172">
        <v>0</v>
      </c>
      <c r="R57" s="172">
        <v>0</v>
      </c>
      <c r="S57" s="174">
        <v>0</v>
      </c>
      <c r="T57" s="172">
        <v>2500</v>
      </c>
      <c r="U57" s="172">
        <v>53383.413461538446</v>
      </c>
      <c r="V57" s="172">
        <v>1472</v>
      </c>
      <c r="W57" s="172">
        <v>31974.727999999999</v>
      </c>
      <c r="X57" s="174">
        <v>45393.798771676287</v>
      </c>
      <c r="Y57" s="172">
        <v>4000</v>
      </c>
      <c r="Z57" s="172">
        <v>85413.461538461517</v>
      </c>
      <c r="AA57" s="172">
        <v>1472</v>
      </c>
      <c r="AB57" s="172">
        <v>31974.727999999999</v>
      </c>
      <c r="AC57" s="174">
        <v>45393.798771676287</v>
      </c>
      <c r="AD57" s="172">
        <v>7000</v>
      </c>
      <c r="AE57" s="172">
        <v>149473.55769230766</v>
      </c>
      <c r="AF57" s="172">
        <v>2423</v>
      </c>
      <c r="AG57" s="172">
        <v>104735.33500000001</v>
      </c>
      <c r="AH57" s="174">
        <v>74720.906537888353</v>
      </c>
      <c r="AI57" s="172">
        <v>7995</v>
      </c>
      <c r="AJ57" s="172">
        <v>170720.15624999997</v>
      </c>
      <c r="AK57" s="172">
        <v>5536</v>
      </c>
      <c r="AL57" s="172">
        <v>179448.09099999999</v>
      </c>
      <c r="AM57" s="174">
        <v>170720.15624999997</v>
      </c>
      <c r="AN57" s="172">
        <v>7995</v>
      </c>
      <c r="AO57" s="172">
        <v>170720.15624999997</v>
      </c>
      <c r="AP57" s="172">
        <v>5536</v>
      </c>
      <c r="AQ57" s="172">
        <v>275197.55100000004</v>
      </c>
      <c r="AR57" s="174">
        <v>170720.15624999997</v>
      </c>
      <c r="AS57" s="172">
        <v>7995</v>
      </c>
      <c r="AT57" s="172">
        <v>170720.15624999997</v>
      </c>
      <c r="AU57" s="172">
        <v>5536</v>
      </c>
      <c r="AV57" s="172">
        <v>275197.55100000004</v>
      </c>
      <c r="AW57" s="174">
        <v>170720.15624999997</v>
      </c>
    </row>
    <row r="58" spans="1:49" x14ac:dyDescent="0.65">
      <c r="A58" s="149" t="s">
        <v>963</v>
      </c>
      <c r="B58" s="163" t="s">
        <v>1294</v>
      </c>
      <c r="C58" s="161">
        <v>9.4</v>
      </c>
      <c r="D58" s="147" t="s">
        <v>64</v>
      </c>
      <c r="E58" s="172">
        <v>385.40000000000003</v>
      </c>
      <c r="F58" s="172">
        <v>41</v>
      </c>
      <c r="G58" s="172"/>
      <c r="H58" s="172"/>
      <c r="I58" s="174"/>
      <c r="J58" s="172">
        <v>0</v>
      </c>
      <c r="K58" s="172">
        <v>0</v>
      </c>
      <c r="L58" s="172">
        <v>0</v>
      </c>
      <c r="M58" s="172">
        <v>0</v>
      </c>
      <c r="N58" s="174">
        <v>0</v>
      </c>
      <c r="O58" s="172">
        <v>0</v>
      </c>
      <c r="P58" s="172">
        <v>0</v>
      </c>
      <c r="Q58" s="172">
        <v>0</v>
      </c>
      <c r="R58" s="172">
        <v>0</v>
      </c>
      <c r="S58" s="174">
        <v>0</v>
      </c>
      <c r="T58" s="172">
        <v>0</v>
      </c>
      <c r="U58" s="172">
        <v>0</v>
      </c>
      <c r="V58" s="172">
        <v>0</v>
      </c>
      <c r="W58" s="172">
        <v>0</v>
      </c>
      <c r="X58" s="174">
        <v>0</v>
      </c>
      <c r="Y58" s="172">
        <v>0</v>
      </c>
      <c r="Z58" s="172">
        <v>0</v>
      </c>
      <c r="AA58" s="172">
        <v>0</v>
      </c>
      <c r="AB58" s="172">
        <v>0</v>
      </c>
      <c r="AC58" s="174">
        <v>0</v>
      </c>
      <c r="AD58" s="172">
        <v>0</v>
      </c>
      <c r="AE58" s="172">
        <v>0</v>
      </c>
      <c r="AF58" s="172">
        <v>0</v>
      </c>
      <c r="AG58" s="172">
        <v>0</v>
      </c>
      <c r="AH58" s="174">
        <v>0</v>
      </c>
      <c r="AI58" s="172">
        <v>0</v>
      </c>
      <c r="AJ58" s="172">
        <v>0</v>
      </c>
      <c r="AK58" s="172">
        <v>0</v>
      </c>
      <c r="AL58" s="172">
        <v>0</v>
      </c>
      <c r="AM58" s="174">
        <v>0</v>
      </c>
      <c r="AN58" s="172">
        <v>0</v>
      </c>
      <c r="AO58" s="172">
        <v>0</v>
      </c>
      <c r="AP58" s="172">
        <v>0</v>
      </c>
      <c r="AQ58" s="172">
        <v>0</v>
      </c>
      <c r="AR58" s="174">
        <v>0</v>
      </c>
      <c r="AS58" s="172">
        <v>9.4</v>
      </c>
      <c r="AT58" s="172">
        <v>385.40000000000003</v>
      </c>
      <c r="AU58" s="172">
        <v>9.4</v>
      </c>
      <c r="AV58" s="172">
        <v>0</v>
      </c>
      <c r="AW58" s="174">
        <v>385.40000000000003</v>
      </c>
    </row>
    <row r="59" spans="1:49" x14ac:dyDescent="0.65">
      <c r="A59" s="149" t="s">
        <v>945</v>
      </c>
      <c r="B59" s="148" t="s">
        <v>73</v>
      </c>
      <c r="C59" s="161">
        <v>2200</v>
      </c>
      <c r="D59" s="147" t="s">
        <v>64</v>
      </c>
      <c r="E59" s="172">
        <v>10432.679524220948</v>
      </c>
      <c r="F59" s="172">
        <v>4.7421270564640672</v>
      </c>
      <c r="G59" s="172">
        <v>2297</v>
      </c>
      <c r="H59" s="172">
        <v>50632</v>
      </c>
      <c r="I59" s="174">
        <v>22.042664344797561</v>
      </c>
      <c r="J59" s="172">
        <v>0</v>
      </c>
      <c r="K59" s="172">
        <v>0</v>
      </c>
      <c r="L59" s="172">
        <v>0</v>
      </c>
      <c r="M59" s="172">
        <v>0</v>
      </c>
      <c r="N59" s="174">
        <v>0</v>
      </c>
      <c r="O59" s="172">
        <v>100</v>
      </c>
      <c r="P59" s="172">
        <v>474.21270564640673</v>
      </c>
      <c r="Q59" s="172">
        <v>0</v>
      </c>
      <c r="R59" s="172">
        <v>0</v>
      </c>
      <c r="S59" s="174">
        <v>0</v>
      </c>
      <c r="T59" s="172">
        <v>300</v>
      </c>
      <c r="U59" s="172">
        <v>1422.6381169392203</v>
      </c>
      <c r="V59" s="172">
        <v>15</v>
      </c>
      <c r="W59" s="172">
        <v>337.16</v>
      </c>
      <c r="X59" s="174">
        <v>68.128076997524687</v>
      </c>
      <c r="Y59" s="172">
        <v>1300</v>
      </c>
      <c r="Z59" s="172">
        <v>6164.765173403287</v>
      </c>
      <c r="AA59" s="172">
        <v>51</v>
      </c>
      <c r="AB59" s="172">
        <v>1132.0014000000001</v>
      </c>
      <c r="AC59" s="174">
        <v>231.63546179158396</v>
      </c>
      <c r="AD59" s="172">
        <v>2200</v>
      </c>
      <c r="AE59" s="172">
        <v>10432.679524220948</v>
      </c>
      <c r="AF59" s="172">
        <v>2297</v>
      </c>
      <c r="AG59" s="172">
        <v>1418.3574000000001</v>
      </c>
      <c r="AH59" s="174">
        <v>10432.679524220948</v>
      </c>
      <c r="AI59" s="172">
        <v>2200</v>
      </c>
      <c r="AJ59" s="172">
        <v>10432.679524220948</v>
      </c>
      <c r="AK59" s="172">
        <v>2297</v>
      </c>
      <c r="AL59" s="172">
        <v>117805.62099999998</v>
      </c>
      <c r="AM59" s="174">
        <v>10432.679524220948</v>
      </c>
      <c r="AN59" s="172">
        <v>2200</v>
      </c>
      <c r="AO59" s="172">
        <v>10432.679524220948</v>
      </c>
      <c r="AP59" s="172">
        <v>2297</v>
      </c>
      <c r="AQ59" s="172">
        <v>117965.48179999998</v>
      </c>
      <c r="AR59" s="174">
        <v>10432.679524220948</v>
      </c>
      <c r="AS59" s="172">
        <v>2200</v>
      </c>
      <c r="AT59" s="172">
        <v>10432.679524220948</v>
      </c>
      <c r="AU59" s="172">
        <v>2297</v>
      </c>
      <c r="AV59" s="172">
        <v>117965.48179999998</v>
      </c>
      <c r="AW59" s="174">
        <v>10432.679524220948</v>
      </c>
    </row>
    <row r="60" spans="1:49" x14ac:dyDescent="0.65">
      <c r="A60" s="149" t="s">
        <v>959</v>
      </c>
      <c r="B60" s="148" t="s">
        <v>1287</v>
      </c>
      <c r="C60" s="161">
        <v>1</v>
      </c>
      <c r="D60" s="147" t="s">
        <v>1233</v>
      </c>
      <c r="E60" s="172">
        <v>840</v>
      </c>
      <c r="F60" s="172">
        <v>840</v>
      </c>
      <c r="G60" s="172">
        <v>1</v>
      </c>
      <c r="H60" s="172">
        <v>4982</v>
      </c>
      <c r="I60" s="174">
        <v>4982</v>
      </c>
      <c r="J60" s="172">
        <v>0</v>
      </c>
      <c r="K60" s="172">
        <v>0</v>
      </c>
      <c r="L60" s="172">
        <v>0</v>
      </c>
      <c r="M60" s="172">
        <v>0</v>
      </c>
      <c r="N60" s="174">
        <v>0</v>
      </c>
      <c r="O60" s="172">
        <v>0</v>
      </c>
      <c r="P60" s="172">
        <v>0</v>
      </c>
      <c r="Q60" s="172">
        <v>0</v>
      </c>
      <c r="R60" s="172">
        <v>132.80000000000001</v>
      </c>
      <c r="S60" s="174">
        <v>0</v>
      </c>
      <c r="T60" s="172">
        <v>0</v>
      </c>
      <c r="U60" s="172">
        <v>0</v>
      </c>
      <c r="V60" s="172">
        <v>0</v>
      </c>
      <c r="W60" s="172">
        <v>132.80000000000001</v>
      </c>
      <c r="X60" s="174">
        <v>0</v>
      </c>
      <c r="Y60" s="172">
        <v>0</v>
      </c>
      <c r="Z60" s="172">
        <v>0</v>
      </c>
      <c r="AA60" s="172">
        <v>0</v>
      </c>
      <c r="AB60" s="172">
        <v>132.80000000000001</v>
      </c>
      <c r="AC60" s="174">
        <v>0</v>
      </c>
      <c r="AD60" s="172">
        <v>0</v>
      </c>
      <c r="AE60" s="172">
        <v>0</v>
      </c>
      <c r="AF60" s="172">
        <v>0.5</v>
      </c>
      <c r="AG60" s="172">
        <v>2814.8400000000006</v>
      </c>
      <c r="AH60" s="174">
        <v>420</v>
      </c>
      <c r="AI60" s="172">
        <v>1</v>
      </c>
      <c r="AJ60" s="172">
        <v>840</v>
      </c>
      <c r="AK60" s="172">
        <v>1</v>
      </c>
      <c r="AL60" s="172">
        <v>4982.43</v>
      </c>
      <c r="AM60" s="174">
        <v>840</v>
      </c>
      <c r="AN60" s="172">
        <v>1</v>
      </c>
      <c r="AO60" s="172">
        <v>840</v>
      </c>
      <c r="AP60" s="172">
        <v>1</v>
      </c>
      <c r="AQ60" s="172">
        <v>4982.43</v>
      </c>
      <c r="AR60" s="174">
        <v>840</v>
      </c>
      <c r="AS60" s="172">
        <v>1</v>
      </c>
      <c r="AT60" s="172">
        <v>840</v>
      </c>
      <c r="AU60" s="172">
        <v>1</v>
      </c>
      <c r="AV60" s="172">
        <v>4982.43</v>
      </c>
      <c r="AW60" s="174">
        <v>840</v>
      </c>
    </row>
    <row r="61" spans="1:49" x14ac:dyDescent="0.65">
      <c r="A61" s="149" t="s">
        <v>958</v>
      </c>
      <c r="B61" s="148" t="s">
        <v>1288</v>
      </c>
      <c r="C61" s="161">
        <v>750</v>
      </c>
      <c r="D61" s="147" t="s">
        <v>1258</v>
      </c>
      <c r="E61" s="172">
        <v>1243.6500000000003</v>
      </c>
      <c r="F61" s="172">
        <v>1.6582000000000003</v>
      </c>
      <c r="G61" s="172">
        <v>0</v>
      </c>
      <c r="H61" s="172">
        <v>0</v>
      </c>
      <c r="I61" s="174">
        <v>0</v>
      </c>
      <c r="J61" s="172">
        <v>0</v>
      </c>
      <c r="K61" s="172">
        <v>0</v>
      </c>
      <c r="L61" s="172">
        <v>0</v>
      </c>
      <c r="M61" s="172">
        <v>0</v>
      </c>
      <c r="N61" s="174">
        <v>0</v>
      </c>
      <c r="O61" s="172">
        <v>0</v>
      </c>
      <c r="P61" s="172">
        <v>0</v>
      </c>
      <c r="Q61" s="172">
        <v>0</v>
      </c>
      <c r="R61" s="172">
        <v>0</v>
      </c>
      <c r="S61" s="174">
        <v>0</v>
      </c>
      <c r="T61" s="172">
        <v>0</v>
      </c>
      <c r="U61" s="172">
        <v>0</v>
      </c>
      <c r="V61" s="172">
        <v>0</v>
      </c>
      <c r="W61" s="172">
        <v>0</v>
      </c>
      <c r="X61" s="174">
        <v>0</v>
      </c>
      <c r="Y61" s="172">
        <v>0</v>
      </c>
      <c r="Z61" s="172">
        <v>0</v>
      </c>
      <c r="AA61" s="172">
        <v>0</v>
      </c>
      <c r="AB61" s="172">
        <v>0</v>
      </c>
      <c r="AC61" s="174">
        <v>0</v>
      </c>
      <c r="AD61" s="172">
        <v>750</v>
      </c>
      <c r="AE61" s="172">
        <v>1243.6500000000003</v>
      </c>
      <c r="AF61" s="172">
        <v>0</v>
      </c>
      <c r="AG61" s="172">
        <v>0</v>
      </c>
      <c r="AH61" s="174">
        <v>0</v>
      </c>
      <c r="AI61" s="172">
        <v>750</v>
      </c>
      <c r="AJ61" s="172">
        <v>1243.6500000000003</v>
      </c>
      <c r="AK61" s="172">
        <v>0</v>
      </c>
      <c r="AL61" s="172">
        <v>0</v>
      </c>
      <c r="AM61" s="174">
        <v>1243.6500000000003</v>
      </c>
      <c r="AN61" s="172">
        <v>750</v>
      </c>
      <c r="AO61" s="172">
        <v>1243.6500000000003</v>
      </c>
      <c r="AP61" s="172">
        <v>0</v>
      </c>
      <c r="AQ61" s="172">
        <v>0</v>
      </c>
      <c r="AR61" s="174">
        <v>0</v>
      </c>
      <c r="AS61" s="172">
        <v>750</v>
      </c>
      <c r="AT61" s="172">
        <v>1243.6500000000003</v>
      </c>
      <c r="AU61" s="172">
        <v>0</v>
      </c>
      <c r="AV61" s="172">
        <v>0</v>
      </c>
      <c r="AW61" s="174">
        <v>1243.6500000000003</v>
      </c>
    </row>
    <row r="62" spans="1:49" ht="16.25" x14ac:dyDescent="0.65">
      <c r="A62" s="149" t="s">
        <v>944</v>
      </c>
      <c r="B62" s="148" t="s">
        <v>1289</v>
      </c>
      <c r="C62" s="161">
        <v>1009</v>
      </c>
      <c r="D62" s="147" t="s">
        <v>1248</v>
      </c>
      <c r="E62" s="172">
        <v>7815.0186666666659</v>
      </c>
      <c r="F62" s="172">
        <v>7.7453108688470422</v>
      </c>
      <c r="G62" s="172">
        <v>1009</v>
      </c>
      <c r="H62" s="172">
        <v>2626</v>
      </c>
      <c r="I62" s="174">
        <v>2.6025768087215067</v>
      </c>
      <c r="J62" s="172">
        <v>0</v>
      </c>
      <c r="K62" s="172">
        <v>0</v>
      </c>
      <c r="L62" s="172">
        <v>0</v>
      </c>
      <c r="M62" s="172">
        <v>0</v>
      </c>
      <c r="N62" s="174">
        <v>0</v>
      </c>
      <c r="O62" s="172">
        <v>0</v>
      </c>
      <c r="P62" s="172">
        <v>0</v>
      </c>
      <c r="Q62" s="172">
        <v>0</v>
      </c>
      <c r="R62" s="172">
        <v>0</v>
      </c>
      <c r="S62" s="174">
        <v>0</v>
      </c>
      <c r="T62" s="172">
        <v>0</v>
      </c>
      <c r="U62" s="172">
        <v>0</v>
      </c>
      <c r="V62" s="172">
        <v>0</v>
      </c>
      <c r="W62" s="172">
        <v>0</v>
      </c>
      <c r="X62" s="174">
        <v>0</v>
      </c>
      <c r="Y62" s="172">
        <v>500</v>
      </c>
      <c r="Z62" s="172">
        <v>3872.655434423521</v>
      </c>
      <c r="AA62" s="172">
        <v>0</v>
      </c>
      <c r="AB62" s="172">
        <v>0</v>
      </c>
      <c r="AC62" s="174">
        <v>0</v>
      </c>
      <c r="AD62" s="172">
        <v>500</v>
      </c>
      <c r="AE62" s="172">
        <v>3872.655434423521</v>
      </c>
      <c r="AF62" s="172">
        <v>0</v>
      </c>
      <c r="AG62" s="172">
        <v>136.65</v>
      </c>
      <c r="AH62" s="174">
        <v>0</v>
      </c>
      <c r="AI62" s="172">
        <v>1009</v>
      </c>
      <c r="AJ62" s="172">
        <v>7815.0186666666659</v>
      </c>
      <c r="AK62" s="172">
        <v>1009</v>
      </c>
      <c r="AL62" s="172">
        <v>2625.85</v>
      </c>
      <c r="AM62" s="174">
        <v>7815.0186666666659</v>
      </c>
      <c r="AN62" s="172">
        <v>1009</v>
      </c>
      <c r="AO62" s="172">
        <v>7815.0186666666659</v>
      </c>
      <c r="AP62" s="172">
        <v>1009</v>
      </c>
      <c r="AQ62" s="172">
        <v>2625.85</v>
      </c>
      <c r="AR62" s="174">
        <v>7815.0186666666659</v>
      </c>
      <c r="AS62" s="172">
        <v>1009</v>
      </c>
      <c r="AT62" s="172">
        <v>7815.0186666666659</v>
      </c>
      <c r="AU62" s="172">
        <v>1009</v>
      </c>
      <c r="AV62" s="172">
        <v>2625.85</v>
      </c>
      <c r="AW62" s="174">
        <v>7815.0186666666659</v>
      </c>
    </row>
    <row r="63" spans="1:49" x14ac:dyDescent="0.65">
      <c r="A63" s="149" t="s">
        <v>962</v>
      </c>
      <c r="B63" s="148" t="s">
        <v>1290</v>
      </c>
      <c r="C63" s="161">
        <v>4</v>
      </c>
      <c r="D63" s="147" t="s">
        <v>1255</v>
      </c>
      <c r="E63" s="172">
        <v>1378</v>
      </c>
      <c r="F63" s="172">
        <v>344.5</v>
      </c>
      <c r="G63" s="172">
        <v>0</v>
      </c>
      <c r="H63" s="172">
        <v>0</v>
      </c>
      <c r="I63" s="174">
        <v>0</v>
      </c>
      <c r="J63" s="172">
        <v>0</v>
      </c>
      <c r="K63" s="172">
        <v>0</v>
      </c>
      <c r="L63" s="172">
        <v>0</v>
      </c>
      <c r="M63" s="172">
        <v>0</v>
      </c>
      <c r="N63" s="174">
        <v>0</v>
      </c>
      <c r="O63" s="172">
        <v>0</v>
      </c>
      <c r="P63" s="172">
        <v>0</v>
      </c>
      <c r="Q63" s="172">
        <v>0</v>
      </c>
      <c r="R63" s="172">
        <v>0</v>
      </c>
      <c r="S63" s="174">
        <v>0</v>
      </c>
      <c r="T63" s="172">
        <v>4</v>
      </c>
      <c r="U63" s="172">
        <v>1378</v>
      </c>
      <c r="V63" s="172">
        <v>0</v>
      </c>
      <c r="W63" s="172">
        <v>0</v>
      </c>
      <c r="X63" s="174">
        <v>0</v>
      </c>
      <c r="Y63" s="172">
        <v>4</v>
      </c>
      <c r="Z63" s="172">
        <v>1378</v>
      </c>
      <c r="AA63" s="172">
        <v>0</v>
      </c>
      <c r="AB63" s="172">
        <v>0</v>
      </c>
      <c r="AC63" s="174">
        <v>0</v>
      </c>
      <c r="AD63" s="172">
        <v>4</v>
      </c>
      <c r="AE63" s="172">
        <v>1378</v>
      </c>
      <c r="AF63" s="172">
        <v>0</v>
      </c>
      <c r="AG63" s="172">
        <v>0</v>
      </c>
      <c r="AH63" s="174">
        <v>0</v>
      </c>
      <c r="AI63" s="172">
        <v>4</v>
      </c>
      <c r="AJ63" s="172">
        <v>1378</v>
      </c>
      <c r="AK63" s="172">
        <v>0</v>
      </c>
      <c r="AL63" s="172">
        <v>0</v>
      </c>
      <c r="AM63" s="174">
        <v>0</v>
      </c>
      <c r="AN63" s="172">
        <v>4</v>
      </c>
      <c r="AO63" s="172">
        <v>1378</v>
      </c>
      <c r="AP63" s="172">
        <v>0</v>
      </c>
      <c r="AQ63" s="172">
        <v>0</v>
      </c>
      <c r="AR63" s="174">
        <v>0</v>
      </c>
      <c r="AS63" s="172">
        <v>4</v>
      </c>
      <c r="AT63" s="172">
        <v>1378</v>
      </c>
      <c r="AU63" s="172">
        <v>0</v>
      </c>
      <c r="AV63" s="172">
        <v>0</v>
      </c>
      <c r="AW63" s="174">
        <v>1378</v>
      </c>
    </row>
    <row r="64" spans="1:49" x14ac:dyDescent="0.65">
      <c r="A64" s="149" t="s">
        <v>961</v>
      </c>
      <c r="B64" s="148" t="s">
        <v>1291</v>
      </c>
      <c r="C64" s="161">
        <v>13</v>
      </c>
      <c r="D64" s="147" t="s">
        <v>1255</v>
      </c>
      <c r="E64" s="172">
        <v>17624</v>
      </c>
      <c r="F64" s="172">
        <v>1355.6923076923076</v>
      </c>
      <c r="G64" s="172">
        <v>13</v>
      </c>
      <c r="H64" s="172">
        <v>17615</v>
      </c>
      <c r="I64" s="174">
        <v>1355</v>
      </c>
      <c r="J64" s="172">
        <v>0</v>
      </c>
      <c r="K64" s="172">
        <v>0</v>
      </c>
      <c r="L64" s="172">
        <v>0</v>
      </c>
      <c r="M64" s="172">
        <v>0</v>
      </c>
      <c r="N64" s="174">
        <v>0</v>
      </c>
      <c r="O64" s="172">
        <v>0</v>
      </c>
      <c r="P64" s="172">
        <v>0</v>
      </c>
      <c r="Q64" s="172">
        <v>0</v>
      </c>
      <c r="R64" s="172">
        <v>0</v>
      </c>
      <c r="S64" s="174">
        <v>0</v>
      </c>
      <c r="T64" s="172">
        <v>0</v>
      </c>
      <c r="U64" s="172">
        <v>0</v>
      </c>
      <c r="V64" s="172">
        <v>0</v>
      </c>
      <c r="W64" s="172">
        <v>0</v>
      </c>
      <c r="X64" s="174">
        <v>0</v>
      </c>
      <c r="Y64" s="172">
        <v>0</v>
      </c>
      <c r="Z64" s="172">
        <v>0</v>
      </c>
      <c r="AA64" s="172">
        <v>12</v>
      </c>
      <c r="AB64" s="172">
        <v>16131</v>
      </c>
      <c r="AC64" s="174">
        <v>16268.307692307693</v>
      </c>
      <c r="AD64" s="172">
        <v>13</v>
      </c>
      <c r="AE64" s="172">
        <v>17624</v>
      </c>
      <c r="AF64" s="172">
        <v>13</v>
      </c>
      <c r="AG64" s="172">
        <v>17615</v>
      </c>
      <c r="AH64" s="174">
        <v>17624</v>
      </c>
      <c r="AI64" s="172">
        <v>13</v>
      </c>
      <c r="AJ64" s="172">
        <v>17624</v>
      </c>
      <c r="AK64" s="172">
        <v>13</v>
      </c>
      <c r="AL64" s="172">
        <v>17615</v>
      </c>
      <c r="AM64" s="174">
        <v>17624</v>
      </c>
      <c r="AN64" s="172">
        <v>13</v>
      </c>
      <c r="AO64" s="172">
        <v>17624</v>
      </c>
      <c r="AP64" s="172">
        <v>13</v>
      </c>
      <c r="AQ64" s="172">
        <v>17615</v>
      </c>
      <c r="AR64" s="174">
        <v>17624</v>
      </c>
      <c r="AS64" s="172">
        <v>13</v>
      </c>
      <c r="AT64" s="172">
        <v>17624</v>
      </c>
      <c r="AU64" s="172">
        <v>13</v>
      </c>
      <c r="AV64" s="172">
        <v>17615</v>
      </c>
      <c r="AW64" s="174">
        <v>17624</v>
      </c>
    </row>
    <row r="65" spans="1:49" x14ac:dyDescent="0.65">
      <c r="A65" s="149" t="s">
        <v>960</v>
      </c>
      <c r="B65" s="148" t="s">
        <v>1292</v>
      </c>
      <c r="C65" s="161">
        <v>197.6</v>
      </c>
      <c r="D65" s="147" t="s">
        <v>1258</v>
      </c>
      <c r="E65" s="172">
        <v>15635.442399999998</v>
      </c>
      <c r="F65" s="172">
        <v>79.126732793522265</v>
      </c>
      <c r="G65" s="172">
        <v>197.6</v>
      </c>
      <c r="H65" s="172">
        <v>13684</v>
      </c>
      <c r="I65" s="174">
        <v>69.251012145748987</v>
      </c>
      <c r="J65" s="172">
        <v>0</v>
      </c>
      <c r="K65" s="172">
        <v>0</v>
      </c>
      <c r="L65" s="172">
        <v>0</v>
      </c>
      <c r="M65" s="172">
        <v>0</v>
      </c>
      <c r="N65" s="174">
        <v>0</v>
      </c>
      <c r="O65" s="172">
        <v>0</v>
      </c>
      <c r="P65" s="172">
        <v>0</v>
      </c>
      <c r="Q65" s="172">
        <v>0</v>
      </c>
      <c r="R65" s="172">
        <v>0</v>
      </c>
      <c r="S65" s="174">
        <v>0</v>
      </c>
      <c r="T65" s="172">
        <v>100</v>
      </c>
      <c r="U65" s="172">
        <v>7912.6732793522269</v>
      </c>
      <c r="V65" s="172">
        <v>183</v>
      </c>
      <c r="W65" s="172">
        <v>12762</v>
      </c>
      <c r="X65" s="174">
        <v>14480.192101214574</v>
      </c>
      <c r="Y65" s="172">
        <v>197.6</v>
      </c>
      <c r="Z65" s="172">
        <v>15635.4424</v>
      </c>
      <c r="AA65" s="172">
        <v>183</v>
      </c>
      <c r="AB65" s="172">
        <v>12762</v>
      </c>
      <c r="AC65" s="174">
        <v>14480.192101214574</v>
      </c>
      <c r="AD65" s="172">
        <v>197.6</v>
      </c>
      <c r="AE65" s="172">
        <v>15635.4424</v>
      </c>
      <c r="AF65" s="172">
        <v>197.6</v>
      </c>
      <c r="AG65" s="172">
        <v>13464</v>
      </c>
      <c r="AH65" s="174">
        <v>15635.442399999998</v>
      </c>
      <c r="AI65" s="172">
        <v>197.6</v>
      </c>
      <c r="AJ65" s="172">
        <v>15635.4424</v>
      </c>
      <c r="AK65" s="172">
        <v>197.6</v>
      </c>
      <c r="AL65" s="172">
        <v>13684</v>
      </c>
      <c r="AM65" s="174">
        <v>15635.442399999998</v>
      </c>
      <c r="AN65" s="172">
        <v>197.6</v>
      </c>
      <c r="AO65" s="172">
        <v>15635.4424</v>
      </c>
      <c r="AP65" s="172">
        <v>197.6</v>
      </c>
      <c r="AQ65" s="172">
        <v>13684</v>
      </c>
      <c r="AR65" s="174">
        <v>15635.442399999998</v>
      </c>
      <c r="AS65" s="172">
        <v>197.6</v>
      </c>
      <c r="AT65" s="172">
        <v>15635.4424</v>
      </c>
      <c r="AU65" s="172">
        <v>197.6</v>
      </c>
      <c r="AV65" s="172">
        <v>13684</v>
      </c>
      <c r="AW65" s="174">
        <v>15635.442399999998</v>
      </c>
    </row>
    <row r="66" spans="1:49" x14ac:dyDescent="0.65">
      <c r="A66" s="149" t="s">
        <v>967</v>
      </c>
      <c r="B66" s="148" t="s">
        <v>1293</v>
      </c>
      <c r="C66" s="161">
        <v>117</v>
      </c>
      <c r="D66" s="147" t="s">
        <v>1231</v>
      </c>
      <c r="E66" s="172">
        <v>380</v>
      </c>
      <c r="F66" s="172">
        <v>3.2478632478632479</v>
      </c>
      <c r="G66" s="172">
        <v>0</v>
      </c>
      <c r="H66" s="172">
        <v>0</v>
      </c>
      <c r="I66" s="174">
        <v>0</v>
      </c>
      <c r="J66" s="172">
        <v>0</v>
      </c>
      <c r="K66" s="172">
        <v>0</v>
      </c>
      <c r="L66" s="172">
        <v>0</v>
      </c>
      <c r="M66" s="172">
        <v>0</v>
      </c>
      <c r="N66" s="174">
        <v>0</v>
      </c>
      <c r="O66" s="172">
        <v>25</v>
      </c>
      <c r="P66" s="172">
        <v>81.196581196581192</v>
      </c>
      <c r="Q66" s="172">
        <v>0</v>
      </c>
      <c r="R66" s="172">
        <v>0</v>
      </c>
      <c r="S66" s="174">
        <v>0</v>
      </c>
      <c r="T66" s="172">
        <v>50</v>
      </c>
      <c r="U66" s="172">
        <v>162.39316239316238</v>
      </c>
      <c r="V66" s="172">
        <v>0</v>
      </c>
      <c r="W66" s="172">
        <v>0</v>
      </c>
      <c r="X66" s="174">
        <v>0</v>
      </c>
      <c r="Y66" s="172">
        <v>75</v>
      </c>
      <c r="Z66" s="172">
        <v>243.58974358974359</v>
      </c>
      <c r="AA66" s="172"/>
      <c r="AB66" s="172">
        <v>0</v>
      </c>
      <c r="AC66" s="174">
        <v>0</v>
      </c>
      <c r="AD66" s="172">
        <v>100</v>
      </c>
      <c r="AE66" s="172">
        <v>324.78632478632477</v>
      </c>
      <c r="AF66" s="172"/>
      <c r="AG66" s="172"/>
      <c r="AH66" s="174">
        <v>0</v>
      </c>
      <c r="AI66" s="172">
        <v>117</v>
      </c>
      <c r="AJ66" s="172">
        <v>380</v>
      </c>
      <c r="AK66" s="172"/>
      <c r="AL66" s="172"/>
      <c r="AM66" s="174">
        <v>0</v>
      </c>
      <c r="AN66" s="172">
        <v>117</v>
      </c>
      <c r="AO66" s="172">
        <v>380</v>
      </c>
      <c r="AP66" s="172">
        <v>0</v>
      </c>
      <c r="AQ66" s="172">
        <v>0</v>
      </c>
      <c r="AR66" s="174">
        <v>0</v>
      </c>
      <c r="AS66" s="172">
        <v>117</v>
      </c>
      <c r="AT66" s="172">
        <v>380</v>
      </c>
      <c r="AU66" s="172">
        <v>0</v>
      </c>
      <c r="AV66" s="172">
        <v>0</v>
      </c>
      <c r="AW66" s="174">
        <v>380</v>
      </c>
    </row>
    <row r="67" spans="1:49" x14ac:dyDescent="0.65">
      <c r="A67" s="151" t="s">
        <v>448</v>
      </c>
      <c r="B67" s="155" t="s">
        <v>1808</v>
      </c>
      <c r="C67" s="158"/>
      <c r="D67" s="152" t="s">
        <v>448</v>
      </c>
      <c r="E67" s="164">
        <v>1953141.4284970625</v>
      </c>
      <c r="F67" s="158"/>
      <c r="G67" s="158"/>
      <c r="H67" s="164">
        <v>1890995</v>
      </c>
      <c r="I67" s="175"/>
      <c r="J67" s="166"/>
      <c r="K67" s="165">
        <v>31412.940994413246</v>
      </c>
      <c r="L67" s="166"/>
      <c r="M67" s="165">
        <v>9434.08</v>
      </c>
      <c r="N67" s="170">
        <v>13592.627867579908</v>
      </c>
      <c r="O67" s="166"/>
      <c r="P67" s="165">
        <v>157233.64461030779</v>
      </c>
      <c r="Q67" s="166"/>
      <c r="R67" s="165">
        <v>101629.81999999999</v>
      </c>
      <c r="S67" s="170">
        <v>108625.3354635749</v>
      </c>
      <c r="T67" s="166"/>
      <c r="U67" s="165">
        <v>507660.25891599775</v>
      </c>
      <c r="V67" s="166"/>
      <c r="W67" s="165">
        <v>351914.50400000007</v>
      </c>
      <c r="X67" s="170">
        <v>367518.78150214691</v>
      </c>
      <c r="Y67" s="166"/>
      <c r="Z67" s="165">
        <v>773880.20917165396</v>
      </c>
      <c r="AA67" s="166"/>
      <c r="AB67" s="165">
        <v>596024.98759999999</v>
      </c>
      <c r="AC67" s="170">
        <v>617289.36885750049</v>
      </c>
      <c r="AD67" s="166"/>
      <c r="AE67" s="165">
        <v>1319041.8492915602</v>
      </c>
      <c r="AF67" s="166"/>
      <c r="AG67" s="165">
        <v>952390.16559999995</v>
      </c>
      <c r="AH67" s="170">
        <v>925399.61811585282</v>
      </c>
      <c r="AI67" s="166"/>
      <c r="AJ67" s="165">
        <v>1847494.9062875719</v>
      </c>
      <c r="AK67" s="166"/>
      <c r="AL67" s="165">
        <v>1442327.1472</v>
      </c>
      <c r="AM67" s="170">
        <v>1458213.40950634</v>
      </c>
      <c r="AN67" s="166"/>
      <c r="AO67" s="165">
        <v>1951423.1289225945</v>
      </c>
      <c r="AP67" s="166"/>
      <c r="AQ67" s="165">
        <v>1834086.5880000002</v>
      </c>
      <c r="AR67" s="170">
        <v>1758815.9862050908</v>
      </c>
      <c r="AS67" s="166"/>
      <c r="AT67" s="165">
        <v>1953141.4284970625</v>
      </c>
      <c r="AU67" s="166"/>
      <c r="AV67" s="165">
        <v>1982828.8980000003</v>
      </c>
      <c r="AW67" s="170">
        <v>1953141.4284970625</v>
      </c>
    </row>
    <row r="68" spans="1:49" x14ac:dyDescent="0.65">
      <c r="A68" s="37"/>
    </row>
    <row r="69" spans="1:49" x14ac:dyDescent="0.65">
      <c r="A69" s="37"/>
      <c r="C69" s="177"/>
      <c r="D69" s="154" t="s">
        <v>1228</v>
      </c>
      <c r="E69" s="154" t="s">
        <v>1229</v>
      </c>
      <c r="F69" s="167" t="s">
        <v>1226</v>
      </c>
    </row>
    <row r="70" spans="1:49" x14ac:dyDescent="0.65">
      <c r="A70" s="37"/>
      <c r="C70" s="171">
        <v>40634</v>
      </c>
      <c r="D70" s="178">
        <v>31412.940994413246</v>
      </c>
      <c r="E70" s="178">
        <v>13592.627867579908</v>
      </c>
      <c r="F70" s="178">
        <v>9434.08</v>
      </c>
    </row>
    <row r="71" spans="1:49" x14ac:dyDescent="0.65">
      <c r="A71" s="37"/>
      <c r="C71" s="171">
        <v>40664</v>
      </c>
      <c r="D71" s="178">
        <v>157233.64461030779</v>
      </c>
      <c r="E71" s="178">
        <v>108625.3354635749</v>
      </c>
      <c r="F71" s="178">
        <v>101629.81999999999</v>
      </c>
    </row>
    <row r="72" spans="1:49" x14ac:dyDescent="0.65">
      <c r="A72" s="37"/>
      <c r="C72" s="171">
        <v>40695</v>
      </c>
      <c r="D72" s="178">
        <v>507660.25891599775</v>
      </c>
      <c r="E72" s="178">
        <v>367518.78150214691</v>
      </c>
      <c r="F72" s="178">
        <v>351914.50400000007</v>
      </c>
    </row>
    <row r="73" spans="1:49" x14ac:dyDescent="0.65">
      <c r="A73" s="37"/>
      <c r="C73" s="171">
        <v>40725</v>
      </c>
      <c r="D73" s="178">
        <v>773880.20917165396</v>
      </c>
      <c r="E73" s="178">
        <v>617289.36885750049</v>
      </c>
      <c r="F73" s="178">
        <v>596024.98759999999</v>
      </c>
    </row>
    <row r="74" spans="1:49" x14ac:dyDescent="0.65">
      <c r="A74" s="37"/>
      <c r="C74" s="171">
        <v>40756</v>
      </c>
      <c r="D74" s="178">
        <v>1319041.8492915602</v>
      </c>
      <c r="E74" s="178">
        <v>925399.61811585282</v>
      </c>
      <c r="F74" s="178">
        <v>952390.16559999995</v>
      </c>
    </row>
    <row r="75" spans="1:49" x14ac:dyDescent="0.65">
      <c r="A75" s="37"/>
      <c r="C75" s="171">
        <v>40787</v>
      </c>
      <c r="D75" s="178">
        <v>1847494.9062875719</v>
      </c>
      <c r="E75" s="178">
        <v>1458213.40950634</v>
      </c>
      <c r="F75" s="178">
        <v>1442327.1472</v>
      </c>
    </row>
    <row r="76" spans="1:49" x14ac:dyDescent="0.65">
      <c r="A76" s="37"/>
      <c r="C76" s="171">
        <v>40817</v>
      </c>
      <c r="D76" s="178">
        <v>1951423.1289225945</v>
      </c>
      <c r="E76" s="178">
        <v>1758815.9862050908</v>
      </c>
      <c r="F76" s="178">
        <v>1834086.5880000002</v>
      </c>
    </row>
    <row r="77" spans="1:49" x14ac:dyDescent="0.65">
      <c r="A77" s="37"/>
      <c r="C77" s="171">
        <v>40848</v>
      </c>
      <c r="D77" s="178">
        <v>1953141.4284970625</v>
      </c>
      <c r="E77" s="178">
        <v>1953141.4284970625</v>
      </c>
      <c r="F77" s="178">
        <v>1982828.8980000003</v>
      </c>
    </row>
    <row r="78" spans="1:49" x14ac:dyDescent="0.65">
      <c r="A78" s="37"/>
      <c r="C78" s="176"/>
    </row>
    <row r="79" spans="1:49" x14ac:dyDescent="0.65">
      <c r="A79" s="37"/>
      <c r="C79" s="176"/>
    </row>
    <row r="80" spans="1:49" x14ac:dyDescent="0.65">
      <c r="A80" s="37"/>
      <c r="C80" s="176"/>
    </row>
    <row r="81" spans="1:3" x14ac:dyDescent="0.65">
      <c r="A81" s="37"/>
      <c r="C81" s="176"/>
    </row>
    <row r="82" spans="1:3" x14ac:dyDescent="0.65">
      <c r="A82" s="37"/>
    </row>
    <row r="83" spans="1:3" x14ac:dyDescent="0.65">
      <c r="A83" s="37"/>
    </row>
    <row r="84" spans="1:3" x14ac:dyDescent="0.65">
      <c r="A84" s="37"/>
    </row>
    <row r="85" spans="1:3" x14ac:dyDescent="0.65">
      <c r="A85" s="37"/>
    </row>
    <row r="86" spans="1:3" x14ac:dyDescent="0.65">
      <c r="A86" s="37"/>
    </row>
    <row r="87" spans="1:3" x14ac:dyDescent="0.65">
      <c r="A87" s="37"/>
    </row>
    <row r="88" spans="1:3" x14ac:dyDescent="0.65">
      <c r="A88" s="37"/>
    </row>
    <row r="89" spans="1:3" x14ac:dyDescent="0.65">
      <c r="A89" s="37"/>
    </row>
    <row r="90" spans="1:3" x14ac:dyDescent="0.65">
      <c r="A90" s="37"/>
    </row>
    <row r="91" spans="1:3" x14ac:dyDescent="0.65">
      <c r="A91" s="37"/>
    </row>
    <row r="92" spans="1:3" x14ac:dyDescent="0.65">
      <c r="A92" s="37"/>
    </row>
    <row r="93" spans="1:3" x14ac:dyDescent="0.65">
      <c r="A93" s="37"/>
    </row>
    <row r="94" spans="1:3" x14ac:dyDescent="0.65">
      <c r="A94" s="37"/>
    </row>
    <row r="95" spans="1:3" x14ac:dyDescent="0.65">
      <c r="A95" s="37"/>
    </row>
    <row r="96" spans="1:3" x14ac:dyDescent="0.65">
      <c r="A96" s="37"/>
    </row>
    <row r="97" spans="1:1" x14ac:dyDescent="0.65">
      <c r="A97" s="37"/>
    </row>
    <row r="98" spans="1:1" x14ac:dyDescent="0.65">
      <c r="A98" s="37"/>
    </row>
    <row r="99" spans="1:1" x14ac:dyDescent="0.65">
      <c r="A99" s="37"/>
    </row>
    <row r="100" spans="1:1" x14ac:dyDescent="0.65">
      <c r="A100" s="37"/>
    </row>
    <row r="101" spans="1:1" x14ac:dyDescent="0.65">
      <c r="A101" s="37"/>
    </row>
    <row r="102" spans="1:1" x14ac:dyDescent="0.65">
      <c r="A102" s="37"/>
    </row>
    <row r="103" spans="1:1" x14ac:dyDescent="0.65">
      <c r="A103" s="37"/>
    </row>
    <row r="104" spans="1:1" x14ac:dyDescent="0.65">
      <c r="A104" s="37"/>
    </row>
    <row r="105" spans="1:1" x14ac:dyDescent="0.65">
      <c r="A105" s="37"/>
    </row>
    <row r="106" spans="1:1" x14ac:dyDescent="0.65">
      <c r="A106" s="37"/>
    </row>
    <row r="107" spans="1:1" x14ac:dyDescent="0.65">
      <c r="A107" s="37"/>
    </row>
    <row r="108" spans="1:1" x14ac:dyDescent="0.65">
      <c r="A108" s="37"/>
    </row>
    <row r="109" spans="1:1" x14ac:dyDescent="0.65">
      <c r="A109" s="37"/>
    </row>
    <row r="110" spans="1:1" x14ac:dyDescent="0.65">
      <c r="A110" s="37"/>
    </row>
    <row r="111" spans="1:1" x14ac:dyDescent="0.65">
      <c r="A111" s="37"/>
    </row>
    <row r="112" spans="1:1" x14ac:dyDescent="0.65">
      <c r="A112" s="37"/>
    </row>
    <row r="113" spans="1:1" x14ac:dyDescent="0.65">
      <c r="A113" s="37"/>
    </row>
    <row r="114" spans="1:1" x14ac:dyDescent="0.65">
      <c r="A114" s="37"/>
    </row>
    <row r="115" spans="1:1" x14ac:dyDescent="0.65">
      <c r="A115" s="37"/>
    </row>
    <row r="116" spans="1:1" x14ac:dyDescent="0.65">
      <c r="A116" s="37"/>
    </row>
    <row r="117" spans="1:1" x14ac:dyDescent="0.65">
      <c r="A117" s="37"/>
    </row>
    <row r="118" spans="1:1" x14ac:dyDescent="0.65">
      <c r="A118" s="37"/>
    </row>
    <row r="119" spans="1:1" x14ac:dyDescent="0.65">
      <c r="A119" s="37"/>
    </row>
    <row r="120" spans="1:1" x14ac:dyDescent="0.65">
      <c r="A120" s="37"/>
    </row>
    <row r="121" spans="1:1" x14ac:dyDescent="0.65">
      <c r="A121" s="37"/>
    </row>
    <row r="122" spans="1:1" x14ac:dyDescent="0.65">
      <c r="A122" s="37"/>
    </row>
    <row r="123" spans="1:1" x14ac:dyDescent="0.65">
      <c r="A123" s="37"/>
    </row>
    <row r="124" spans="1:1" x14ac:dyDescent="0.65">
      <c r="A124" s="37"/>
    </row>
    <row r="125" spans="1:1" x14ac:dyDescent="0.65">
      <c r="A125" s="37"/>
    </row>
    <row r="126" spans="1:1" x14ac:dyDescent="0.65">
      <c r="A126" s="37"/>
    </row>
    <row r="127" spans="1:1" x14ac:dyDescent="0.65">
      <c r="A127" s="37"/>
    </row>
    <row r="128" spans="1:1" x14ac:dyDescent="0.65">
      <c r="A128" s="37"/>
    </row>
    <row r="129" spans="1:1" x14ac:dyDescent="0.65">
      <c r="A129" s="37"/>
    </row>
    <row r="130" spans="1:1" x14ac:dyDescent="0.65">
      <c r="A130" s="37"/>
    </row>
    <row r="131" spans="1:1" x14ac:dyDescent="0.65">
      <c r="A131" s="37"/>
    </row>
    <row r="132" spans="1:1" x14ac:dyDescent="0.65">
      <c r="A132" s="37"/>
    </row>
    <row r="133" spans="1:1" x14ac:dyDescent="0.65">
      <c r="A133" s="37"/>
    </row>
    <row r="134" spans="1:1" x14ac:dyDescent="0.65">
      <c r="A134" s="37"/>
    </row>
    <row r="135" spans="1:1" x14ac:dyDescent="0.65">
      <c r="A135" s="37"/>
    </row>
    <row r="136" spans="1:1" x14ac:dyDescent="0.65">
      <c r="A136" s="37"/>
    </row>
    <row r="137" spans="1:1" x14ac:dyDescent="0.65">
      <c r="A137" s="37"/>
    </row>
    <row r="138" spans="1:1" x14ac:dyDescent="0.65">
      <c r="A138" s="37"/>
    </row>
    <row r="139" spans="1:1" x14ac:dyDescent="0.65">
      <c r="A139" s="37"/>
    </row>
    <row r="140" spans="1:1" x14ac:dyDescent="0.65">
      <c r="A140" s="37"/>
    </row>
    <row r="141" spans="1:1" x14ac:dyDescent="0.65">
      <c r="A141" s="37"/>
    </row>
    <row r="142" spans="1:1" x14ac:dyDescent="0.65">
      <c r="A142" s="37"/>
    </row>
    <row r="143" spans="1:1" x14ac:dyDescent="0.65">
      <c r="A143" s="37"/>
    </row>
    <row r="144" spans="1:1" x14ac:dyDescent="0.65">
      <c r="A144" s="37"/>
    </row>
    <row r="145" spans="1:1" x14ac:dyDescent="0.65">
      <c r="A145" s="37"/>
    </row>
    <row r="146" spans="1:1" x14ac:dyDescent="0.65">
      <c r="A146" s="37"/>
    </row>
    <row r="147" spans="1:1" x14ac:dyDescent="0.65">
      <c r="A147" s="37"/>
    </row>
    <row r="148" spans="1:1" x14ac:dyDescent="0.65">
      <c r="A148" s="37"/>
    </row>
    <row r="149" spans="1:1" x14ac:dyDescent="0.65">
      <c r="A149" s="37"/>
    </row>
    <row r="150" spans="1:1" x14ac:dyDescent="0.65">
      <c r="A150" s="37"/>
    </row>
    <row r="151" spans="1:1" x14ac:dyDescent="0.65">
      <c r="A151" s="37"/>
    </row>
    <row r="152" spans="1:1" x14ac:dyDescent="0.65">
      <c r="A152" s="37"/>
    </row>
    <row r="153" spans="1:1" x14ac:dyDescent="0.65">
      <c r="A153" s="37"/>
    </row>
    <row r="154" spans="1:1" x14ac:dyDescent="0.65">
      <c r="A154" s="37"/>
    </row>
    <row r="155" spans="1:1" x14ac:dyDescent="0.65">
      <c r="A155" s="37"/>
    </row>
    <row r="156" spans="1:1" x14ac:dyDescent="0.65">
      <c r="A156" s="37"/>
    </row>
    <row r="157" spans="1:1" x14ac:dyDescent="0.65">
      <c r="A157" s="37"/>
    </row>
    <row r="158" spans="1:1" x14ac:dyDescent="0.65">
      <c r="A158" s="37"/>
    </row>
    <row r="159" spans="1:1" x14ac:dyDescent="0.65">
      <c r="A159" s="37"/>
    </row>
    <row r="160" spans="1:1" x14ac:dyDescent="0.65">
      <c r="A160" s="37"/>
    </row>
    <row r="161" spans="1:1" x14ac:dyDescent="0.65">
      <c r="A161" s="37"/>
    </row>
    <row r="162" spans="1:1" x14ac:dyDescent="0.65">
      <c r="A162" s="37"/>
    </row>
    <row r="163" spans="1:1" x14ac:dyDescent="0.65">
      <c r="A163" s="37"/>
    </row>
    <row r="164" spans="1:1" x14ac:dyDescent="0.65">
      <c r="A164" s="37"/>
    </row>
    <row r="165" spans="1:1" x14ac:dyDescent="0.65">
      <c r="A165" s="37"/>
    </row>
    <row r="166" spans="1:1" x14ac:dyDescent="0.65">
      <c r="A166" s="37"/>
    </row>
    <row r="167" spans="1:1" x14ac:dyDescent="0.65">
      <c r="A167" s="37"/>
    </row>
    <row r="168" spans="1:1" x14ac:dyDescent="0.65">
      <c r="A168" s="37"/>
    </row>
    <row r="169" spans="1:1" x14ac:dyDescent="0.65">
      <c r="A169" s="37"/>
    </row>
    <row r="170" spans="1:1" x14ac:dyDescent="0.65">
      <c r="A170" s="37"/>
    </row>
    <row r="171" spans="1:1" x14ac:dyDescent="0.65">
      <c r="A171" s="37"/>
    </row>
    <row r="172" spans="1:1" x14ac:dyDescent="0.65">
      <c r="A172" s="37"/>
    </row>
    <row r="173" spans="1:1" x14ac:dyDescent="0.65">
      <c r="A173" s="37"/>
    </row>
    <row r="174" spans="1:1" x14ac:dyDescent="0.65">
      <c r="A174" s="37"/>
    </row>
    <row r="175" spans="1:1" x14ac:dyDescent="0.65">
      <c r="A175" s="37"/>
    </row>
    <row r="176" spans="1:1" x14ac:dyDescent="0.65">
      <c r="A176" s="37"/>
    </row>
    <row r="177" spans="1:1" x14ac:dyDescent="0.65">
      <c r="A177" s="37"/>
    </row>
    <row r="178" spans="1:1" x14ac:dyDescent="0.65">
      <c r="A178" s="37"/>
    </row>
    <row r="179" spans="1:1" x14ac:dyDescent="0.65">
      <c r="A179" s="37"/>
    </row>
    <row r="180" spans="1:1" x14ac:dyDescent="0.65">
      <c r="A180" s="37"/>
    </row>
    <row r="181" spans="1:1" x14ac:dyDescent="0.65">
      <c r="A181" s="37"/>
    </row>
    <row r="182" spans="1:1" x14ac:dyDescent="0.65">
      <c r="A182" s="37"/>
    </row>
    <row r="183" spans="1:1" x14ac:dyDescent="0.65">
      <c r="A183" s="37"/>
    </row>
    <row r="184" spans="1:1" x14ac:dyDescent="0.65">
      <c r="A184" s="37"/>
    </row>
    <row r="185" spans="1:1" x14ac:dyDescent="0.65">
      <c r="A185" s="37"/>
    </row>
    <row r="186" spans="1:1" x14ac:dyDescent="0.65">
      <c r="A186" s="37"/>
    </row>
    <row r="187" spans="1:1" x14ac:dyDescent="0.65">
      <c r="A187" s="37"/>
    </row>
    <row r="188" spans="1:1" x14ac:dyDescent="0.65">
      <c r="A188" s="37"/>
    </row>
    <row r="189" spans="1:1" x14ac:dyDescent="0.65">
      <c r="A189" s="37"/>
    </row>
    <row r="190" spans="1:1" x14ac:dyDescent="0.65">
      <c r="A190" s="37"/>
    </row>
    <row r="191" spans="1:1" x14ac:dyDescent="0.65">
      <c r="A191" s="37"/>
    </row>
    <row r="192" spans="1:1" x14ac:dyDescent="0.65">
      <c r="A192" s="37"/>
    </row>
    <row r="193" spans="1:1" x14ac:dyDescent="0.65">
      <c r="A193" s="37"/>
    </row>
    <row r="194" spans="1:1" x14ac:dyDescent="0.65">
      <c r="A194" s="37"/>
    </row>
    <row r="195" spans="1:1" x14ac:dyDescent="0.65">
      <c r="A195" s="37"/>
    </row>
    <row r="196" spans="1:1" x14ac:dyDescent="0.65">
      <c r="A196" s="37"/>
    </row>
    <row r="197" spans="1:1" x14ac:dyDescent="0.65">
      <c r="A197" s="37"/>
    </row>
    <row r="198" spans="1:1" x14ac:dyDescent="0.65">
      <c r="A198" s="37"/>
    </row>
    <row r="199" spans="1:1" x14ac:dyDescent="0.65">
      <c r="A199" s="37"/>
    </row>
    <row r="200" spans="1:1" x14ac:dyDescent="0.65">
      <c r="A200" s="37"/>
    </row>
    <row r="201" spans="1:1" x14ac:dyDescent="0.65">
      <c r="A201" s="37"/>
    </row>
    <row r="202" spans="1:1" x14ac:dyDescent="0.65">
      <c r="A202" s="37"/>
    </row>
    <row r="203" spans="1:1" x14ac:dyDescent="0.65">
      <c r="A203" s="37"/>
    </row>
    <row r="204" spans="1:1" x14ac:dyDescent="0.65">
      <c r="A204" s="37"/>
    </row>
    <row r="205" spans="1:1" x14ac:dyDescent="0.65">
      <c r="A205" s="37"/>
    </row>
    <row r="206" spans="1:1" x14ac:dyDescent="0.65">
      <c r="A206" s="37"/>
    </row>
    <row r="207" spans="1:1" x14ac:dyDescent="0.65">
      <c r="A207" s="37"/>
    </row>
    <row r="208" spans="1:1" x14ac:dyDescent="0.65">
      <c r="A208" s="37"/>
    </row>
    <row r="209" spans="1:1" x14ac:dyDescent="0.65">
      <c r="A209" s="37"/>
    </row>
    <row r="210" spans="1:1" x14ac:dyDescent="0.65">
      <c r="A210" s="37"/>
    </row>
    <row r="211" spans="1:1" x14ac:dyDescent="0.65">
      <c r="A211" s="37"/>
    </row>
    <row r="212" spans="1:1" x14ac:dyDescent="0.65">
      <c r="A212" s="37"/>
    </row>
    <row r="213" spans="1:1" x14ac:dyDescent="0.65">
      <c r="A213" s="37"/>
    </row>
    <row r="214" spans="1:1" x14ac:dyDescent="0.65">
      <c r="A214" s="37"/>
    </row>
    <row r="215" spans="1:1" x14ac:dyDescent="0.65">
      <c r="A215" s="37"/>
    </row>
    <row r="216" spans="1:1" x14ac:dyDescent="0.65">
      <c r="A216" s="37"/>
    </row>
    <row r="217" spans="1:1" x14ac:dyDescent="0.65">
      <c r="A217" s="37"/>
    </row>
    <row r="218" spans="1:1" x14ac:dyDescent="0.65">
      <c r="A218" s="37"/>
    </row>
    <row r="219" spans="1:1" x14ac:dyDescent="0.65">
      <c r="A219" s="37"/>
    </row>
    <row r="220" spans="1:1" x14ac:dyDescent="0.65">
      <c r="A220" s="37"/>
    </row>
    <row r="221" spans="1:1" x14ac:dyDescent="0.65">
      <c r="A221" s="37"/>
    </row>
    <row r="222" spans="1:1" x14ac:dyDescent="0.65">
      <c r="A222" s="37"/>
    </row>
    <row r="223" spans="1:1" x14ac:dyDescent="0.65">
      <c r="A223" s="37"/>
    </row>
    <row r="224" spans="1:1" x14ac:dyDescent="0.65">
      <c r="A224" s="37"/>
    </row>
    <row r="225" spans="1:1" x14ac:dyDescent="0.65">
      <c r="A225" s="37"/>
    </row>
    <row r="226" spans="1:1" x14ac:dyDescent="0.65">
      <c r="A226" s="37"/>
    </row>
    <row r="227" spans="1:1" x14ac:dyDescent="0.65">
      <c r="A227" s="37"/>
    </row>
    <row r="228" spans="1:1" x14ac:dyDescent="0.65">
      <c r="A228" s="37"/>
    </row>
    <row r="229" spans="1:1" x14ac:dyDescent="0.65">
      <c r="A229" s="37"/>
    </row>
    <row r="230" spans="1:1" x14ac:dyDescent="0.65">
      <c r="A230" s="37"/>
    </row>
    <row r="231" spans="1:1" x14ac:dyDescent="0.65">
      <c r="A231" s="37"/>
    </row>
    <row r="232" spans="1:1" x14ac:dyDescent="0.65">
      <c r="A232" s="37"/>
    </row>
    <row r="233" spans="1:1" x14ac:dyDescent="0.65">
      <c r="A233" s="37"/>
    </row>
    <row r="234" spans="1:1" x14ac:dyDescent="0.65">
      <c r="A234" s="37"/>
    </row>
    <row r="235" spans="1:1" x14ac:dyDescent="0.65">
      <c r="A235" s="37"/>
    </row>
    <row r="236" spans="1:1" x14ac:dyDescent="0.65">
      <c r="A236" s="37"/>
    </row>
    <row r="237" spans="1:1" x14ac:dyDescent="0.65">
      <c r="A237" s="37"/>
    </row>
    <row r="238" spans="1:1" x14ac:dyDescent="0.65">
      <c r="A238" s="37"/>
    </row>
    <row r="239" spans="1:1" x14ac:dyDescent="0.65">
      <c r="A239" s="37"/>
    </row>
    <row r="240" spans="1:1" x14ac:dyDescent="0.65">
      <c r="A240" s="37"/>
    </row>
    <row r="241" spans="1:1" x14ac:dyDescent="0.65">
      <c r="A241" s="37"/>
    </row>
    <row r="242" spans="1:1" x14ac:dyDescent="0.65">
      <c r="A242" s="37"/>
    </row>
    <row r="243" spans="1:1" x14ac:dyDescent="0.65">
      <c r="A243" s="37"/>
    </row>
    <row r="244" spans="1:1" x14ac:dyDescent="0.65">
      <c r="A244" s="37"/>
    </row>
    <row r="245" spans="1:1" x14ac:dyDescent="0.65">
      <c r="A245" s="37"/>
    </row>
    <row r="246" spans="1:1" x14ac:dyDescent="0.65">
      <c r="A246" s="37"/>
    </row>
    <row r="247" spans="1:1" x14ac:dyDescent="0.65">
      <c r="A247" s="37"/>
    </row>
    <row r="248" spans="1:1" x14ac:dyDescent="0.65">
      <c r="A248" s="37"/>
    </row>
    <row r="249" spans="1:1" x14ac:dyDescent="0.65">
      <c r="A249" s="37"/>
    </row>
    <row r="250" spans="1:1" x14ac:dyDescent="0.65">
      <c r="A250" s="37"/>
    </row>
    <row r="251" spans="1:1" x14ac:dyDescent="0.65">
      <c r="A251" s="37"/>
    </row>
    <row r="252" spans="1:1" x14ac:dyDescent="0.65">
      <c r="A252" s="37"/>
    </row>
    <row r="253" spans="1:1" x14ac:dyDescent="0.65">
      <c r="A253" s="37"/>
    </row>
    <row r="254" spans="1:1" x14ac:dyDescent="0.65">
      <c r="A254" s="37"/>
    </row>
    <row r="255" spans="1:1" x14ac:dyDescent="0.65">
      <c r="A255" s="37"/>
    </row>
    <row r="256" spans="1:1" x14ac:dyDescent="0.65">
      <c r="A256" s="37"/>
    </row>
    <row r="257" spans="1:1" x14ac:dyDescent="0.65">
      <c r="A257" s="37"/>
    </row>
    <row r="258" spans="1:1" x14ac:dyDescent="0.65">
      <c r="A258" s="37"/>
    </row>
    <row r="259" spans="1:1" x14ac:dyDescent="0.65">
      <c r="A259" s="37"/>
    </row>
    <row r="260" spans="1:1" x14ac:dyDescent="0.65">
      <c r="A260" s="37"/>
    </row>
    <row r="261" spans="1:1" x14ac:dyDescent="0.65">
      <c r="A261" s="37"/>
    </row>
    <row r="262" spans="1:1" x14ac:dyDescent="0.65">
      <c r="A262" s="37"/>
    </row>
    <row r="263" spans="1:1" x14ac:dyDescent="0.65">
      <c r="A263" s="37"/>
    </row>
    <row r="264" spans="1:1" x14ac:dyDescent="0.65">
      <c r="A264" s="37"/>
    </row>
    <row r="265" spans="1:1" x14ac:dyDescent="0.65">
      <c r="A265" s="37"/>
    </row>
    <row r="266" spans="1:1" x14ac:dyDescent="0.65">
      <c r="A266" s="37"/>
    </row>
    <row r="267" spans="1:1" x14ac:dyDescent="0.65">
      <c r="A267" s="37"/>
    </row>
    <row r="268" spans="1:1" x14ac:dyDescent="0.65">
      <c r="A268" s="37"/>
    </row>
    <row r="269" spans="1:1" x14ac:dyDescent="0.65">
      <c r="A269" s="37"/>
    </row>
    <row r="270" spans="1:1" x14ac:dyDescent="0.65">
      <c r="A270" s="37"/>
    </row>
    <row r="271" spans="1:1" x14ac:dyDescent="0.65">
      <c r="A271" s="37"/>
    </row>
    <row r="272" spans="1:1" x14ac:dyDescent="0.65">
      <c r="A272" s="37"/>
    </row>
    <row r="273" spans="1:1" x14ac:dyDescent="0.65">
      <c r="A273" s="37"/>
    </row>
    <row r="274" spans="1:1" x14ac:dyDescent="0.65">
      <c r="A274" s="37"/>
    </row>
    <row r="275" spans="1:1" x14ac:dyDescent="0.65">
      <c r="A275" s="37"/>
    </row>
    <row r="276" spans="1:1" x14ac:dyDescent="0.65">
      <c r="A276" s="37"/>
    </row>
    <row r="277" spans="1:1" x14ac:dyDescent="0.65">
      <c r="A277" s="37"/>
    </row>
    <row r="278" spans="1:1" x14ac:dyDescent="0.65">
      <c r="A278" s="37"/>
    </row>
    <row r="279" spans="1:1" x14ac:dyDescent="0.65">
      <c r="A279" s="37"/>
    </row>
    <row r="280" spans="1:1" x14ac:dyDescent="0.65">
      <c r="A280" s="37"/>
    </row>
    <row r="281" spans="1:1" x14ac:dyDescent="0.65">
      <c r="A281" s="37"/>
    </row>
    <row r="282" spans="1:1" x14ac:dyDescent="0.65">
      <c r="A282" s="37"/>
    </row>
    <row r="283" spans="1:1" x14ac:dyDescent="0.65">
      <c r="A283" s="37"/>
    </row>
    <row r="284" spans="1:1" x14ac:dyDescent="0.65">
      <c r="A284" s="37"/>
    </row>
    <row r="285" spans="1:1" x14ac:dyDescent="0.65">
      <c r="A285" s="37"/>
    </row>
    <row r="286" spans="1:1" x14ac:dyDescent="0.65">
      <c r="A286" s="37"/>
    </row>
    <row r="287" spans="1:1" x14ac:dyDescent="0.65">
      <c r="A287" s="37"/>
    </row>
    <row r="288" spans="1:1" x14ac:dyDescent="0.65">
      <c r="A288" s="37"/>
    </row>
    <row r="289" spans="1:1" x14ac:dyDescent="0.65">
      <c r="A289" s="37"/>
    </row>
    <row r="290" spans="1:1" x14ac:dyDescent="0.65">
      <c r="A290" s="37"/>
    </row>
    <row r="291" spans="1:1" x14ac:dyDescent="0.65">
      <c r="A291" s="37"/>
    </row>
    <row r="292" spans="1:1" x14ac:dyDescent="0.65">
      <c r="A292" s="37"/>
    </row>
    <row r="293" spans="1:1" x14ac:dyDescent="0.65">
      <c r="A293" s="37"/>
    </row>
    <row r="294" spans="1:1" x14ac:dyDescent="0.65">
      <c r="A294" s="37"/>
    </row>
    <row r="295" spans="1:1" x14ac:dyDescent="0.65">
      <c r="A295" s="37"/>
    </row>
    <row r="296" spans="1:1" x14ac:dyDescent="0.65">
      <c r="A296" s="37"/>
    </row>
    <row r="297" spans="1:1" x14ac:dyDescent="0.65">
      <c r="A297" s="37"/>
    </row>
    <row r="298" spans="1:1" x14ac:dyDescent="0.65">
      <c r="A298" s="37"/>
    </row>
    <row r="299" spans="1:1" x14ac:dyDescent="0.65">
      <c r="A299" s="37"/>
    </row>
    <row r="300" spans="1:1" x14ac:dyDescent="0.65">
      <c r="A300" s="37"/>
    </row>
    <row r="301" spans="1:1" x14ac:dyDescent="0.65">
      <c r="A301" s="37"/>
    </row>
    <row r="302" spans="1:1" x14ac:dyDescent="0.65">
      <c r="A302" s="37"/>
    </row>
    <row r="303" spans="1:1" x14ac:dyDescent="0.65">
      <c r="A303" s="37"/>
    </row>
    <row r="304" spans="1:1" x14ac:dyDescent="0.65">
      <c r="A304" s="37"/>
    </row>
    <row r="305" spans="1:1" x14ac:dyDescent="0.65">
      <c r="A305" s="37"/>
    </row>
    <row r="306" spans="1:1" x14ac:dyDescent="0.65">
      <c r="A306" s="37"/>
    </row>
    <row r="307" spans="1:1" x14ac:dyDescent="0.65">
      <c r="A307" s="37"/>
    </row>
    <row r="308" spans="1:1" x14ac:dyDescent="0.65">
      <c r="A308" s="37"/>
    </row>
    <row r="309" spans="1:1" x14ac:dyDescent="0.65">
      <c r="A309" s="37"/>
    </row>
    <row r="310" spans="1:1" x14ac:dyDescent="0.65">
      <c r="A310" s="37"/>
    </row>
    <row r="311" spans="1:1" x14ac:dyDescent="0.65">
      <c r="A311" s="37"/>
    </row>
    <row r="312" spans="1:1" x14ac:dyDescent="0.65">
      <c r="A312" s="37"/>
    </row>
    <row r="313" spans="1:1" x14ac:dyDescent="0.65">
      <c r="A313" s="37"/>
    </row>
    <row r="314" spans="1:1" x14ac:dyDescent="0.65">
      <c r="A314" s="37"/>
    </row>
    <row r="315" spans="1:1" x14ac:dyDescent="0.65">
      <c r="A315" s="37"/>
    </row>
    <row r="316" spans="1:1" x14ac:dyDescent="0.65">
      <c r="A316" s="37"/>
    </row>
    <row r="317" spans="1:1" x14ac:dyDescent="0.65">
      <c r="A317" s="37"/>
    </row>
    <row r="318" spans="1:1" x14ac:dyDescent="0.65">
      <c r="A318" s="37"/>
    </row>
    <row r="319" spans="1:1" x14ac:dyDescent="0.65">
      <c r="A319" s="37"/>
    </row>
    <row r="320" spans="1:1" x14ac:dyDescent="0.65">
      <c r="A320" s="37"/>
    </row>
    <row r="321" spans="1:1" x14ac:dyDescent="0.65">
      <c r="A321" s="37"/>
    </row>
    <row r="322" spans="1:1" x14ac:dyDescent="0.65">
      <c r="A322" s="37"/>
    </row>
    <row r="323" spans="1:1" x14ac:dyDescent="0.65">
      <c r="A323" s="37"/>
    </row>
    <row r="324" spans="1:1" x14ac:dyDescent="0.65">
      <c r="A324" s="37"/>
    </row>
    <row r="325" spans="1:1" x14ac:dyDescent="0.65">
      <c r="A325" s="37"/>
    </row>
    <row r="326" spans="1:1" x14ac:dyDescent="0.65">
      <c r="A326" s="37"/>
    </row>
    <row r="327" spans="1:1" x14ac:dyDescent="0.65">
      <c r="A327" s="37"/>
    </row>
    <row r="328" spans="1:1" x14ac:dyDescent="0.65">
      <c r="A328" s="37"/>
    </row>
    <row r="329" spans="1:1" x14ac:dyDescent="0.65">
      <c r="A329" s="37"/>
    </row>
    <row r="330" spans="1:1" x14ac:dyDescent="0.65">
      <c r="A330" s="37"/>
    </row>
    <row r="331" spans="1:1" x14ac:dyDescent="0.65">
      <c r="A331" s="37"/>
    </row>
    <row r="332" spans="1:1" x14ac:dyDescent="0.65">
      <c r="A332" s="37"/>
    </row>
    <row r="333" spans="1:1" x14ac:dyDescent="0.65">
      <c r="A333" s="37"/>
    </row>
    <row r="334" spans="1:1" x14ac:dyDescent="0.65">
      <c r="A334" s="37"/>
    </row>
    <row r="335" spans="1:1" x14ac:dyDescent="0.65">
      <c r="A335" s="37"/>
    </row>
    <row r="336" spans="1:1" x14ac:dyDescent="0.65">
      <c r="A336" s="37"/>
    </row>
    <row r="337" spans="1:1" x14ac:dyDescent="0.65">
      <c r="A337" s="37"/>
    </row>
    <row r="338" spans="1:1" x14ac:dyDescent="0.65">
      <c r="A338" s="37"/>
    </row>
    <row r="339" spans="1:1" x14ac:dyDescent="0.65">
      <c r="A339" s="37"/>
    </row>
    <row r="340" spans="1:1" x14ac:dyDescent="0.65">
      <c r="A340" s="37"/>
    </row>
    <row r="341" spans="1:1" x14ac:dyDescent="0.65">
      <c r="A341" s="37"/>
    </row>
    <row r="342" spans="1:1" x14ac:dyDescent="0.65">
      <c r="A342" s="37"/>
    </row>
    <row r="343" spans="1:1" x14ac:dyDescent="0.65">
      <c r="A343" s="37"/>
    </row>
    <row r="344" spans="1:1" x14ac:dyDescent="0.65">
      <c r="A344" s="37"/>
    </row>
    <row r="345" spans="1:1" x14ac:dyDescent="0.65">
      <c r="A345" s="37"/>
    </row>
    <row r="346" spans="1:1" x14ac:dyDescent="0.65">
      <c r="A346" s="37"/>
    </row>
    <row r="347" spans="1:1" x14ac:dyDescent="0.65">
      <c r="A347" s="37"/>
    </row>
    <row r="348" spans="1:1" x14ac:dyDescent="0.65">
      <c r="A348" s="37"/>
    </row>
    <row r="349" spans="1:1" x14ac:dyDescent="0.65">
      <c r="A349" s="37"/>
    </row>
    <row r="350" spans="1:1" x14ac:dyDescent="0.65">
      <c r="A350" s="37"/>
    </row>
    <row r="351" spans="1:1" x14ac:dyDescent="0.65">
      <c r="A351" s="37"/>
    </row>
    <row r="352" spans="1:1" x14ac:dyDescent="0.65">
      <c r="A352" s="37"/>
    </row>
    <row r="353" spans="1:1" x14ac:dyDescent="0.65">
      <c r="A353" s="37"/>
    </row>
    <row r="354" spans="1:1" x14ac:dyDescent="0.65">
      <c r="A354" s="37"/>
    </row>
    <row r="355" spans="1:1" x14ac:dyDescent="0.65">
      <c r="A355" s="37"/>
    </row>
    <row r="356" spans="1:1" x14ac:dyDescent="0.65">
      <c r="A356" s="37"/>
    </row>
    <row r="357" spans="1:1" x14ac:dyDescent="0.65">
      <c r="A357" s="37"/>
    </row>
    <row r="358" spans="1:1" x14ac:dyDescent="0.65">
      <c r="A358" s="37"/>
    </row>
    <row r="359" spans="1:1" x14ac:dyDescent="0.65">
      <c r="A359" s="37"/>
    </row>
    <row r="360" spans="1:1" x14ac:dyDescent="0.65">
      <c r="A360" s="37"/>
    </row>
    <row r="361" spans="1:1" x14ac:dyDescent="0.65">
      <c r="A361" s="37"/>
    </row>
    <row r="362" spans="1:1" x14ac:dyDescent="0.65">
      <c r="A362" s="37"/>
    </row>
    <row r="363" spans="1:1" x14ac:dyDescent="0.65">
      <c r="A363" s="37"/>
    </row>
    <row r="364" spans="1:1" x14ac:dyDescent="0.65">
      <c r="A364" s="37"/>
    </row>
    <row r="365" spans="1:1" x14ac:dyDescent="0.65">
      <c r="A365" s="37"/>
    </row>
    <row r="366" spans="1:1" x14ac:dyDescent="0.65">
      <c r="A366" s="37"/>
    </row>
    <row r="367" spans="1:1" x14ac:dyDescent="0.65">
      <c r="A367" s="37"/>
    </row>
    <row r="368" spans="1:1" x14ac:dyDescent="0.65">
      <c r="A368" s="37"/>
    </row>
    <row r="369" spans="1:1" x14ac:dyDescent="0.65">
      <c r="A369" s="37"/>
    </row>
    <row r="370" spans="1:1" x14ac:dyDescent="0.65">
      <c r="A370" s="37"/>
    </row>
    <row r="371" spans="1:1" x14ac:dyDescent="0.65">
      <c r="A371" s="37"/>
    </row>
    <row r="372" spans="1:1" x14ac:dyDescent="0.65">
      <c r="A372" s="37"/>
    </row>
    <row r="373" spans="1:1" x14ac:dyDescent="0.65">
      <c r="A373" s="37"/>
    </row>
    <row r="374" spans="1:1" x14ac:dyDescent="0.65">
      <c r="A374" s="37"/>
    </row>
    <row r="375" spans="1:1" x14ac:dyDescent="0.65">
      <c r="A375" s="37"/>
    </row>
    <row r="376" spans="1:1" x14ac:dyDescent="0.65">
      <c r="A376" s="37"/>
    </row>
    <row r="377" spans="1:1" x14ac:dyDescent="0.65">
      <c r="A377" s="37"/>
    </row>
    <row r="378" spans="1:1" x14ac:dyDescent="0.65">
      <c r="A378" s="37"/>
    </row>
    <row r="379" spans="1:1" x14ac:dyDescent="0.65">
      <c r="A379" s="37"/>
    </row>
    <row r="380" spans="1:1" x14ac:dyDescent="0.65">
      <c r="A380" s="37"/>
    </row>
    <row r="381" spans="1:1" x14ac:dyDescent="0.65">
      <c r="A381" s="37"/>
    </row>
    <row r="382" spans="1:1" x14ac:dyDescent="0.65">
      <c r="A382" s="37"/>
    </row>
    <row r="383" spans="1:1" x14ac:dyDescent="0.65">
      <c r="A383" s="37"/>
    </row>
    <row r="384" spans="1:1" x14ac:dyDescent="0.65">
      <c r="A384" s="37"/>
    </row>
    <row r="385" spans="1:1" x14ac:dyDescent="0.65">
      <c r="A385" s="37"/>
    </row>
    <row r="386" spans="1:1" x14ac:dyDescent="0.65">
      <c r="A386" s="37"/>
    </row>
    <row r="387" spans="1:1" x14ac:dyDescent="0.65">
      <c r="A387" s="37"/>
    </row>
    <row r="388" spans="1:1" x14ac:dyDescent="0.65">
      <c r="A388" s="37"/>
    </row>
    <row r="389" spans="1:1" x14ac:dyDescent="0.65">
      <c r="A389" s="37"/>
    </row>
    <row r="390" spans="1:1" x14ac:dyDescent="0.65">
      <c r="A390" s="37"/>
    </row>
    <row r="391" spans="1:1" x14ac:dyDescent="0.65">
      <c r="A391" s="37"/>
    </row>
    <row r="392" spans="1:1" x14ac:dyDescent="0.65">
      <c r="A392" s="37"/>
    </row>
    <row r="393" spans="1:1" x14ac:dyDescent="0.65">
      <c r="A393" s="37"/>
    </row>
    <row r="394" spans="1:1" x14ac:dyDescent="0.65">
      <c r="A394" s="37"/>
    </row>
    <row r="395" spans="1:1" x14ac:dyDescent="0.65">
      <c r="A395" s="37"/>
    </row>
    <row r="396" spans="1:1" x14ac:dyDescent="0.65">
      <c r="A396" s="37"/>
    </row>
    <row r="397" spans="1:1" x14ac:dyDescent="0.65">
      <c r="A397" s="37"/>
    </row>
    <row r="398" spans="1:1" x14ac:dyDescent="0.65">
      <c r="A398" s="37"/>
    </row>
    <row r="399" spans="1:1" x14ac:dyDescent="0.65">
      <c r="A399" s="37"/>
    </row>
    <row r="400" spans="1:1" x14ac:dyDescent="0.65">
      <c r="A400" s="37"/>
    </row>
    <row r="401" spans="1:1" x14ac:dyDescent="0.65">
      <c r="A401" s="37"/>
    </row>
    <row r="402" spans="1:1" x14ac:dyDescent="0.65">
      <c r="A402" s="37"/>
    </row>
    <row r="403" spans="1:1" x14ac:dyDescent="0.65">
      <c r="A403" s="37"/>
    </row>
    <row r="404" spans="1:1" x14ac:dyDescent="0.65">
      <c r="A404" s="37"/>
    </row>
    <row r="405" spans="1:1" x14ac:dyDescent="0.65">
      <c r="A405" s="37"/>
    </row>
    <row r="406" spans="1:1" x14ac:dyDescent="0.65">
      <c r="A406" s="37"/>
    </row>
    <row r="407" spans="1:1" x14ac:dyDescent="0.65">
      <c r="A407" s="37"/>
    </row>
    <row r="408" spans="1:1" x14ac:dyDescent="0.65">
      <c r="A408" s="37"/>
    </row>
    <row r="409" spans="1:1" x14ac:dyDescent="0.65">
      <c r="A409" s="37"/>
    </row>
    <row r="410" spans="1:1" x14ac:dyDescent="0.65">
      <c r="A410" s="37"/>
    </row>
    <row r="411" spans="1:1" x14ac:dyDescent="0.65">
      <c r="A411" s="37"/>
    </row>
    <row r="412" spans="1:1" x14ac:dyDescent="0.65">
      <c r="A412" s="37"/>
    </row>
    <row r="413" spans="1:1" x14ac:dyDescent="0.65">
      <c r="A413" s="37"/>
    </row>
    <row r="414" spans="1:1" x14ac:dyDescent="0.65">
      <c r="A414" s="37"/>
    </row>
    <row r="415" spans="1:1" x14ac:dyDescent="0.65">
      <c r="A415" s="37"/>
    </row>
    <row r="416" spans="1:1" x14ac:dyDescent="0.65">
      <c r="A416" s="37"/>
    </row>
    <row r="417" spans="1:1" x14ac:dyDescent="0.65">
      <c r="A417" s="37"/>
    </row>
    <row r="418" spans="1:1" x14ac:dyDescent="0.65">
      <c r="A418" s="37"/>
    </row>
    <row r="419" spans="1:1" x14ac:dyDescent="0.65">
      <c r="A419" s="37"/>
    </row>
    <row r="420" spans="1:1" x14ac:dyDescent="0.65">
      <c r="A420" s="37"/>
    </row>
    <row r="421" spans="1:1" x14ac:dyDescent="0.65">
      <c r="A421" s="37"/>
    </row>
    <row r="422" spans="1:1" x14ac:dyDescent="0.65">
      <c r="A422" s="37"/>
    </row>
    <row r="423" spans="1:1" x14ac:dyDescent="0.65">
      <c r="A423" s="37"/>
    </row>
    <row r="424" spans="1:1" x14ac:dyDescent="0.65">
      <c r="A424" s="37"/>
    </row>
    <row r="425" spans="1:1" x14ac:dyDescent="0.65">
      <c r="A425" s="37"/>
    </row>
    <row r="426" spans="1:1" x14ac:dyDescent="0.65">
      <c r="A426" s="37"/>
    </row>
    <row r="427" spans="1:1" x14ac:dyDescent="0.65">
      <c r="A427" s="37"/>
    </row>
    <row r="428" spans="1:1" x14ac:dyDescent="0.65">
      <c r="A428" s="37"/>
    </row>
    <row r="429" spans="1:1" x14ac:dyDescent="0.65">
      <c r="A429" s="37"/>
    </row>
    <row r="430" spans="1:1" x14ac:dyDescent="0.65">
      <c r="A430" s="37"/>
    </row>
    <row r="431" spans="1:1" x14ac:dyDescent="0.65">
      <c r="A431" s="37"/>
    </row>
    <row r="432" spans="1:1" x14ac:dyDescent="0.65">
      <c r="A432" s="37"/>
    </row>
    <row r="433" spans="1:1" x14ac:dyDescent="0.65">
      <c r="A433" s="37"/>
    </row>
    <row r="434" spans="1:1" x14ac:dyDescent="0.65">
      <c r="A434" s="37"/>
    </row>
    <row r="435" spans="1:1" x14ac:dyDescent="0.65">
      <c r="A435" s="37"/>
    </row>
    <row r="436" spans="1:1" x14ac:dyDescent="0.65">
      <c r="A436" s="37"/>
    </row>
    <row r="437" spans="1:1" x14ac:dyDescent="0.65">
      <c r="A437" s="37"/>
    </row>
    <row r="438" spans="1:1" x14ac:dyDescent="0.65">
      <c r="A438" s="37"/>
    </row>
    <row r="439" spans="1:1" x14ac:dyDescent="0.65">
      <c r="A439" s="37"/>
    </row>
    <row r="440" spans="1:1" x14ac:dyDescent="0.65">
      <c r="A440" s="37"/>
    </row>
    <row r="441" spans="1:1" x14ac:dyDescent="0.65">
      <c r="A441" s="37"/>
    </row>
    <row r="442" spans="1:1" x14ac:dyDescent="0.65">
      <c r="A442" s="37"/>
    </row>
    <row r="443" spans="1:1" x14ac:dyDescent="0.65">
      <c r="A443" s="37"/>
    </row>
    <row r="444" spans="1:1" x14ac:dyDescent="0.65">
      <c r="A444" s="37"/>
    </row>
    <row r="445" spans="1:1" x14ac:dyDescent="0.65">
      <c r="A445" s="37"/>
    </row>
    <row r="446" spans="1:1" x14ac:dyDescent="0.65">
      <c r="A446" s="37"/>
    </row>
    <row r="447" spans="1:1" x14ac:dyDescent="0.65">
      <c r="A447" s="37"/>
    </row>
    <row r="448" spans="1:1" x14ac:dyDescent="0.65">
      <c r="A448" s="37"/>
    </row>
    <row r="449" spans="1:1" x14ac:dyDescent="0.65">
      <c r="A449" s="37"/>
    </row>
    <row r="450" spans="1:1" x14ac:dyDescent="0.65">
      <c r="A450" s="37"/>
    </row>
    <row r="451" spans="1:1" x14ac:dyDescent="0.65">
      <c r="A451" s="37"/>
    </row>
    <row r="452" spans="1:1" x14ac:dyDescent="0.65">
      <c r="A452" s="37"/>
    </row>
    <row r="453" spans="1:1" x14ac:dyDescent="0.65">
      <c r="A453" s="37"/>
    </row>
    <row r="454" spans="1:1" x14ac:dyDescent="0.65">
      <c r="A454" s="37"/>
    </row>
    <row r="455" spans="1:1" x14ac:dyDescent="0.65">
      <c r="A455" s="37"/>
    </row>
    <row r="456" spans="1:1" x14ac:dyDescent="0.65">
      <c r="A456" s="37"/>
    </row>
    <row r="457" spans="1:1" x14ac:dyDescent="0.65">
      <c r="A457" s="37"/>
    </row>
    <row r="458" spans="1:1" x14ac:dyDescent="0.65">
      <c r="A458" s="37"/>
    </row>
    <row r="459" spans="1:1" x14ac:dyDescent="0.65">
      <c r="A459" s="37"/>
    </row>
    <row r="460" spans="1:1" x14ac:dyDescent="0.65">
      <c r="A460" s="37"/>
    </row>
    <row r="461" spans="1:1" x14ac:dyDescent="0.65">
      <c r="A461" s="37"/>
    </row>
    <row r="462" spans="1:1" x14ac:dyDescent="0.65">
      <c r="A462" s="37"/>
    </row>
    <row r="463" spans="1:1" x14ac:dyDescent="0.65">
      <c r="A463" s="37"/>
    </row>
    <row r="464" spans="1:1" x14ac:dyDescent="0.65">
      <c r="A464" s="37"/>
    </row>
    <row r="465" spans="1:1" x14ac:dyDescent="0.65">
      <c r="A465" s="37"/>
    </row>
    <row r="466" spans="1:1" x14ac:dyDescent="0.65">
      <c r="A466" s="37"/>
    </row>
    <row r="467" spans="1:1" x14ac:dyDescent="0.65">
      <c r="A467" s="37"/>
    </row>
    <row r="468" spans="1:1" x14ac:dyDescent="0.65">
      <c r="A468" s="37"/>
    </row>
    <row r="469" spans="1:1" x14ac:dyDescent="0.65">
      <c r="A469" s="37"/>
    </row>
    <row r="470" spans="1:1" x14ac:dyDescent="0.65">
      <c r="A470" s="37"/>
    </row>
    <row r="471" spans="1:1" x14ac:dyDescent="0.65">
      <c r="A471" s="37"/>
    </row>
    <row r="472" spans="1:1" x14ac:dyDescent="0.65">
      <c r="A472" s="37"/>
    </row>
    <row r="473" spans="1:1" x14ac:dyDescent="0.65">
      <c r="A473" s="37"/>
    </row>
    <row r="474" spans="1:1" x14ac:dyDescent="0.65">
      <c r="A474" s="37"/>
    </row>
    <row r="475" spans="1:1" x14ac:dyDescent="0.65">
      <c r="A475" s="37"/>
    </row>
    <row r="476" spans="1:1" x14ac:dyDescent="0.65">
      <c r="A476" s="37"/>
    </row>
    <row r="477" spans="1:1" x14ac:dyDescent="0.65">
      <c r="A477" s="37"/>
    </row>
    <row r="478" spans="1:1" x14ac:dyDescent="0.65">
      <c r="A478" s="37"/>
    </row>
    <row r="479" spans="1:1" x14ac:dyDescent="0.65">
      <c r="A479" s="37"/>
    </row>
    <row r="480" spans="1:1" x14ac:dyDescent="0.65">
      <c r="A480" s="37"/>
    </row>
    <row r="481" spans="1:1" x14ac:dyDescent="0.65">
      <c r="A481" s="37"/>
    </row>
    <row r="482" spans="1:1" x14ac:dyDescent="0.65">
      <c r="A482" s="37"/>
    </row>
    <row r="483" spans="1:1" x14ac:dyDescent="0.65">
      <c r="A483" s="37"/>
    </row>
    <row r="484" spans="1:1" x14ac:dyDescent="0.65">
      <c r="A484" s="37"/>
    </row>
    <row r="485" spans="1:1" x14ac:dyDescent="0.65">
      <c r="A485" s="37"/>
    </row>
    <row r="486" spans="1:1" x14ac:dyDescent="0.65">
      <c r="A486" s="37"/>
    </row>
    <row r="487" spans="1:1" x14ac:dyDescent="0.65">
      <c r="A487" s="37"/>
    </row>
    <row r="488" spans="1:1" x14ac:dyDescent="0.65">
      <c r="A488" s="37"/>
    </row>
    <row r="489" spans="1:1" x14ac:dyDescent="0.65">
      <c r="A489" s="37"/>
    </row>
    <row r="490" spans="1:1" x14ac:dyDescent="0.65">
      <c r="A490" s="37"/>
    </row>
    <row r="491" spans="1:1" x14ac:dyDescent="0.65">
      <c r="A491" s="37"/>
    </row>
    <row r="492" spans="1:1" x14ac:dyDescent="0.65">
      <c r="A492" s="37"/>
    </row>
    <row r="493" spans="1:1" x14ac:dyDescent="0.65">
      <c r="A493" s="37"/>
    </row>
    <row r="494" spans="1:1" x14ac:dyDescent="0.65">
      <c r="A494" s="37"/>
    </row>
    <row r="495" spans="1:1" x14ac:dyDescent="0.65">
      <c r="A495" s="37"/>
    </row>
    <row r="496" spans="1:1" x14ac:dyDescent="0.65">
      <c r="A496" s="37"/>
    </row>
    <row r="497" spans="1:1" x14ac:dyDescent="0.65">
      <c r="A497" s="37"/>
    </row>
    <row r="498" spans="1:1" x14ac:dyDescent="0.65">
      <c r="A498" s="37"/>
    </row>
    <row r="499" spans="1:1" x14ac:dyDescent="0.65">
      <c r="A499" s="37"/>
    </row>
    <row r="500" spans="1:1" x14ac:dyDescent="0.65">
      <c r="A500" s="37"/>
    </row>
    <row r="501" spans="1:1" x14ac:dyDescent="0.65">
      <c r="A501" s="37"/>
    </row>
    <row r="502" spans="1:1" x14ac:dyDescent="0.65">
      <c r="A502" s="37"/>
    </row>
    <row r="503" spans="1:1" x14ac:dyDescent="0.65">
      <c r="A503" s="37"/>
    </row>
    <row r="504" spans="1:1" x14ac:dyDescent="0.65">
      <c r="A504" s="37"/>
    </row>
    <row r="505" spans="1:1" x14ac:dyDescent="0.65">
      <c r="A505" s="37"/>
    </row>
    <row r="506" spans="1:1" x14ac:dyDescent="0.65">
      <c r="A506" s="37"/>
    </row>
    <row r="507" spans="1:1" x14ac:dyDescent="0.65">
      <c r="A507" s="37"/>
    </row>
    <row r="508" spans="1:1" x14ac:dyDescent="0.65">
      <c r="A508" s="37"/>
    </row>
    <row r="509" spans="1:1" x14ac:dyDescent="0.65">
      <c r="A509" s="37"/>
    </row>
    <row r="510" spans="1:1" x14ac:dyDescent="0.65">
      <c r="A510" s="37"/>
    </row>
    <row r="511" spans="1:1" x14ac:dyDescent="0.65">
      <c r="A511" s="37"/>
    </row>
    <row r="512" spans="1:1" x14ac:dyDescent="0.65">
      <c r="A512" s="37"/>
    </row>
    <row r="513" spans="1:1" x14ac:dyDescent="0.65">
      <c r="A513" s="37"/>
    </row>
    <row r="514" spans="1:1" x14ac:dyDescent="0.65">
      <c r="A514" s="37"/>
    </row>
    <row r="515" spans="1:1" x14ac:dyDescent="0.65">
      <c r="A515" s="37"/>
    </row>
    <row r="516" spans="1:1" x14ac:dyDescent="0.65">
      <c r="A516" s="37"/>
    </row>
    <row r="517" spans="1:1" x14ac:dyDescent="0.65">
      <c r="A517" s="37"/>
    </row>
    <row r="518" spans="1:1" x14ac:dyDescent="0.65">
      <c r="A518" s="37"/>
    </row>
    <row r="519" spans="1:1" x14ac:dyDescent="0.65">
      <c r="A519" s="37"/>
    </row>
    <row r="520" spans="1:1" x14ac:dyDescent="0.65">
      <c r="A520" s="37"/>
    </row>
    <row r="521" spans="1:1" x14ac:dyDescent="0.65">
      <c r="A521" s="37"/>
    </row>
    <row r="522" spans="1:1" x14ac:dyDescent="0.65">
      <c r="A522" s="37"/>
    </row>
    <row r="523" spans="1:1" x14ac:dyDescent="0.65">
      <c r="A523" s="37"/>
    </row>
    <row r="524" spans="1:1" x14ac:dyDescent="0.65">
      <c r="A524" s="37"/>
    </row>
    <row r="525" spans="1:1" x14ac:dyDescent="0.65">
      <c r="A525" s="37"/>
    </row>
    <row r="526" spans="1:1" x14ac:dyDescent="0.65">
      <c r="A526" s="37"/>
    </row>
    <row r="527" spans="1:1" x14ac:dyDescent="0.65">
      <c r="A527" s="37"/>
    </row>
    <row r="528" spans="1:1" x14ac:dyDescent="0.65">
      <c r="A528" s="37"/>
    </row>
    <row r="529" spans="1:1" x14ac:dyDescent="0.65">
      <c r="A529" s="37"/>
    </row>
    <row r="530" spans="1:1" x14ac:dyDescent="0.65">
      <c r="A530" s="37"/>
    </row>
    <row r="531" spans="1:1" x14ac:dyDescent="0.65">
      <c r="A531" s="37"/>
    </row>
    <row r="532" spans="1:1" x14ac:dyDescent="0.65">
      <c r="A532" s="37"/>
    </row>
    <row r="533" spans="1:1" x14ac:dyDescent="0.65">
      <c r="A533" s="37"/>
    </row>
    <row r="534" spans="1:1" x14ac:dyDescent="0.65">
      <c r="A534" s="37"/>
    </row>
    <row r="535" spans="1:1" x14ac:dyDescent="0.65">
      <c r="A535" s="37"/>
    </row>
    <row r="536" spans="1:1" x14ac:dyDescent="0.65">
      <c r="A536" s="37"/>
    </row>
    <row r="537" spans="1:1" x14ac:dyDescent="0.65">
      <c r="A537" s="37"/>
    </row>
    <row r="538" spans="1:1" x14ac:dyDescent="0.65">
      <c r="A538" s="37"/>
    </row>
    <row r="539" spans="1:1" x14ac:dyDescent="0.65">
      <c r="A539" s="37"/>
    </row>
    <row r="540" spans="1:1" x14ac:dyDescent="0.65">
      <c r="A540" s="37"/>
    </row>
    <row r="541" spans="1:1" x14ac:dyDescent="0.65">
      <c r="A541" s="37"/>
    </row>
    <row r="542" spans="1:1" x14ac:dyDescent="0.65">
      <c r="A542" s="37"/>
    </row>
    <row r="543" spans="1:1" x14ac:dyDescent="0.65">
      <c r="A543" s="37"/>
    </row>
    <row r="544" spans="1:1" x14ac:dyDescent="0.65">
      <c r="A544" s="37"/>
    </row>
    <row r="545" spans="1:1" x14ac:dyDescent="0.65">
      <c r="A545" s="37"/>
    </row>
    <row r="546" spans="1:1" x14ac:dyDescent="0.65">
      <c r="A546" s="37"/>
    </row>
    <row r="547" spans="1:1" x14ac:dyDescent="0.65">
      <c r="A547" s="37"/>
    </row>
    <row r="548" spans="1:1" x14ac:dyDescent="0.65">
      <c r="A548" s="37"/>
    </row>
    <row r="549" spans="1:1" x14ac:dyDescent="0.65">
      <c r="A549" s="37"/>
    </row>
    <row r="550" spans="1:1" x14ac:dyDescent="0.65">
      <c r="A550" s="37"/>
    </row>
    <row r="551" spans="1:1" x14ac:dyDescent="0.65">
      <c r="A551" s="37"/>
    </row>
    <row r="552" spans="1:1" x14ac:dyDescent="0.65">
      <c r="A552" s="37"/>
    </row>
    <row r="553" spans="1:1" x14ac:dyDescent="0.65">
      <c r="A553" s="37"/>
    </row>
    <row r="554" spans="1:1" x14ac:dyDescent="0.65">
      <c r="A554" s="37"/>
    </row>
    <row r="555" spans="1:1" x14ac:dyDescent="0.65">
      <c r="A555" s="37"/>
    </row>
    <row r="556" spans="1:1" x14ac:dyDescent="0.65">
      <c r="A556" s="37"/>
    </row>
    <row r="557" spans="1:1" x14ac:dyDescent="0.65">
      <c r="A557" s="37"/>
    </row>
    <row r="558" spans="1:1" x14ac:dyDescent="0.65">
      <c r="A558" s="37"/>
    </row>
    <row r="559" spans="1:1" x14ac:dyDescent="0.65">
      <c r="A559" s="37"/>
    </row>
    <row r="560" spans="1:1" x14ac:dyDescent="0.65">
      <c r="A560" s="37"/>
    </row>
    <row r="561" spans="1:1" x14ac:dyDescent="0.65">
      <c r="A561" s="37"/>
    </row>
    <row r="562" spans="1:1" x14ac:dyDescent="0.65">
      <c r="A562" s="37"/>
    </row>
    <row r="563" spans="1:1" x14ac:dyDescent="0.65">
      <c r="A563" s="37"/>
    </row>
    <row r="564" spans="1:1" x14ac:dyDescent="0.65">
      <c r="A564" s="37"/>
    </row>
    <row r="565" spans="1:1" x14ac:dyDescent="0.65">
      <c r="A565" s="37"/>
    </row>
    <row r="566" spans="1:1" x14ac:dyDescent="0.65">
      <c r="A566" s="37"/>
    </row>
    <row r="567" spans="1:1" x14ac:dyDescent="0.65">
      <c r="A567" s="37"/>
    </row>
    <row r="568" spans="1:1" x14ac:dyDescent="0.65">
      <c r="A568" s="37"/>
    </row>
    <row r="569" spans="1:1" x14ac:dyDescent="0.65">
      <c r="A569" s="37"/>
    </row>
    <row r="570" spans="1:1" x14ac:dyDescent="0.65">
      <c r="A570" s="37"/>
    </row>
    <row r="571" spans="1:1" x14ac:dyDescent="0.65">
      <c r="A571" s="37"/>
    </row>
    <row r="572" spans="1:1" x14ac:dyDescent="0.65">
      <c r="A572" s="37"/>
    </row>
    <row r="573" spans="1:1" x14ac:dyDescent="0.65">
      <c r="A573" s="37"/>
    </row>
    <row r="574" spans="1:1" x14ac:dyDescent="0.65">
      <c r="A574" s="37"/>
    </row>
    <row r="575" spans="1:1" x14ac:dyDescent="0.65">
      <c r="A575" s="37"/>
    </row>
    <row r="576" spans="1:1" x14ac:dyDescent="0.65">
      <c r="A576" s="37"/>
    </row>
    <row r="577" spans="1:1" x14ac:dyDescent="0.65">
      <c r="A577" s="37"/>
    </row>
    <row r="578" spans="1:1" x14ac:dyDescent="0.65">
      <c r="A578" s="37"/>
    </row>
    <row r="579" spans="1:1" x14ac:dyDescent="0.65">
      <c r="A579" s="37"/>
    </row>
    <row r="580" spans="1:1" x14ac:dyDescent="0.65">
      <c r="A580" s="37"/>
    </row>
    <row r="581" spans="1:1" x14ac:dyDescent="0.65">
      <c r="A581" s="37"/>
    </row>
    <row r="582" spans="1:1" x14ac:dyDescent="0.65">
      <c r="A582" s="37"/>
    </row>
    <row r="583" spans="1:1" x14ac:dyDescent="0.65">
      <c r="A583" s="37"/>
    </row>
    <row r="584" spans="1:1" x14ac:dyDescent="0.65">
      <c r="A584" s="37"/>
    </row>
    <row r="585" spans="1:1" x14ac:dyDescent="0.65">
      <c r="A585" s="37"/>
    </row>
    <row r="586" spans="1:1" x14ac:dyDescent="0.65">
      <c r="A586" s="37"/>
    </row>
    <row r="587" spans="1:1" x14ac:dyDescent="0.65">
      <c r="A587" s="37"/>
    </row>
    <row r="588" spans="1:1" x14ac:dyDescent="0.65">
      <c r="A588" s="37"/>
    </row>
    <row r="589" spans="1:1" x14ac:dyDescent="0.65">
      <c r="A589" s="37"/>
    </row>
    <row r="590" spans="1:1" x14ac:dyDescent="0.65">
      <c r="A590" s="37"/>
    </row>
    <row r="591" spans="1:1" x14ac:dyDescent="0.65">
      <c r="A591" s="37"/>
    </row>
    <row r="592" spans="1:1" x14ac:dyDescent="0.65">
      <c r="A592" s="37"/>
    </row>
    <row r="593" spans="1:1" x14ac:dyDescent="0.65">
      <c r="A593" s="37"/>
    </row>
    <row r="594" spans="1:1" x14ac:dyDescent="0.65">
      <c r="A594" s="37"/>
    </row>
    <row r="595" spans="1:1" x14ac:dyDescent="0.65">
      <c r="A595" s="37"/>
    </row>
    <row r="596" spans="1:1" x14ac:dyDescent="0.65">
      <c r="A596" s="37"/>
    </row>
    <row r="597" spans="1:1" x14ac:dyDescent="0.65">
      <c r="A597" s="37"/>
    </row>
    <row r="598" spans="1:1" x14ac:dyDescent="0.65">
      <c r="A598" s="37"/>
    </row>
    <row r="599" spans="1:1" x14ac:dyDescent="0.65">
      <c r="A599" s="37"/>
    </row>
    <row r="600" spans="1:1" x14ac:dyDescent="0.65">
      <c r="A600" s="37"/>
    </row>
    <row r="601" spans="1:1" x14ac:dyDescent="0.65">
      <c r="A601" s="37"/>
    </row>
    <row r="602" spans="1:1" x14ac:dyDescent="0.65">
      <c r="A602" s="37"/>
    </row>
    <row r="603" spans="1:1" x14ac:dyDescent="0.65">
      <c r="A603" s="37"/>
    </row>
    <row r="604" spans="1:1" x14ac:dyDescent="0.65">
      <c r="A604" s="37"/>
    </row>
    <row r="605" spans="1:1" x14ac:dyDescent="0.65">
      <c r="A605" s="37"/>
    </row>
    <row r="606" spans="1:1" x14ac:dyDescent="0.65">
      <c r="A606" s="37"/>
    </row>
    <row r="607" spans="1:1" x14ac:dyDescent="0.65">
      <c r="A607" s="37"/>
    </row>
    <row r="608" spans="1:1" x14ac:dyDescent="0.65">
      <c r="A608" s="37"/>
    </row>
    <row r="609" spans="1:1" x14ac:dyDescent="0.65">
      <c r="A609" s="37"/>
    </row>
    <row r="610" spans="1:1" x14ac:dyDescent="0.65">
      <c r="A610" s="37"/>
    </row>
    <row r="611" spans="1:1" x14ac:dyDescent="0.65">
      <c r="A611" s="37"/>
    </row>
    <row r="612" spans="1:1" x14ac:dyDescent="0.65">
      <c r="A612" s="37"/>
    </row>
    <row r="613" spans="1:1" x14ac:dyDescent="0.65">
      <c r="A613" s="37"/>
    </row>
    <row r="614" spans="1:1" x14ac:dyDescent="0.65">
      <c r="A614" s="37"/>
    </row>
    <row r="615" spans="1:1" x14ac:dyDescent="0.65">
      <c r="A615" s="37"/>
    </row>
    <row r="616" spans="1:1" x14ac:dyDescent="0.65">
      <c r="A616" s="37"/>
    </row>
    <row r="617" spans="1:1" x14ac:dyDescent="0.65">
      <c r="A617" s="37"/>
    </row>
    <row r="618" spans="1:1" x14ac:dyDescent="0.65">
      <c r="A618" s="37"/>
    </row>
    <row r="619" spans="1:1" x14ac:dyDescent="0.65">
      <c r="A619" s="37"/>
    </row>
    <row r="620" spans="1:1" x14ac:dyDescent="0.65">
      <c r="A620" s="37"/>
    </row>
    <row r="621" spans="1:1" x14ac:dyDescent="0.65">
      <c r="A621" s="37"/>
    </row>
    <row r="622" spans="1:1" x14ac:dyDescent="0.65">
      <c r="A622" s="37"/>
    </row>
    <row r="623" spans="1:1" x14ac:dyDescent="0.65">
      <c r="A623" s="37"/>
    </row>
    <row r="624" spans="1:1" x14ac:dyDescent="0.65">
      <c r="A624" s="37"/>
    </row>
    <row r="625" spans="1:1" x14ac:dyDescent="0.65">
      <c r="A625" s="37"/>
    </row>
    <row r="626" spans="1:1" x14ac:dyDescent="0.65">
      <c r="A626" s="37"/>
    </row>
    <row r="627" spans="1:1" x14ac:dyDescent="0.65">
      <c r="A627" s="37"/>
    </row>
    <row r="628" spans="1:1" x14ac:dyDescent="0.65">
      <c r="A628" s="37"/>
    </row>
    <row r="629" spans="1:1" x14ac:dyDescent="0.65">
      <c r="A629" s="37"/>
    </row>
    <row r="630" spans="1:1" x14ac:dyDescent="0.65">
      <c r="A630" s="37"/>
    </row>
    <row r="631" spans="1:1" x14ac:dyDescent="0.65">
      <c r="A631" s="37"/>
    </row>
    <row r="632" spans="1:1" x14ac:dyDescent="0.65">
      <c r="A632" s="37"/>
    </row>
    <row r="633" spans="1:1" x14ac:dyDescent="0.65">
      <c r="A633" s="37"/>
    </row>
    <row r="634" spans="1:1" x14ac:dyDescent="0.65">
      <c r="A634" s="37"/>
    </row>
    <row r="635" spans="1:1" x14ac:dyDescent="0.65">
      <c r="A635" s="37"/>
    </row>
    <row r="636" spans="1:1" x14ac:dyDescent="0.65">
      <c r="A636" s="37"/>
    </row>
    <row r="637" spans="1:1" x14ac:dyDescent="0.65">
      <c r="A637" s="37"/>
    </row>
    <row r="638" spans="1:1" x14ac:dyDescent="0.65">
      <c r="A638" s="37"/>
    </row>
    <row r="639" spans="1:1" x14ac:dyDescent="0.65">
      <c r="A639" s="37"/>
    </row>
    <row r="640" spans="1:1" x14ac:dyDescent="0.65">
      <c r="A640" s="37"/>
    </row>
    <row r="641" spans="1:1" x14ac:dyDescent="0.65">
      <c r="A641" s="37"/>
    </row>
    <row r="642" spans="1:1" x14ac:dyDescent="0.65">
      <c r="A642" s="37"/>
    </row>
    <row r="643" spans="1:1" x14ac:dyDescent="0.65">
      <c r="A643" s="37"/>
    </row>
    <row r="644" spans="1:1" x14ac:dyDescent="0.65">
      <c r="A644" s="37"/>
    </row>
    <row r="645" spans="1:1" x14ac:dyDescent="0.65">
      <c r="A645" s="37"/>
    </row>
    <row r="646" spans="1:1" x14ac:dyDescent="0.65">
      <c r="A646" s="37"/>
    </row>
    <row r="647" spans="1:1" x14ac:dyDescent="0.65">
      <c r="A647" s="37"/>
    </row>
    <row r="648" spans="1:1" x14ac:dyDescent="0.65">
      <c r="A648" s="37"/>
    </row>
    <row r="649" spans="1:1" x14ac:dyDescent="0.65">
      <c r="A649" s="37"/>
    </row>
    <row r="650" spans="1:1" x14ac:dyDescent="0.65">
      <c r="A650" s="37"/>
    </row>
    <row r="651" spans="1:1" x14ac:dyDescent="0.65">
      <c r="A651" s="37"/>
    </row>
    <row r="652" spans="1:1" x14ac:dyDescent="0.65">
      <c r="A652" s="37"/>
    </row>
    <row r="653" spans="1:1" x14ac:dyDescent="0.65">
      <c r="A653" s="37"/>
    </row>
    <row r="654" spans="1:1" x14ac:dyDescent="0.65">
      <c r="A654" s="37"/>
    </row>
    <row r="655" spans="1:1" x14ac:dyDescent="0.65">
      <c r="A655" s="37"/>
    </row>
    <row r="656" spans="1:1" x14ac:dyDescent="0.65">
      <c r="A656" s="37"/>
    </row>
    <row r="657" spans="1:1" x14ac:dyDescent="0.65">
      <c r="A657" s="37"/>
    </row>
    <row r="658" spans="1:1" x14ac:dyDescent="0.65">
      <c r="A658" s="37"/>
    </row>
    <row r="659" spans="1:1" x14ac:dyDescent="0.65">
      <c r="A659" s="37"/>
    </row>
    <row r="660" spans="1:1" x14ac:dyDescent="0.65">
      <c r="A660" s="37"/>
    </row>
    <row r="661" spans="1:1" x14ac:dyDescent="0.65">
      <c r="A661" s="37"/>
    </row>
    <row r="662" spans="1:1" x14ac:dyDescent="0.65">
      <c r="A662" s="37"/>
    </row>
    <row r="663" spans="1:1" x14ac:dyDescent="0.65">
      <c r="A663" s="37"/>
    </row>
    <row r="664" spans="1:1" x14ac:dyDescent="0.65">
      <c r="A664" s="37"/>
    </row>
    <row r="665" spans="1:1" x14ac:dyDescent="0.65">
      <c r="A665" s="37"/>
    </row>
    <row r="666" spans="1:1" x14ac:dyDescent="0.65">
      <c r="A666" s="37"/>
    </row>
    <row r="667" spans="1:1" x14ac:dyDescent="0.65">
      <c r="A667" s="37"/>
    </row>
    <row r="668" spans="1:1" x14ac:dyDescent="0.65">
      <c r="A668" s="37"/>
    </row>
    <row r="669" spans="1:1" x14ac:dyDescent="0.65">
      <c r="A669" s="37"/>
    </row>
    <row r="670" spans="1:1" x14ac:dyDescent="0.65">
      <c r="A670" s="37"/>
    </row>
    <row r="671" spans="1:1" x14ac:dyDescent="0.65">
      <c r="A671" s="37"/>
    </row>
    <row r="672" spans="1:1" x14ac:dyDescent="0.65">
      <c r="A672" s="37"/>
    </row>
    <row r="673" spans="1:1" x14ac:dyDescent="0.65">
      <c r="A673" s="37"/>
    </row>
    <row r="674" spans="1:1" x14ac:dyDescent="0.65">
      <c r="A674" s="37"/>
    </row>
    <row r="675" spans="1:1" x14ac:dyDescent="0.65">
      <c r="A675" s="37"/>
    </row>
    <row r="676" spans="1:1" x14ac:dyDescent="0.65">
      <c r="A676" s="37"/>
    </row>
    <row r="677" spans="1:1" x14ac:dyDescent="0.65">
      <c r="A677" s="37"/>
    </row>
    <row r="678" spans="1:1" x14ac:dyDescent="0.65">
      <c r="A678" s="37"/>
    </row>
    <row r="679" spans="1:1" x14ac:dyDescent="0.65">
      <c r="A679" s="37"/>
    </row>
    <row r="680" spans="1:1" x14ac:dyDescent="0.65">
      <c r="A680" s="37"/>
    </row>
    <row r="681" spans="1:1" x14ac:dyDescent="0.65">
      <c r="A681" s="37"/>
    </row>
    <row r="682" spans="1:1" x14ac:dyDescent="0.65">
      <c r="A682" s="37"/>
    </row>
    <row r="683" spans="1:1" x14ac:dyDescent="0.65">
      <c r="A683" s="37"/>
    </row>
    <row r="684" spans="1:1" x14ac:dyDescent="0.65">
      <c r="A684" s="37"/>
    </row>
    <row r="685" spans="1:1" x14ac:dyDescent="0.65">
      <c r="A685" s="37"/>
    </row>
    <row r="686" spans="1:1" x14ac:dyDescent="0.65">
      <c r="A686" s="37"/>
    </row>
    <row r="687" spans="1:1" x14ac:dyDescent="0.65">
      <c r="A687" s="37"/>
    </row>
    <row r="688" spans="1:1" x14ac:dyDescent="0.65">
      <c r="A688" s="37"/>
    </row>
    <row r="689" spans="1:1" x14ac:dyDescent="0.65">
      <c r="A689" s="37"/>
    </row>
    <row r="690" spans="1:1" x14ac:dyDescent="0.65">
      <c r="A690" s="37"/>
    </row>
    <row r="691" spans="1:1" x14ac:dyDescent="0.65">
      <c r="A691" s="37"/>
    </row>
    <row r="692" spans="1:1" x14ac:dyDescent="0.65">
      <c r="A692" s="37"/>
    </row>
    <row r="693" spans="1:1" x14ac:dyDescent="0.65">
      <c r="A693" s="37"/>
    </row>
    <row r="694" spans="1:1" x14ac:dyDescent="0.65">
      <c r="A694" s="37"/>
    </row>
    <row r="695" spans="1:1" x14ac:dyDescent="0.65">
      <c r="A695" s="37"/>
    </row>
    <row r="696" spans="1:1" x14ac:dyDescent="0.65">
      <c r="A696" s="37"/>
    </row>
    <row r="697" spans="1:1" x14ac:dyDescent="0.65">
      <c r="A697" s="37"/>
    </row>
    <row r="698" spans="1:1" x14ac:dyDescent="0.65">
      <c r="A698" s="37"/>
    </row>
    <row r="699" spans="1:1" x14ac:dyDescent="0.65">
      <c r="A699" s="37"/>
    </row>
    <row r="700" spans="1:1" x14ac:dyDescent="0.65">
      <c r="A700" s="37"/>
    </row>
    <row r="701" spans="1:1" x14ac:dyDescent="0.65">
      <c r="A701" s="37"/>
    </row>
    <row r="702" spans="1:1" x14ac:dyDescent="0.65">
      <c r="A702" s="37"/>
    </row>
    <row r="703" spans="1:1" x14ac:dyDescent="0.65">
      <c r="A703" s="37"/>
    </row>
    <row r="704" spans="1:1" x14ac:dyDescent="0.65">
      <c r="A704" s="37"/>
    </row>
    <row r="705" spans="1:1" x14ac:dyDescent="0.65">
      <c r="A705" s="37"/>
    </row>
    <row r="706" spans="1:1" x14ac:dyDescent="0.65">
      <c r="A706" s="37"/>
    </row>
    <row r="707" spans="1:1" x14ac:dyDescent="0.65">
      <c r="A707" s="37"/>
    </row>
    <row r="708" spans="1:1" x14ac:dyDescent="0.65">
      <c r="A708" s="37"/>
    </row>
    <row r="709" spans="1:1" x14ac:dyDescent="0.65">
      <c r="A709" s="37"/>
    </row>
    <row r="710" spans="1:1" x14ac:dyDescent="0.65">
      <c r="A710" s="37"/>
    </row>
    <row r="711" spans="1:1" x14ac:dyDescent="0.65">
      <c r="A711" s="37"/>
    </row>
    <row r="712" spans="1:1" x14ac:dyDescent="0.65">
      <c r="A712" s="37"/>
    </row>
    <row r="713" spans="1:1" x14ac:dyDescent="0.65">
      <c r="A713" s="37"/>
    </row>
    <row r="714" spans="1:1" x14ac:dyDescent="0.65">
      <c r="A714" s="37"/>
    </row>
    <row r="715" spans="1:1" x14ac:dyDescent="0.65">
      <c r="A715" s="37"/>
    </row>
    <row r="716" spans="1:1" x14ac:dyDescent="0.65">
      <c r="A716" s="37"/>
    </row>
    <row r="717" spans="1:1" x14ac:dyDescent="0.65">
      <c r="A717" s="37"/>
    </row>
    <row r="718" spans="1:1" x14ac:dyDescent="0.65">
      <c r="A718" s="37"/>
    </row>
    <row r="719" spans="1:1" x14ac:dyDescent="0.65">
      <c r="A719" s="37"/>
    </row>
    <row r="720" spans="1:1" x14ac:dyDescent="0.65">
      <c r="A720" s="37"/>
    </row>
    <row r="721" spans="1:1" x14ac:dyDescent="0.65">
      <c r="A721" s="37"/>
    </row>
    <row r="722" spans="1:1" x14ac:dyDescent="0.65">
      <c r="A722" s="37"/>
    </row>
    <row r="723" spans="1:1" x14ac:dyDescent="0.65">
      <c r="A723" s="37"/>
    </row>
    <row r="724" spans="1:1" x14ac:dyDescent="0.65">
      <c r="A724" s="37"/>
    </row>
    <row r="725" spans="1:1" x14ac:dyDescent="0.65">
      <c r="A725" s="37"/>
    </row>
    <row r="726" spans="1:1" x14ac:dyDescent="0.65">
      <c r="A726" s="37"/>
    </row>
    <row r="727" spans="1:1" x14ac:dyDescent="0.65">
      <c r="A727" s="37"/>
    </row>
    <row r="728" spans="1:1" x14ac:dyDescent="0.65">
      <c r="A728" s="37"/>
    </row>
    <row r="729" spans="1:1" x14ac:dyDescent="0.65">
      <c r="A729" s="37"/>
    </row>
    <row r="730" spans="1:1" x14ac:dyDescent="0.65">
      <c r="A730" s="37"/>
    </row>
    <row r="731" spans="1:1" x14ac:dyDescent="0.65">
      <c r="A731" s="37"/>
    </row>
    <row r="732" spans="1:1" x14ac:dyDescent="0.65">
      <c r="A732" s="37"/>
    </row>
    <row r="733" spans="1:1" x14ac:dyDescent="0.65">
      <c r="A733" s="37"/>
    </row>
    <row r="734" spans="1:1" x14ac:dyDescent="0.65">
      <c r="A734" s="37"/>
    </row>
    <row r="735" spans="1:1" x14ac:dyDescent="0.65">
      <c r="A735" s="37"/>
    </row>
    <row r="736" spans="1:1" x14ac:dyDescent="0.65">
      <c r="A736" s="37"/>
    </row>
    <row r="737" spans="1:1" x14ac:dyDescent="0.65">
      <c r="A737" s="37"/>
    </row>
    <row r="738" spans="1:1" x14ac:dyDescent="0.65">
      <c r="A738" s="37"/>
    </row>
    <row r="739" spans="1:1" x14ac:dyDescent="0.65">
      <c r="A739" s="37"/>
    </row>
    <row r="740" spans="1:1" x14ac:dyDescent="0.65">
      <c r="A740" s="37"/>
    </row>
    <row r="741" spans="1:1" x14ac:dyDescent="0.65">
      <c r="A741" s="37"/>
    </row>
    <row r="742" spans="1:1" x14ac:dyDescent="0.65">
      <c r="A742" s="37"/>
    </row>
    <row r="743" spans="1:1" x14ac:dyDescent="0.65">
      <c r="A743" s="37"/>
    </row>
    <row r="744" spans="1:1" x14ac:dyDescent="0.65">
      <c r="A744" s="37"/>
    </row>
    <row r="745" spans="1:1" x14ac:dyDescent="0.65">
      <c r="A745" s="37"/>
    </row>
    <row r="746" spans="1:1" x14ac:dyDescent="0.65">
      <c r="A746" s="37"/>
    </row>
    <row r="747" spans="1:1" x14ac:dyDescent="0.65">
      <c r="A747" s="37"/>
    </row>
    <row r="748" spans="1:1" x14ac:dyDescent="0.65">
      <c r="A748" s="37"/>
    </row>
    <row r="749" spans="1:1" x14ac:dyDescent="0.65">
      <c r="A749" s="37"/>
    </row>
    <row r="750" spans="1:1" x14ac:dyDescent="0.65">
      <c r="A750" s="37"/>
    </row>
    <row r="751" spans="1:1" x14ac:dyDescent="0.65">
      <c r="A751" s="37"/>
    </row>
    <row r="752" spans="1:1" x14ac:dyDescent="0.65">
      <c r="A752" s="37"/>
    </row>
    <row r="753" spans="1:1" x14ac:dyDescent="0.65">
      <c r="A753" s="37"/>
    </row>
    <row r="754" spans="1:1" x14ac:dyDescent="0.65">
      <c r="A754" s="37"/>
    </row>
    <row r="755" spans="1:1" x14ac:dyDescent="0.65">
      <c r="A755" s="37"/>
    </row>
    <row r="756" spans="1:1" x14ac:dyDescent="0.65">
      <c r="A756" s="37"/>
    </row>
    <row r="757" spans="1:1" x14ac:dyDescent="0.65">
      <c r="A757" s="37"/>
    </row>
    <row r="758" spans="1:1" x14ac:dyDescent="0.65">
      <c r="A758" s="37"/>
    </row>
    <row r="759" spans="1:1" x14ac:dyDescent="0.65">
      <c r="A759" s="37"/>
    </row>
    <row r="760" spans="1:1" x14ac:dyDescent="0.65">
      <c r="A760" s="37"/>
    </row>
    <row r="761" spans="1:1" x14ac:dyDescent="0.65">
      <c r="A761" s="37"/>
    </row>
    <row r="762" spans="1:1" x14ac:dyDescent="0.65">
      <c r="A762" s="37"/>
    </row>
    <row r="763" spans="1:1" x14ac:dyDescent="0.65">
      <c r="A763" s="37"/>
    </row>
    <row r="764" spans="1:1" x14ac:dyDescent="0.65">
      <c r="A764" s="37"/>
    </row>
    <row r="765" spans="1:1" x14ac:dyDescent="0.65">
      <c r="A765" s="37"/>
    </row>
    <row r="766" spans="1:1" x14ac:dyDescent="0.65">
      <c r="A766" s="37"/>
    </row>
    <row r="767" spans="1:1" x14ac:dyDescent="0.65">
      <c r="A767" s="37"/>
    </row>
    <row r="768" spans="1:1" x14ac:dyDescent="0.65">
      <c r="A768" s="37"/>
    </row>
    <row r="769" spans="1:1" x14ac:dyDescent="0.65">
      <c r="A769" s="37"/>
    </row>
    <row r="770" spans="1:1" x14ac:dyDescent="0.65">
      <c r="A770" s="37"/>
    </row>
    <row r="771" spans="1:1" x14ac:dyDescent="0.65">
      <c r="A771" s="37"/>
    </row>
    <row r="772" spans="1:1" x14ac:dyDescent="0.65">
      <c r="A772" s="37"/>
    </row>
    <row r="773" spans="1:1" x14ac:dyDescent="0.65">
      <c r="A773" s="37"/>
    </row>
    <row r="774" spans="1:1" x14ac:dyDescent="0.65">
      <c r="A774" s="37"/>
    </row>
    <row r="775" spans="1:1" x14ac:dyDescent="0.65">
      <c r="A775" s="37"/>
    </row>
    <row r="776" spans="1:1" x14ac:dyDescent="0.65">
      <c r="A776" s="37"/>
    </row>
    <row r="777" spans="1:1" x14ac:dyDescent="0.65">
      <c r="A777" s="37"/>
    </row>
    <row r="778" spans="1:1" x14ac:dyDescent="0.65">
      <c r="A778" s="37"/>
    </row>
    <row r="779" spans="1:1" x14ac:dyDescent="0.65">
      <c r="A779" s="37"/>
    </row>
    <row r="780" spans="1:1" x14ac:dyDescent="0.65">
      <c r="A780" s="37"/>
    </row>
    <row r="781" spans="1:1" x14ac:dyDescent="0.65">
      <c r="A781" s="37"/>
    </row>
    <row r="782" spans="1:1" x14ac:dyDescent="0.65">
      <c r="A782" s="37"/>
    </row>
    <row r="783" spans="1:1" x14ac:dyDescent="0.65">
      <c r="A783" s="37"/>
    </row>
    <row r="784" spans="1:1" x14ac:dyDescent="0.65">
      <c r="A784" s="37"/>
    </row>
    <row r="785" spans="1:1" x14ac:dyDescent="0.65">
      <c r="A785" s="37"/>
    </row>
    <row r="786" spans="1:1" x14ac:dyDescent="0.65">
      <c r="A786" s="37"/>
    </row>
    <row r="787" spans="1:1" x14ac:dyDescent="0.65">
      <c r="A787" s="37"/>
    </row>
    <row r="788" spans="1:1" x14ac:dyDescent="0.65">
      <c r="A788" s="37"/>
    </row>
    <row r="789" spans="1:1" x14ac:dyDescent="0.65">
      <c r="A789" s="37"/>
    </row>
    <row r="790" spans="1:1" x14ac:dyDescent="0.65">
      <c r="A790" s="37"/>
    </row>
    <row r="791" spans="1:1" x14ac:dyDescent="0.65">
      <c r="A791" s="37"/>
    </row>
    <row r="792" spans="1:1" x14ac:dyDescent="0.65">
      <c r="A792" s="37"/>
    </row>
    <row r="793" spans="1:1" x14ac:dyDescent="0.65">
      <c r="A793" s="37"/>
    </row>
    <row r="794" spans="1:1" x14ac:dyDescent="0.65">
      <c r="A794" s="37"/>
    </row>
    <row r="795" spans="1:1" x14ac:dyDescent="0.65">
      <c r="A795" s="37"/>
    </row>
    <row r="796" spans="1:1" x14ac:dyDescent="0.65">
      <c r="A796" s="37"/>
    </row>
    <row r="797" spans="1:1" x14ac:dyDescent="0.65">
      <c r="A797" s="37"/>
    </row>
    <row r="798" spans="1:1" x14ac:dyDescent="0.65">
      <c r="A798" s="37"/>
    </row>
    <row r="799" spans="1:1" x14ac:dyDescent="0.65">
      <c r="A799" s="37"/>
    </row>
    <row r="800" spans="1:1" x14ac:dyDescent="0.65">
      <c r="A800" s="37"/>
    </row>
    <row r="801" spans="1:1" x14ac:dyDescent="0.65">
      <c r="A801" s="37"/>
    </row>
    <row r="802" spans="1:1" x14ac:dyDescent="0.65">
      <c r="A802" s="37"/>
    </row>
    <row r="803" spans="1:1" x14ac:dyDescent="0.65">
      <c r="A803" s="37"/>
    </row>
    <row r="804" spans="1:1" x14ac:dyDescent="0.65">
      <c r="A804" s="37"/>
    </row>
    <row r="805" spans="1:1" x14ac:dyDescent="0.65">
      <c r="A805" s="37"/>
    </row>
    <row r="806" spans="1:1" x14ac:dyDescent="0.65">
      <c r="A806" s="37"/>
    </row>
    <row r="807" spans="1:1" x14ac:dyDescent="0.65">
      <c r="A807" s="37"/>
    </row>
    <row r="808" spans="1:1" x14ac:dyDescent="0.65">
      <c r="A808" s="37"/>
    </row>
    <row r="809" spans="1:1" x14ac:dyDescent="0.65">
      <c r="A809" s="37"/>
    </row>
    <row r="810" spans="1:1" x14ac:dyDescent="0.65">
      <c r="A810" s="37"/>
    </row>
    <row r="811" spans="1:1" x14ac:dyDescent="0.65">
      <c r="A811" s="37"/>
    </row>
    <row r="812" spans="1:1" x14ac:dyDescent="0.65">
      <c r="A812" s="37"/>
    </row>
    <row r="813" spans="1:1" x14ac:dyDescent="0.65">
      <c r="A813" s="37"/>
    </row>
    <row r="814" spans="1:1" x14ac:dyDescent="0.65">
      <c r="A814" s="37"/>
    </row>
    <row r="815" spans="1:1" x14ac:dyDescent="0.65">
      <c r="A815" s="37"/>
    </row>
    <row r="816" spans="1:1" x14ac:dyDescent="0.65">
      <c r="A816" s="37"/>
    </row>
    <row r="817" spans="1:1" x14ac:dyDescent="0.65">
      <c r="A817" s="37"/>
    </row>
    <row r="818" spans="1:1" x14ac:dyDescent="0.65">
      <c r="A818" s="37"/>
    </row>
    <row r="819" spans="1:1" x14ac:dyDescent="0.65">
      <c r="A819" s="37"/>
    </row>
    <row r="820" spans="1:1" x14ac:dyDescent="0.65">
      <c r="A820" s="37"/>
    </row>
    <row r="821" spans="1:1" x14ac:dyDescent="0.65">
      <c r="A821" s="37"/>
    </row>
    <row r="822" spans="1:1" x14ac:dyDescent="0.65">
      <c r="A822" s="37"/>
    </row>
    <row r="823" spans="1:1" x14ac:dyDescent="0.65">
      <c r="A823" s="37"/>
    </row>
    <row r="824" spans="1:1" x14ac:dyDescent="0.65">
      <c r="A824" s="37"/>
    </row>
    <row r="825" spans="1:1" x14ac:dyDescent="0.65">
      <c r="A825" s="37"/>
    </row>
    <row r="826" spans="1:1" x14ac:dyDescent="0.65">
      <c r="A826" s="37"/>
    </row>
    <row r="827" spans="1:1" x14ac:dyDescent="0.65">
      <c r="A827" s="37"/>
    </row>
    <row r="828" spans="1:1" x14ac:dyDescent="0.65">
      <c r="A828" s="37"/>
    </row>
    <row r="829" spans="1:1" x14ac:dyDescent="0.65">
      <c r="A829" s="37"/>
    </row>
    <row r="830" spans="1:1" x14ac:dyDescent="0.65">
      <c r="A830" s="37"/>
    </row>
    <row r="831" spans="1:1" x14ac:dyDescent="0.65">
      <c r="A831" s="37"/>
    </row>
    <row r="832" spans="1:1" x14ac:dyDescent="0.65">
      <c r="A832" s="37"/>
    </row>
    <row r="833" spans="1:1" x14ac:dyDescent="0.65">
      <c r="A833" s="37"/>
    </row>
    <row r="834" spans="1:1" x14ac:dyDescent="0.65">
      <c r="A834" s="37"/>
    </row>
    <row r="835" spans="1:1" x14ac:dyDescent="0.65">
      <c r="A835" s="37"/>
    </row>
    <row r="836" spans="1:1" x14ac:dyDescent="0.65">
      <c r="A836" s="37"/>
    </row>
    <row r="837" spans="1:1" x14ac:dyDescent="0.65">
      <c r="A837" s="37"/>
    </row>
    <row r="838" spans="1:1" x14ac:dyDescent="0.65">
      <c r="A838" s="37"/>
    </row>
    <row r="839" spans="1:1" x14ac:dyDescent="0.65">
      <c r="A839" s="37"/>
    </row>
    <row r="840" spans="1:1" x14ac:dyDescent="0.65">
      <c r="A840" s="37"/>
    </row>
    <row r="841" spans="1:1" x14ac:dyDescent="0.65">
      <c r="A841" s="37"/>
    </row>
    <row r="842" spans="1:1" x14ac:dyDescent="0.65">
      <c r="A842" s="37"/>
    </row>
    <row r="843" spans="1:1" x14ac:dyDescent="0.65">
      <c r="A843" s="37"/>
    </row>
    <row r="844" spans="1:1" x14ac:dyDescent="0.65">
      <c r="A844" s="37"/>
    </row>
    <row r="845" spans="1:1" x14ac:dyDescent="0.65">
      <c r="A845" s="37"/>
    </row>
    <row r="846" spans="1:1" x14ac:dyDescent="0.65">
      <c r="A846" s="37"/>
    </row>
    <row r="847" spans="1:1" x14ac:dyDescent="0.65">
      <c r="A847" s="37"/>
    </row>
    <row r="848" spans="1:1" x14ac:dyDescent="0.65">
      <c r="A848" s="37"/>
    </row>
    <row r="849" spans="1:1" x14ac:dyDescent="0.65">
      <c r="A849" s="37"/>
    </row>
    <row r="850" spans="1:1" x14ac:dyDescent="0.65">
      <c r="A850" s="37"/>
    </row>
    <row r="851" spans="1:1" x14ac:dyDescent="0.65">
      <c r="A851" s="37"/>
    </row>
    <row r="852" spans="1:1" x14ac:dyDescent="0.65">
      <c r="A852" s="37"/>
    </row>
    <row r="853" spans="1:1" x14ac:dyDescent="0.65">
      <c r="A853" s="37"/>
    </row>
    <row r="854" spans="1:1" x14ac:dyDescent="0.65">
      <c r="A854" s="37"/>
    </row>
    <row r="855" spans="1:1" x14ac:dyDescent="0.65">
      <c r="A855" s="37"/>
    </row>
    <row r="856" spans="1:1" x14ac:dyDescent="0.65">
      <c r="A856" s="37"/>
    </row>
    <row r="857" spans="1:1" x14ac:dyDescent="0.65">
      <c r="A857" s="37"/>
    </row>
    <row r="858" spans="1:1" x14ac:dyDescent="0.65">
      <c r="A858" s="37"/>
    </row>
    <row r="859" spans="1:1" x14ac:dyDescent="0.65">
      <c r="A859" s="37"/>
    </row>
    <row r="860" spans="1:1" x14ac:dyDescent="0.65">
      <c r="A860" s="37"/>
    </row>
    <row r="861" spans="1:1" x14ac:dyDescent="0.65">
      <c r="A861" s="37"/>
    </row>
    <row r="862" spans="1:1" x14ac:dyDescent="0.65">
      <c r="A862" s="37"/>
    </row>
    <row r="863" spans="1:1" x14ac:dyDescent="0.65">
      <c r="A863" s="37"/>
    </row>
    <row r="864" spans="1:1" x14ac:dyDescent="0.65">
      <c r="A864" s="37"/>
    </row>
    <row r="865" spans="1:1" x14ac:dyDescent="0.65">
      <c r="A865" s="37"/>
    </row>
    <row r="866" spans="1:1" x14ac:dyDescent="0.65">
      <c r="A866" s="37"/>
    </row>
    <row r="867" spans="1:1" x14ac:dyDescent="0.65">
      <c r="A867" s="37"/>
    </row>
    <row r="868" spans="1:1" x14ac:dyDescent="0.65">
      <c r="A868" s="37"/>
    </row>
    <row r="869" spans="1:1" x14ac:dyDescent="0.65">
      <c r="A869" s="37"/>
    </row>
    <row r="870" spans="1:1" x14ac:dyDescent="0.65">
      <c r="A870" s="37"/>
    </row>
    <row r="871" spans="1:1" x14ac:dyDescent="0.65">
      <c r="A871" s="37"/>
    </row>
    <row r="872" spans="1:1" x14ac:dyDescent="0.65">
      <c r="A872" s="37"/>
    </row>
    <row r="873" spans="1:1" x14ac:dyDescent="0.65">
      <c r="A873" s="37"/>
    </row>
    <row r="874" spans="1:1" x14ac:dyDescent="0.65">
      <c r="A874" s="37"/>
    </row>
    <row r="875" spans="1:1" x14ac:dyDescent="0.65">
      <c r="A875" s="37"/>
    </row>
    <row r="876" spans="1:1" x14ac:dyDescent="0.65">
      <c r="A876" s="37"/>
    </row>
    <row r="877" spans="1:1" x14ac:dyDescent="0.65">
      <c r="A877" s="37"/>
    </row>
    <row r="878" spans="1:1" x14ac:dyDescent="0.65">
      <c r="A878" s="37"/>
    </row>
    <row r="879" spans="1:1" x14ac:dyDescent="0.65">
      <c r="A879" s="37"/>
    </row>
    <row r="880" spans="1:1" x14ac:dyDescent="0.65">
      <c r="A880" s="37"/>
    </row>
    <row r="881" spans="1:1" x14ac:dyDescent="0.65">
      <c r="A881" s="37"/>
    </row>
    <row r="882" spans="1:1" x14ac:dyDescent="0.65">
      <c r="A882" s="37"/>
    </row>
    <row r="883" spans="1:1" x14ac:dyDescent="0.65">
      <c r="A883" s="37"/>
    </row>
    <row r="884" spans="1:1" x14ac:dyDescent="0.65">
      <c r="A884" s="37"/>
    </row>
    <row r="885" spans="1:1" x14ac:dyDescent="0.65">
      <c r="A885" s="37"/>
    </row>
    <row r="886" spans="1:1" x14ac:dyDescent="0.65">
      <c r="A886" s="37"/>
    </row>
    <row r="887" spans="1:1" x14ac:dyDescent="0.65">
      <c r="A887" s="37"/>
    </row>
    <row r="888" spans="1:1" x14ac:dyDescent="0.65">
      <c r="A888" s="37"/>
    </row>
    <row r="889" spans="1:1" x14ac:dyDescent="0.65">
      <c r="A889" s="37"/>
    </row>
    <row r="890" spans="1:1" x14ac:dyDescent="0.65">
      <c r="A890" s="37"/>
    </row>
    <row r="891" spans="1:1" x14ac:dyDescent="0.65">
      <c r="A891" s="37"/>
    </row>
    <row r="892" spans="1:1" x14ac:dyDescent="0.65">
      <c r="A892" s="37"/>
    </row>
    <row r="893" spans="1:1" x14ac:dyDescent="0.65">
      <c r="A893" s="37"/>
    </row>
    <row r="894" spans="1:1" x14ac:dyDescent="0.65">
      <c r="A894" s="37"/>
    </row>
    <row r="895" spans="1:1" x14ac:dyDescent="0.65">
      <c r="A895" s="37"/>
    </row>
    <row r="896" spans="1:1" x14ac:dyDescent="0.65">
      <c r="A896" s="37"/>
    </row>
    <row r="897" spans="1:1" x14ac:dyDescent="0.65">
      <c r="A897" s="37"/>
    </row>
    <row r="898" spans="1:1" x14ac:dyDescent="0.65">
      <c r="A898" s="37"/>
    </row>
    <row r="899" spans="1:1" x14ac:dyDescent="0.65">
      <c r="A899" s="37"/>
    </row>
    <row r="900" spans="1:1" x14ac:dyDescent="0.65">
      <c r="A900" s="37"/>
    </row>
    <row r="901" spans="1:1" x14ac:dyDescent="0.65">
      <c r="A901" s="37"/>
    </row>
    <row r="902" spans="1:1" x14ac:dyDescent="0.65">
      <c r="A902" s="37"/>
    </row>
    <row r="903" spans="1:1" x14ac:dyDescent="0.65">
      <c r="A903" s="37"/>
    </row>
    <row r="904" spans="1:1" x14ac:dyDescent="0.65">
      <c r="A904" s="37"/>
    </row>
    <row r="905" spans="1:1" x14ac:dyDescent="0.65">
      <c r="A905" s="37"/>
    </row>
    <row r="906" spans="1:1" x14ac:dyDescent="0.65">
      <c r="A906" s="37"/>
    </row>
    <row r="907" spans="1:1" x14ac:dyDescent="0.65">
      <c r="A907" s="37"/>
    </row>
    <row r="908" spans="1:1" x14ac:dyDescent="0.65">
      <c r="A908" s="37"/>
    </row>
    <row r="909" spans="1:1" x14ac:dyDescent="0.65">
      <c r="A909" s="37"/>
    </row>
    <row r="910" spans="1:1" x14ac:dyDescent="0.65">
      <c r="A910" s="37"/>
    </row>
    <row r="911" spans="1:1" x14ac:dyDescent="0.65">
      <c r="A911" s="37"/>
    </row>
    <row r="912" spans="1:1" x14ac:dyDescent="0.65">
      <c r="A912" s="37"/>
    </row>
    <row r="913" spans="1:1" x14ac:dyDescent="0.65">
      <c r="A913" s="37"/>
    </row>
    <row r="914" spans="1:1" x14ac:dyDescent="0.65">
      <c r="A914" s="37"/>
    </row>
    <row r="915" spans="1:1" x14ac:dyDescent="0.65">
      <c r="A915" s="37"/>
    </row>
    <row r="916" spans="1:1" x14ac:dyDescent="0.65">
      <c r="A916" s="37"/>
    </row>
    <row r="917" spans="1:1" x14ac:dyDescent="0.65">
      <c r="A917" s="37"/>
    </row>
    <row r="918" spans="1:1" x14ac:dyDescent="0.65">
      <c r="A918" s="37"/>
    </row>
    <row r="919" spans="1:1" x14ac:dyDescent="0.65">
      <c r="A919" s="37"/>
    </row>
    <row r="920" spans="1:1" x14ac:dyDescent="0.65">
      <c r="A920" s="37"/>
    </row>
    <row r="921" spans="1:1" x14ac:dyDescent="0.65">
      <c r="A921" s="37"/>
    </row>
    <row r="922" spans="1:1" x14ac:dyDescent="0.65">
      <c r="A922" s="37"/>
    </row>
    <row r="923" spans="1:1" x14ac:dyDescent="0.65">
      <c r="A923" s="37"/>
    </row>
    <row r="924" spans="1:1" x14ac:dyDescent="0.65">
      <c r="A924" s="37"/>
    </row>
    <row r="925" spans="1:1" x14ac:dyDescent="0.65">
      <c r="A925" s="37"/>
    </row>
    <row r="926" spans="1:1" x14ac:dyDescent="0.65">
      <c r="A926" s="37"/>
    </row>
    <row r="927" spans="1:1" x14ac:dyDescent="0.65">
      <c r="A927" s="37"/>
    </row>
    <row r="928" spans="1:1" x14ac:dyDescent="0.65">
      <c r="A928" s="37"/>
    </row>
    <row r="929" spans="1:1" x14ac:dyDescent="0.65">
      <c r="A929" s="37"/>
    </row>
    <row r="930" spans="1:1" x14ac:dyDescent="0.65">
      <c r="A930" s="37"/>
    </row>
    <row r="931" spans="1:1" x14ac:dyDescent="0.65">
      <c r="A931" s="37"/>
    </row>
    <row r="932" spans="1:1" x14ac:dyDescent="0.65">
      <c r="A932" s="37"/>
    </row>
    <row r="933" spans="1:1" x14ac:dyDescent="0.65">
      <c r="A933" s="37"/>
    </row>
    <row r="934" spans="1:1" x14ac:dyDescent="0.65">
      <c r="A934" s="37"/>
    </row>
    <row r="935" spans="1:1" x14ac:dyDescent="0.65">
      <c r="A935" s="37"/>
    </row>
    <row r="936" spans="1:1" x14ac:dyDescent="0.65">
      <c r="A936" s="37"/>
    </row>
    <row r="937" spans="1:1" x14ac:dyDescent="0.65">
      <c r="A937" s="37"/>
    </row>
    <row r="938" spans="1:1" x14ac:dyDescent="0.65">
      <c r="A938" s="37"/>
    </row>
    <row r="939" spans="1:1" x14ac:dyDescent="0.65">
      <c r="A939" s="37"/>
    </row>
    <row r="940" spans="1:1" x14ac:dyDescent="0.65">
      <c r="A940" s="37"/>
    </row>
    <row r="941" spans="1:1" x14ac:dyDescent="0.65">
      <c r="A941" s="37"/>
    </row>
    <row r="942" spans="1:1" x14ac:dyDescent="0.65">
      <c r="A942" s="37"/>
    </row>
    <row r="943" spans="1:1" x14ac:dyDescent="0.65">
      <c r="A943" s="37"/>
    </row>
    <row r="944" spans="1:1" x14ac:dyDescent="0.65">
      <c r="A944" s="37"/>
    </row>
    <row r="945" spans="1:1" x14ac:dyDescent="0.65">
      <c r="A945" s="37"/>
    </row>
    <row r="946" spans="1:1" x14ac:dyDescent="0.65">
      <c r="A946" s="37"/>
    </row>
    <row r="947" spans="1:1" x14ac:dyDescent="0.65">
      <c r="A947" s="37"/>
    </row>
    <row r="948" spans="1:1" x14ac:dyDescent="0.65">
      <c r="A948" s="37"/>
    </row>
    <row r="949" spans="1:1" x14ac:dyDescent="0.65">
      <c r="A949" s="37"/>
    </row>
    <row r="950" spans="1:1" x14ac:dyDescent="0.65">
      <c r="A950" s="37"/>
    </row>
    <row r="951" spans="1:1" x14ac:dyDescent="0.65">
      <c r="A951" s="37"/>
    </row>
    <row r="952" spans="1:1" x14ac:dyDescent="0.65">
      <c r="A952" s="37"/>
    </row>
    <row r="953" spans="1:1" x14ac:dyDescent="0.65">
      <c r="A953" s="37"/>
    </row>
    <row r="954" spans="1:1" x14ac:dyDescent="0.65">
      <c r="A954" s="37"/>
    </row>
    <row r="955" spans="1:1" x14ac:dyDescent="0.65">
      <c r="A955" s="37"/>
    </row>
    <row r="956" spans="1:1" x14ac:dyDescent="0.65">
      <c r="A956" s="37"/>
    </row>
    <row r="957" spans="1:1" x14ac:dyDescent="0.65">
      <c r="A957" s="37"/>
    </row>
    <row r="958" spans="1:1" x14ac:dyDescent="0.65">
      <c r="A958" s="37"/>
    </row>
    <row r="959" spans="1:1" x14ac:dyDescent="0.65">
      <c r="A959" s="37"/>
    </row>
    <row r="960" spans="1:1" x14ac:dyDescent="0.65">
      <c r="A960" s="37"/>
    </row>
    <row r="961" spans="1:1" x14ac:dyDescent="0.65">
      <c r="A961" s="37"/>
    </row>
    <row r="962" spans="1:1" x14ac:dyDescent="0.65">
      <c r="A962" s="37"/>
    </row>
    <row r="963" spans="1:1" x14ac:dyDescent="0.65">
      <c r="A963" s="37"/>
    </row>
    <row r="964" spans="1:1" x14ac:dyDescent="0.65">
      <c r="A964" s="37"/>
    </row>
    <row r="965" spans="1:1" x14ac:dyDescent="0.65">
      <c r="A965" s="37"/>
    </row>
    <row r="966" spans="1:1" x14ac:dyDescent="0.65">
      <c r="A966" s="37"/>
    </row>
    <row r="967" spans="1:1" x14ac:dyDescent="0.65">
      <c r="A967" s="37"/>
    </row>
    <row r="968" spans="1:1" x14ac:dyDescent="0.65">
      <c r="A968" s="37"/>
    </row>
    <row r="969" spans="1:1" x14ac:dyDescent="0.65">
      <c r="A969" s="37"/>
    </row>
    <row r="970" spans="1:1" x14ac:dyDescent="0.65">
      <c r="A970" s="37"/>
    </row>
    <row r="971" spans="1:1" x14ac:dyDescent="0.65">
      <c r="A971" s="37"/>
    </row>
    <row r="972" spans="1:1" x14ac:dyDescent="0.65">
      <c r="A972" s="37"/>
    </row>
    <row r="973" spans="1:1" x14ac:dyDescent="0.65">
      <c r="A973" s="37"/>
    </row>
    <row r="974" spans="1:1" x14ac:dyDescent="0.65">
      <c r="A974" s="37"/>
    </row>
    <row r="975" spans="1:1" x14ac:dyDescent="0.65">
      <c r="A975" s="37"/>
    </row>
    <row r="976" spans="1:1" x14ac:dyDescent="0.65">
      <c r="A976" s="37"/>
    </row>
    <row r="977" spans="1:1" x14ac:dyDescent="0.65">
      <c r="A977" s="37"/>
    </row>
    <row r="978" spans="1:1" x14ac:dyDescent="0.65">
      <c r="A978" s="37"/>
    </row>
    <row r="979" spans="1:1" x14ac:dyDescent="0.65">
      <c r="A979" s="37"/>
    </row>
    <row r="980" spans="1:1" x14ac:dyDescent="0.65">
      <c r="A980" s="37"/>
    </row>
    <row r="981" spans="1:1" x14ac:dyDescent="0.65">
      <c r="A981" s="37"/>
    </row>
    <row r="982" spans="1:1" x14ac:dyDescent="0.65">
      <c r="A982" s="37"/>
    </row>
    <row r="983" spans="1:1" x14ac:dyDescent="0.65">
      <c r="A983" s="37"/>
    </row>
    <row r="984" spans="1:1" x14ac:dyDescent="0.65">
      <c r="A984" s="37"/>
    </row>
    <row r="985" spans="1:1" x14ac:dyDescent="0.65">
      <c r="A985" s="37"/>
    </row>
    <row r="986" spans="1:1" x14ac:dyDescent="0.65">
      <c r="A986" s="37"/>
    </row>
    <row r="987" spans="1:1" x14ac:dyDescent="0.65">
      <c r="A987" s="37"/>
    </row>
    <row r="988" spans="1:1" x14ac:dyDescent="0.65">
      <c r="A988" s="37"/>
    </row>
    <row r="989" spans="1:1" x14ac:dyDescent="0.65">
      <c r="A989" s="37"/>
    </row>
    <row r="990" spans="1:1" x14ac:dyDescent="0.65">
      <c r="A990" s="37"/>
    </row>
    <row r="991" spans="1:1" x14ac:dyDescent="0.65">
      <c r="A991" s="37"/>
    </row>
    <row r="992" spans="1:1" x14ac:dyDescent="0.65">
      <c r="A992" s="37"/>
    </row>
    <row r="993" spans="1:1" x14ac:dyDescent="0.65">
      <c r="A993" s="37"/>
    </row>
    <row r="994" spans="1:1" x14ac:dyDescent="0.65">
      <c r="A994" s="37"/>
    </row>
    <row r="995" spans="1:1" x14ac:dyDescent="0.65">
      <c r="A995" s="37"/>
    </row>
    <row r="996" spans="1:1" x14ac:dyDescent="0.65">
      <c r="A996" s="37"/>
    </row>
    <row r="997" spans="1:1" x14ac:dyDescent="0.65">
      <c r="A997" s="37"/>
    </row>
    <row r="998" spans="1:1" x14ac:dyDescent="0.65">
      <c r="A998" s="37"/>
    </row>
    <row r="999" spans="1:1" x14ac:dyDescent="0.65">
      <c r="A999" s="37"/>
    </row>
    <row r="1000" spans="1:1" x14ac:dyDescent="0.65">
      <c r="A1000" s="37"/>
    </row>
    <row r="1001" spans="1:1" x14ac:dyDescent="0.65">
      <c r="A1001" s="37"/>
    </row>
    <row r="1002" spans="1:1" x14ac:dyDescent="0.65">
      <c r="A1002" s="37"/>
    </row>
    <row r="1003" spans="1:1" x14ac:dyDescent="0.65">
      <c r="A1003" s="37"/>
    </row>
    <row r="1004" spans="1:1" x14ac:dyDescent="0.65">
      <c r="A1004" s="37"/>
    </row>
    <row r="1005" spans="1:1" x14ac:dyDescent="0.65">
      <c r="A1005" s="37"/>
    </row>
    <row r="1006" spans="1:1" x14ac:dyDescent="0.65">
      <c r="A1006" s="37"/>
    </row>
    <row r="1007" spans="1:1" x14ac:dyDescent="0.65">
      <c r="A1007" s="37"/>
    </row>
    <row r="1008" spans="1:1" x14ac:dyDescent="0.65">
      <c r="A1008" s="37"/>
    </row>
    <row r="1009" spans="1:1" x14ac:dyDescent="0.65">
      <c r="A1009" s="37"/>
    </row>
    <row r="1010" spans="1:1" x14ac:dyDescent="0.65">
      <c r="A1010" s="37"/>
    </row>
    <row r="1011" spans="1:1" x14ac:dyDescent="0.65">
      <c r="A1011" s="37"/>
    </row>
    <row r="1012" spans="1:1" x14ac:dyDescent="0.65">
      <c r="A1012" s="37"/>
    </row>
    <row r="1013" spans="1:1" x14ac:dyDescent="0.65">
      <c r="A1013" s="37"/>
    </row>
    <row r="1014" spans="1:1" x14ac:dyDescent="0.65">
      <c r="A1014" s="37"/>
    </row>
    <row r="1015" spans="1:1" x14ac:dyDescent="0.65">
      <c r="A1015" s="37"/>
    </row>
    <row r="1016" spans="1:1" x14ac:dyDescent="0.65">
      <c r="A1016" s="37"/>
    </row>
    <row r="1017" spans="1:1" x14ac:dyDescent="0.65">
      <c r="A1017" s="37"/>
    </row>
    <row r="1018" spans="1:1" x14ac:dyDescent="0.65">
      <c r="A1018" s="37"/>
    </row>
    <row r="1019" spans="1:1" x14ac:dyDescent="0.65">
      <c r="A1019" s="37"/>
    </row>
    <row r="1020" spans="1:1" x14ac:dyDescent="0.65">
      <c r="A1020" s="37"/>
    </row>
    <row r="1021" spans="1:1" x14ac:dyDescent="0.65">
      <c r="A1021" s="37"/>
    </row>
    <row r="1022" spans="1:1" x14ac:dyDescent="0.65">
      <c r="A1022" s="37"/>
    </row>
    <row r="1023" spans="1:1" x14ac:dyDescent="0.65">
      <c r="A1023" s="37"/>
    </row>
    <row r="1024" spans="1:1" x14ac:dyDescent="0.65">
      <c r="A1024" s="37"/>
    </row>
    <row r="1025" spans="1:1" x14ac:dyDescent="0.65">
      <c r="A1025" s="37"/>
    </row>
    <row r="1026" spans="1:1" x14ac:dyDescent="0.65">
      <c r="A1026" s="37"/>
    </row>
    <row r="1027" spans="1:1" x14ac:dyDescent="0.65">
      <c r="A1027" s="37"/>
    </row>
    <row r="1028" spans="1:1" x14ac:dyDescent="0.65">
      <c r="A1028" s="37"/>
    </row>
    <row r="1029" spans="1:1" x14ac:dyDescent="0.65">
      <c r="A1029" s="37"/>
    </row>
    <row r="1030" spans="1:1" x14ac:dyDescent="0.65">
      <c r="A1030" s="37"/>
    </row>
    <row r="1031" spans="1:1" x14ac:dyDescent="0.65">
      <c r="A1031" s="37"/>
    </row>
    <row r="1032" spans="1:1" x14ac:dyDescent="0.65">
      <c r="A1032" s="37"/>
    </row>
    <row r="1033" spans="1:1" x14ac:dyDescent="0.65">
      <c r="A1033" s="37"/>
    </row>
    <row r="1034" spans="1:1" x14ac:dyDescent="0.65">
      <c r="A1034" s="37"/>
    </row>
    <row r="1035" spans="1:1" x14ac:dyDescent="0.65">
      <c r="A1035" s="37"/>
    </row>
    <row r="1036" spans="1:1" x14ac:dyDescent="0.65">
      <c r="A1036" s="37"/>
    </row>
    <row r="1037" spans="1:1" x14ac:dyDescent="0.65">
      <c r="A1037" s="37"/>
    </row>
    <row r="1038" spans="1:1" x14ac:dyDescent="0.65">
      <c r="A1038" s="37"/>
    </row>
    <row r="1039" spans="1:1" x14ac:dyDescent="0.65">
      <c r="A1039" s="37"/>
    </row>
    <row r="1040" spans="1:1" x14ac:dyDescent="0.65">
      <c r="A1040" s="37"/>
    </row>
    <row r="1041" spans="1:1" x14ac:dyDescent="0.65">
      <c r="A1041" s="37"/>
    </row>
    <row r="1042" spans="1:1" x14ac:dyDescent="0.65">
      <c r="A1042" s="37"/>
    </row>
    <row r="1043" spans="1:1" x14ac:dyDescent="0.65">
      <c r="A1043" s="37"/>
    </row>
    <row r="1044" spans="1:1" x14ac:dyDescent="0.65">
      <c r="A1044" s="37"/>
    </row>
    <row r="1045" spans="1:1" x14ac:dyDescent="0.65">
      <c r="A1045" s="37"/>
    </row>
    <row r="1046" spans="1:1" x14ac:dyDescent="0.65">
      <c r="A1046" s="37"/>
    </row>
    <row r="1047" spans="1:1" x14ac:dyDescent="0.65">
      <c r="A1047" s="37"/>
    </row>
    <row r="1048" spans="1:1" x14ac:dyDescent="0.65">
      <c r="A1048" s="37"/>
    </row>
    <row r="1049" spans="1:1" x14ac:dyDescent="0.65">
      <c r="A1049" s="37"/>
    </row>
    <row r="1050" spans="1:1" x14ac:dyDescent="0.65">
      <c r="A1050" s="37"/>
    </row>
    <row r="1051" spans="1:1" x14ac:dyDescent="0.65">
      <c r="A1051" s="37"/>
    </row>
    <row r="1052" spans="1:1" x14ac:dyDescent="0.65">
      <c r="A1052" s="37"/>
    </row>
    <row r="1053" spans="1:1" x14ac:dyDescent="0.65">
      <c r="A1053" s="37"/>
    </row>
    <row r="1054" spans="1:1" x14ac:dyDescent="0.65">
      <c r="A1054" s="37"/>
    </row>
    <row r="1055" spans="1:1" x14ac:dyDescent="0.65">
      <c r="A1055" s="37"/>
    </row>
    <row r="1056" spans="1:1" x14ac:dyDescent="0.65">
      <c r="A1056" s="37"/>
    </row>
    <row r="1057" spans="1:1" x14ac:dyDescent="0.65">
      <c r="A1057" s="37"/>
    </row>
    <row r="1058" spans="1:1" x14ac:dyDescent="0.65">
      <c r="A1058" s="37"/>
    </row>
    <row r="1059" spans="1:1" x14ac:dyDescent="0.65">
      <c r="A1059" s="37"/>
    </row>
    <row r="1060" spans="1:1" x14ac:dyDescent="0.65">
      <c r="A1060" s="37"/>
    </row>
    <row r="1061" spans="1:1" x14ac:dyDescent="0.65">
      <c r="A1061" s="37"/>
    </row>
    <row r="1062" spans="1:1" x14ac:dyDescent="0.65">
      <c r="A1062" s="37"/>
    </row>
    <row r="1063" spans="1:1" x14ac:dyDescent="0.65">
      <c r="A1063" s="37"/>
    </row>
    <row r="1064" spans="1:1" x14ac:dyDescent="0.65">
      <c r="A1064" s="37"/>
    </row>
    <row r="1065" spans="1:1" x14ac:dyDescent="0.65">
      <c r="A1065" s="37"/>
    </row>
    <row r="1066" spans="1:1" x14ac:dyDescent="0.65">
      <c r="A1066" s="37"/>
    </row>
    <row r="1067" spans="1:1" x14ac:dyDescent="0.65">
      <c r="A1067" s="37"/>
    </row>
    <row r="1068" spans="1:1" x14ac:dyDescent="0.65">
      <c r="A1068" s="37"/>
    </row>
    <row r="1069" spans="1:1" x14ac:dyDescent="0.65">
      <c r="A1069" s="37"/>
    </row>
    <row r="1070" spans="1:1" x14ac:dyDescent="0.65">
      <c r="A1070" s="37"/>
    </row>
    <row r="1071" spans="1:1" x14ac:dyDescent="0.65">
      <c r="A1071" s="37"/>
    </row>
    <row r="1072" spans="1:1" x14ac:dyDescent="0.65">
      <c r="A1072" s="37"/>
    </row>
    <row r="1073" spans="1:1" x14ac:dyDescent="0.65">
      <c r="A1073" s="37"/>
    </row>
    <row r="1074" spans="1:1" x14ac:dyDescent="0.65">
      <c r="A1074" s="37"/>
    </row>
    <row r="1075" spans="1:1" x14ac:dyDescent="0.65">
      <c r="A1075" s="37"/>
    </row>
    <row r="1076" spans="1:1" x14ac:dyDescent="0.65">
      <c r="A1076" s="37"/>
    </row>
    <row r="1077" spans="1:1" x14ac:dyDescent="0.65">
      <c r="A1077" s="37"/>
    </row>
    <row r="1078" spans="1:1" x14ac:dyDescent="0.65">
      <c r="A1078" s="37"/>
    </row>
    <row r="1079" spans="1:1" x14ac:dyDescent="0.65">
      <c r="A1079" s="37"/>
    </row>
    <row r="1080" spans="1:1" x14ac:dyDescent="0.65">
      <c r="A1080" s="37"/>
    </row>
    <row r="1081" spans="1:1" x14ac:dyDescent="0.65">
      <c r="A1081" s="37"/>
    </row>
    <row r="1082" spans="1:1" x14ac:dyDescent="0.65">
      <c r="A1082" s="37"/>
    </row>
    <row r="1083" spans="1:1" x14ac:dyDescent="0.65">
      <c r="A1083" s="37"/>
    </row>
    <row r="1084" spans="1:1" x14ac:dyDescent="0.65">
      <c r="A1084" s="37"/>
    </row>
    <row r="1085" spans="1:1" x14ac:dyDescent="0.65">
      <c r="A1085" s="37"/>
    </row>
    <row r="1086" spans="1:1" x14ac:dyDescent="0.65">
      <c r="A1086" s="37"/>
    </row>
    <row r="1087" spans="1:1" x14ac:dyDescent="0.65">
      <c r="A1087" s="37"/>
    </row>
    <row r="1088" spans="1:1" x14ac:dyDescent="0.65">
      <c r="A1088" s="37"/>
    </row>
    <row r="1089" spans="1:1" x14ac:dyDescent="0.65">
      <c r="A1089" s="37"/>
    </row>
    <row r="1090" spans="1:1" x14ac:dyDescent="0.65">
      <c r="A1090" s="37"/>
    </row>
    <row r="1091" spans="1:1" x14ac:dyDescent="0.65">
      <c r="A1091" s="37"/>
    </row>
    <row r="1092" spans="1:1" x14ac:dyDescent="0.65">
      <c r="A1092" s="37"/>
    </row>
    <row r="1093" spans="1:1" x14ac:dyDescent="0.65">
      <c r="A1093" s="37"/>
    </row>
    <row r="1094" spans="1:1" x14ac:dyDescent="0.65">
      <c r="A1094" s="37"/>
    </row>
    <row r="1095" spans="1:1" x14ac:dyDescent="0.65">
      <c r="A1095" s="37"/>
    </row>
    <row r="1096" spans="1:1" x14ac:dyDescent="0.65">
      <c r="A1096" s="37"/>
    </row>
    <row r="1097" spans="1:1" x14ac:dyDescent="0.65">
      <c r="A1097" s="37"/>
    </row>
    <row r="1098" spans="1:1" x14ac:dyDescent="0.65">
      <c r="A1098" s="37"/>
    </row>
    <row r="1099" spans="1:1" x14ac:dyDescent="0.65">
      <c r="A1099" s="37"/>
    </row>
    <row r="1100" spans="1:1" x14ac:dyDescent="0.65">
      <c r="A1100" s="37"/>
    </row>
    <row r="1101" spans="1:1" x14ac:dyDescent="0.65">
      <c r="A1101" s="37"/>
    </row>
    <row r="1102" spans="1:1" x14ac:dyDescent="0.65">
      <c r="A1102" s="37"/>
    </row>
    <row r="1103" spans="1:1" x14ac:dyDescent="0.65">
      <c r="A1103" s="37"/>
    </row>
    <row r="1104" spans="1:1" x14ac:dyDescent="0.65">
      <c r="A1104" s="37"/>
    </row>
    <row r="1105" spans="1:1" x14ac:dyDescent="0.65">
      <c r="A1105" s="37"/>
    </row>
    <row r="1106" spans="1:1" x14ac:dyDescent="0.65">
      <c r="A1106" s="37"/>
    </row>
    <row r="1107" spans="1:1" x14ac:dyDescent="0.65">
      <c r="A1107" s="37"/>
    </row>
    <row r="1108" spans="1:1" x14ac:dyDescent="0.65">
      <c r="A1108" s="37"/>
    </row>
    <row r="1109" spans="1:1" x14ac:dyDescent="0.65">
      <c r="A1109" s="37"/>
    </row>
    <row r="1110" spans="1:1" x14ac:dyDescent="0.65">
      <c r="A1110" s="37"/>
    </row>
    <row r="1111" spans="1:1" x14ac:dyDescent="0.65">
      <c r="A1111" s="37"/>
    </row>
    <row r="1112" spans="1:1" x14ac:dyDescent="0.65">
      <c r="A1112" s="37"/>
    </row>
    <row r="1113" spans="1:1" x14ac:dyDescent="0.65">
      <c r="A1113" s="37"/>
    </row>
    <row r="1114" spans="1:1" x14ac:dyDescent="0.65">
      <c r="A1114" s="37"/>
    </row>
    <row r="1115" spans="1:1" x14ac:dyDescent="0.65">
      <c r="A1115" s="37"/>
    </row>
    <row r="1116" spans="1:1" x14ac:dyDescent="0.65">
      <c r="A1116" s="37"/>
    </row>
    <row r="1117" spans="1:1" x14ac:dyDescent="0.65">
      <c r="A1117" s="37"/>
    </row>
    <row r="1118" spans="1:1" x14ac:dyDescent="0.65">
      <c r="A1118" s="37"/>
    </row>
    <row r="1119" spans="1:1" x14ac:dyDescent="0.65">
      <c r="A1119" s="37"/>
    </row>
    <row r="1120" spans="1:1" x14ac:dyDescent="0.65">
      <c r="A1120" s="37"/>
    </row>
    <row r="1121" spans="1:1" x14ac:dyDescent="0.65">
      <c r="A1121" s="37"/>
    </row>
    <row r="1122" spans="1:1" x14ac:dyDescent="0.65">
      <c r="A1122" s="37"/>
    </row>
    <row r="1123" spans="1:1" x14ac:dyDescent="0.65">
      <c r="A1123" s="37"/>
    </row>
    <row r="1124" spans="1:1" x14ac:dyDescent="0.65">
      <c r="A1124" s="37"/>
    </row>
    <row r="1125" spans="1:1" x14ac:dyDescent="0.65">
      <c r="A1125" s="37"/>
    </row>
    <row r="1126" spans="1:1" x14ac:dyDescent="0.65">
      <c r="A1126" s="37"/>
    </row>
    <row r="1127" spans="1:1" x14ac:dyDescent="0.65">
      <c r="A1127" s="37"/>
    </row>
    <row r="1128" spans="1:1" x14ac:dyDescent="0.65">
      <c r="A1128" s="37"/>
    </row>
    <row r="1129" spans="1:1" x14ac:dyDescent="0.65">
      <c r="A1129" s="37"/>
    </row>
    <row r="1130" spans="1:1" x14ac:dyDescent="0.65">
      <c r="A1130" s="37"/>
    </row>
    <row r="1131" spans="1:1" x14ac:dyDescent="0.65">
      <c r="A1131" s="37"/>
    </row>
    <row r="1132" spans="1:1" x14ac:dyDescent="0.65">
      <c r="A1132" s="37"/>
    </row>
    <row r="1133" spans="1:1" x14ac:dyDescent="0.65">
      <c r="A1133" s="37"/>
    </row>
    <row r="1134" spans="1:1" x14ac:dyDescent="0.65">
      <c r="A1134" s="37"/>
    </row>
    <row r="1135" spans="1:1" x14ac:dyDescent="0.65">
      <c r="A1135" s="37"/>
    </row>
    <row r="1136" spans="1:1" x14ac:dyDescent="0.65">
      <c r="A1136" s="37"/>
    </row>
    <row r="1137" spans="1:1" x14ac:dyDescent="0.65">
      <c r="A1137" s="37"/>
    </row>
    <row r="1138" spans="1:1" x14ac:dyDescent="0.65">
      <c r="A1138" s="37"/>
    </row>
    <row r="1139" spans="1:1" x14ac:dyDescent="0.65">
      <c r="A1139" s="37"/>
    </row>
    <row r="1140" spans="1:1" x14ac:dyDescent="0.65">
      <c r="A1140" s="37"/>
    </row>
    <row r="1141" spans="1:1" x14ac:dyDescent="0.65">
      <c r="A1141" s="37"/>
    </row>
    <row r="1142" spans="1:1" x14ac:dyDescent="0.65">
      <c r="A1142" s="37"/>
    </row>
    <row r="1143" spans="1:1" x14ac:dyDescent="0.65">
      <c r="A1143" s="37"/>
    </row>
    <row r="1144" spans="1:1" x14ac:dyDescent="0.65">
      <c r="A1144" s="37"/>
    </row>
    <row r="1145" spans="1:1" x14ac:dyDescent="0.65">
      <c r="A1145" s="37"/>
    </row>
    <row r="1146" spans="1:1" x14ac:dyDescent="0.65">
      <c r="A1146" s="37"/>
    </row>
    <row r="1147" spans="1:1" x14ac:dyDescent="0.65">
      <c r="A1147" s="37"/>
    </row>
    <row r="1148" spans="1:1" x14ac:dyDescent="0.65">
      <c r="A1148" s="37"/>
    </row>
    <row r="1149" spans="1:1" x14ac:dyDescent="0.65">
      <c r="A1149" s="37"/>
    </row>
    <row r="1150" spans="1:1" x14ac:dyDescent="0.65">
      <c r="A1150" s="37"/>
    </row>
    <row r="1151" spans="1:1" x14ac:dyDescent="0.65">
      <c r="A1151" s="37"/>
    </row>
    <row r="1152" spans="1:1" x14ac:dyDescent="0.65">
      <c r="A1152" s="37"/>
    </row>
    <row r="1153" spans="1:1" x14ac:dyDescent="0.65">
      <c r="A1153" s="37"/>
    </row>
    <row r="1154" spans="1:1" x14ac:dyDescent="0.65">
      <c r="A1154" s="37"/>
    </row>
    <row r="1155" spans="1:1" x14ac:dyDescent="0.65">
      <c r="A1155" s="37"/>
    </row>
    <row r="1156" spans="1:1" x14ac:dyDescent="0.65">
      <c r="A1156" s="37"/>
    </row>
    <row r="1157" spans="1:1" x14ac:dyDescent="0.65">
      <c r="A1157" s="37"/>
    </row>
    <row r="1158" spans="1:1" x14ac:dyDescent="0.65">
      <c r="A1158" s="37"/>
    </row>
    <row r="1159" spans="1:1" x14ac:dyDescent="0.65">
      <c r="A1159" s="37"/>
    </row>
    <row r="1160" spans="1:1" x14ac:dyDescent="0.65">
      <c r="A1160" s="37"/>
    </row>
    <row r="1161" spans="1:1" x14ac:dyDescent="0.65">
      <c r="A1161" s="37"/>
    </row>
    <row r="1162" spans="1:1" x14ac:dyDescent="0.65">
      <c r="A1162" s="37"/>
    </row>
    <row r="1163" spans="1:1" x14ac:dyDescent="0.65">
      <c r="A1163" s="37"/>
    </row>
    <row r="1164" spans="1:1" x14ac:dyDescent="0.65">
      <c r="A1164" s="37"/>
    </row>
    <row r="1165" spans="1:1" x14ac:dyDescent="0.65">
      <c r="A1165" s="37"/>
    </row>
    <row r="1166" spans="1:1" x14ac:dyDescent="0.65">
      <c r="A1166" s="37"/>
    </row>
    <row r="1167" spans="1:1" x14ac:dyDescent="0.65">
      <c r="A1167" s="37"/>
    </row>
    <row r="1168" spans="1:1" x14ac:dyDescent="0.65">
      <c r="A1168" s="37"/>
    </row>
    <row r="1169" spans="1:1" x14ac:dyDescent="0.65">
      <c r="A1169" s="37"/>
    </row>
    <row r="1170" spans="1:1" x14ac:dyDescent="0.65">
      <c r="A1170" s="37"/>
    </row>
    <row r="1171" spans="1:1" x14ac:dyDescent="0.65">
      <c r="A1171" s="37"/>
    </row>
    <row r="1172" spans="1:1" x14ac:dyDescent="0.65">
      <c r="A1172" s="37"/>
    </row>
    <row r="1173" spans="1:1" x14ac:dyDescent="0.65">
      <c r="A1173" s="37"/>
    </row>
    <row r="1174" spans="1:1" x14ac:dyDescent="0.65">
      <c r="A1174" s="37"/>
    </row>
    <row r="1175" spans="1:1" x14ac:dyDescent="0.65">
      <c r="A1175" s="37"/>
    </row>
    <row r="1176" spans="1:1" x14ac:dyDescent="0.65">
      <c r="A1176" s="37"/>
    </row>
    <row r="1177" spans="1:1" x14ac:dyDescent="0.65">
      <c r="A1177" s="37"/>
    </row>
    <row r="1178" spans="1:1" x14ac:dyDescent="0.65">
      <c r="A1178" s="37"/>
    </row>
    <row r="1179" spans="1:1" x14ac:dyDescent="0.65">
      <c r="A1179" s="37"/>
    </row>
    <row r="1180" spans="1:1" x14ac:dyDescent="0.65">
      <c r="A1180" s="37"/>
    </row>
    <row r="1181" spans="1:1" x14ac:dyDescent="0.65">
      <c r="A1181" s="37"/>
    </row>
    <row r="1182" spans="1:1" x14ac:dyDescent="0.65">
      <c r="A1182" s="37"/>
    </row>
    <row r="1183" spans="1:1" x14ac:dyDescent="0.65">
      <c r="A1183" s="37"/>
    </row>
    <row r="1184" spans="1:1" x14ac:dyDescent="0.65">
      <c r="A1184" s="37"/>
    </row>
    <row r="1185" spans="1:1" x14ac:dyDescent="0.65">
      <c r="A1185" s="37"/>
    </row>
    <row r="1186" spans="1:1" x14ac:dyDescent="0.65">
      <c r="A1186" s="37"/>
    </row>
    <row r="1187" spans="1:1" x14ac:dyDescent="0.65">
      <c r="A1187" s="37"/>
    </row>
    <row r="1188" spans="1:1" x14ac:dyDescent="0.65">
      <c r="A1188" s="37"/>
    </row>
    <row r="1189" spans="1:1" x14ac:dyDescent="0.65">
      <c r="A1189" s="37"/>
    </row>
    <row r="1190" spans="1:1" x14ac:dyDescent="0.65">
      <c r="A1190" s="37"/>
    </row>
    <row r="1191" spans="1:1" x14ac:dyDescent="0.65">
      <c r="A1191" s="37"/>
    </row>
    <row r="1192" spans="1:1" x14ac:dyDescent="0.65">
      <c r="A1192" s="37"/>
    </row>
    <row r="1193" spans="1:1" x14ac:dyDescent="0.65">
      <c r="A1193" s="37"/>
    </row>
    <row r="1194" spans="1:1" x14ac:dyDescent="0.65">
      <c r="A1194" s="37"/>
    </row>
    <row r="1195" spans="1:1" x14ac:dyDescent="0.65">
      <c r="A1195" s="37"/>
    </row>
    <row r="1196" spans="1:1" x14ac:dyDescent="0.65">
      <c r="A1196" s="37"/>
    </row>
    <row r="1197" spans="1:1" x14ac:dyDescent="0.65">
      <c r="A1197" s="37"/>
    </row>
    <row r="1198" spans="1:1" x14ac:dyDescent="0.65">
      <c r="A1198" s="37"/>
    </row>
    <row r="1199" spans="1:1" x14ac:dyDescent="0.65">
      <c r="A1199" s="37"/>
    </row>
    <row r="1200" spans="1:1" x14ac:dyDescent="0.65">
      <c r="A1200" s="37"/>
    </row>
    <row r="1201" spans="1:1" x14ac:dyDescent="0.65">
      <c r="A1201" s="37"/>
    </row>
    <row r="1202" spans="1:1" x14ac:dyDescent="0.65">
      <c r="A1202" s="37"/>
    </row>
    <row r="1203" spans="1:1" x14ac:dyDescent="0.65">
      <c r="A1203" s="37"/>
    </row>
    <row r="1204" spans="1:1" x14ac:dyDescent="0.65">
      <c r="A1204" s="37"/>
    </row>
    <row r="1205" spans="1:1" x14ac:dyDescent="0.65">
      <c r="A1205" s="37"/>
    </row>
    <row r="1206" spans="1:1" x14ac:dyDescent="0.65">
      <c r="A1206" s="37"/>
    </row>
    <row r="1207" spans="1:1" x14ac:dyDescent="0.65">
      <c r="A1207" s="37"/>
    </row>
    <row r="1208" spans="1:1" x14ac:dyDescent="0.65">
      <c r="A1208" s="37"/>
    </row>
    <row r="1209" spans="1:1" x14ac:dyDescent="0.65">
      <c r="A1209" s="37"/>
    </row>
    <row r="1210" spans="1:1" x14ac:dyDescent="0.65">
      <c r="A1210" s="37"/>
    </row>
    <row r="1211" spans="1:1" x14ac:dyDescent="0.65">
      <c r="A1211" s="37"/>
    </row>
    <row r="1212" spans="1:1" x14ac:dyDescent="0.65">
      <c r="A1212" s="37"/>
    </row>
    <row r="1213" spans="1:1" x14ac:dyDescent="0.65">
      <c r="A1213" s="37"/>
    </row>
    <row r="1214" spans="1:1" x14ac:dyDescent="0.65">
      <c r="A1214" s="37"/>
    </row>
    <row r="1215" spans="1:1" x14ac:dyDescent="0.65">
      <c r="A1215" s="37"/>
    </row>
    <row r="1216" spans="1:1" x14ac:dyDescent="0.65">
      <c r="A1216" s="37"/>
    </row>
    <row r="1217" spans="1:1" x14ac:dyDescent="0.65">
      <c r="A1217" s="37"/>
    </row>
  </sheetData>
  <sortState ref="A4:A1217">
    <sortCondition ref="A4:A121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9"/>
  <sheetViews>
    <sheetView topLeftCell="H1" zoomScale="85" zoomScaleNormal="85" workbookViewId="0">
      <selection activeCell="L8" sqref="L8"/>
    </sheetView>
  </sheetViews>
  <sheetFormatPr baseColWidth="10" defaultColWidth="8.7265625" defaultRowHeight="14.25" x14ac:dyDescent="0.65"/>
  <cols>
    <col min="1" max="1" width="12.86328125" style="188" bestFit="1" customWidth="1"/>
    <col min="2" max="2" width="50.86328125" style="35" customWidth="1"/>
    <col min="3" max="3" width="24.1328125" customWidth="1"/>
    <col min="4" max="4" width="14.40625" customWidth="1"/>
    <col min="5" max="5" width="14.1328125" customWidth="1"/>
    <col min="6" max="6" width="10" customWidth="1"/>
    <col min="7" max="7" width="10.86328125" customWidth="1"/>
    <col min="8" max="8" width="13.1328125" customWidth="1"/>
    <col min="9" max="9" width="14.1328125" style="191" customWidth="1"/>
    <col min="10" max="10" width="9.1328125" customWidth="1"/>
    <col min="11" max="11" width="10" customWidth="1"/>
    <col min="12" max="12" width="13.7265625" style="37" bestFit="1" customWidth="1"/>
    <col min="13" max="13" width="13.26953125" bestFit="1" customWidth="1"/>
    <col min="14" max="14" width="9.54296875" bestFit="1" customWidth="1"/>
    <col min="15" max="18" width="11.54296875" bestFit="1" customWidth="1"/>
    <col min="19" max="21" width="13.26953125" bestFit="1" customWidth="1"/>
    <col min="22" max="22" width="9.1328125" hidden="1" customWidth="1"/>
  </cols>
  <sheetData>
    <row r="1" spans="1:22" ht="15" x14ac:dyDescent="0.25">
      <c r="A1" s="187" t="s">
        <v>1304</v>
      </c>
      <c r="B1" s="29" t="s">
        <v>315</v>
      </c>
      <c r="C1" s="27" t="s">
        <v>1305</v>
      </c>
      <c r="D1" s="27" t="s">
        <v>2</v>
      </c>
      <c r="E1" s="27" t="s">
        <v>5</v>
      </c>
      <c r="F1" s="27" t="s">
        <v>6</v>
      </c>
      <c r="G1" s="27" t="s">
        <v>1306</v>
      </c>
      <c r="H1" s="27" t="s">
        <v>11</v>
      </c>
      <c r="I1" s="140" t="s">
        <v>941</v>
      </c>
      <c r="J1" s="195">
        <v>2007</v>
      </c>
      <c r="L1" s="291" t="s">
        <v>941</v>
      </c>
      <c r="M1" s="323" t="s">
        <v>1866</v>
      </c>
      <c r="N1" s="320">
        <v>40634</v>
      </c>
      <c r="O1" s="320">
        <v>40664</v>
      </c>
      <c r="P1" s="320">
        <v>40695</v>
      </c>
      <c r="Q1" s="320">
        <v>40725</v>
      </c>
      <c r="R1" s="320">
        <v>40756</v>
      </c>
      <c r="S1" s="320">
        <v>40787</v>
      </c>
      <c r="T1" s="320">
        <v>40817</v>
      </c>
      <c r="U1" s="320">
        <v>40848</v>
      </c>
      <c r="V1" s="318">
        <v>40878</v>
      </c>
    </row>
    <row r="2" spans="1:22" ht="15" x14ac:dyDescent="0.25">
      <c r="A2" s="187" t="s">
        <v>448</v>
      </c>
      <c r="B2" s="29" t="s">
        <v>1809</v>
      </c>
      <c r="C2" s="27" t="s">
        <v>448</v>
      </c>
      <c r="D2" s="27" t="s">
        <v>448</v>
      </c>
      <c r="E2" s="181"/>
      <c r="F2" s="181"/>
      <c r="G2" s="182"/>
      <c r="H2" s="182"/>
      <c r="I2" s="140"/>
      <c r="K2" s="188"/>
      <c r="L2" s="41"/>
      <c r="M2" s="292"/>
      <c r="N2" s="292"/>
      <c r="O2" s="292"/>
      <c r="P2" s="292"/>
      <c r="Q2" s="292"/>
      <c r="R2" s="292"/>
      <c r="S2" s="292"/>
      <c r="T2" s="292"/>
      <c r="U2" s="292"/>
    </row>
    <row r="3" spans="1:22" ht="15" x14ac:dyDescent="0.25">
      <c r="A3" s="188">
        <v>40646</v>
      </c>
      <c r="B3" s="35" t="s">
        <v>1315</v>
      </c>
      <c r="C3" t="s">
        <v>1308</v>
      </c>
      <c r="D3" t="s">
        <v>451</v>
      </c>
      <c r="E3" s="141">
        <v>1</v>
      </c>
      <c r="F3" s="141">
        <v>1400</v>
      </c>
      <c r="G3" s="142"/>
      <c r="H3" s="142">
        <v>1400</v>
      </c>
      <c r="I3" s="192">
        <v>11</v>
      </c>
      <c r="L3" s="41">
        <v>11</v>
      </c>
      <c r="M3" s="321">
        <f>SUMIF(I:I,L3,H:H)</f>
        <v>28430.2</v>
      </c>
      <c r="N3" s="321">
        <f>SUMIFS($H:$H,$A:$A,"&lt;"&amp;O$1,$I:$I,$L3)</f>
        <v>1400</v>
      </c>
      <c r="O3" s="321">
        <f t="shared" ref="O3:U3" si="0">SUMIFS($H:$H,$A:$A,"&lt;"&amp;P$1,$I:$I,$L3)</f>
        <v>1400</v>
      </c>
      <c r="P3" s="321">
        <f t="shared" si="0"/>
        <v>5908.3</v>
      </c>
      <c r="Q3" s="321">
        <f t="shared" si="0"/>
        <v>9071.75</v>
      </c>
      <c r="R3" s="321">
        <f t="shared" si="0"/>
        <v>19878.3</v>
      </c>
      <c r="S3" s="321">
        <f t="shared" si="0"/>
        <v>20668.8</v>
      </c>
      <c r="T3" s="321">
        <f t="shared" si="0"/>
        <v>24220.2</v>
      </c>
      <c r="U3" s="321">
        <f t="shared" si="0"/>
        <v>28430.2</v>
      </c>
    </row>
    <row r="4" spans="1:22" ht="15" x14ac:dyDescent="0.25">
      <c r="A4" s="188">
        <v>40722</v>
      </c>
      <c r="B4" s="35" t="s">
        <v>1307</v>
      </c>
      <c r="C4" t="s">
        <v>1308</v>
      </c>
      <c r="D4" t="s">
        <v>451</v>
      </c>
      <c r="E4" s="141">
        <v>1</v>
      </c>
      <c r="F4" s="141">
        <v>4508.3</v>
      </c>
      <c r="G4" s="142"/>
      <c r="H4" s="142">
        <v>4508.3</v>
      </c>
      <c r="I4" s="192">
        <v>11</v>
      </c>
      <c r="L4" s="41">
        <v>13</v>
      </c>
      <c r="M4" s="321">
        <f t="shared" ref="M4:M58" si="1">SUMIF(I:I,L4,H:H)</f>
        <v>7650</v>
      </c>
      <c r="N4" s="321">
        <f t="shared" ref="N4:U4" si="2">SUMIFS($H:$H,$A:$A,"&lt;"&amp;O$1,$I:$I,$L4)</f>
        <v>0</v>
      </c>
      <c r="O4" s="321">
        <f t="shared" si="2"/>
        <v>90</v>
      </c>
      <c r="P4" s="321">
        <f t="shared" si="2"/>
        <v>2650</v>
      </c>
      <c r="Q4" s="321">
        <f t="shared" si="2"/>
        <v>5050</v>
      </c>
      <c r="R4" s="321">
        <f t="shared" si="2"/>
        <v>6850</v>
      </c>
      <c r="S4" s="321">
        <f t="shared" si="2"/>
        <v>7650</v>
      </c>
      <c r="T4" s="321">
        <f t="shared" si="2"/>
        <v>7650</v>
      </c>
      <c r="U4" s="321">
        <f t="shared" si="2"/>
        <v>7650</v>
      </c>
    </row>
    <row r="5" spans="1:22" ht="15" x14ac:dyDescent="0.25">
      <c r="A5" s="188">
        <v>40737</v>
      </c>
      <c r="B5" s="35" t="s">
        <v>1309</v>
      </c>
      <c r="C5" t="s">
        <v>1308</v>
      </c>
      <c r="D5" t="s">
        <v>451</v>
      </c>
      <c r="E5" s="141">
        <v>1</v>
      </c>
      <c r="F5" s="141">
        <v>3163.45</v>
      </c>
      <c r="G5" s="142"/>
      <c r="H5" s="142">
        <v>3163.45</v>
      </c>
      <c r="I5" s="192">
        <v>11</v>
      </c>
      <c r="L5" s="41">
        <v>15</v>
      </c>
      <c r="M5" s="321">
        <f t="shared" si="1"/>
        <v>1105</v>
      </c>
      <c r="N5" s="321">
        <f t="shared" ref="N5:U5" si="3">SUMIFS($H:$H,$A:$A,"&lt;"&amp;O$1,$I:$I,$L5)</f>
        <v>0</v>
      </c>
      <c r="O5" s="321">
        <f t="shared" si="3"/>
        <v>0</v>
      </c>
      <c r="P5" s="321">
        <f t="shared" si="3"/>
        <v>0</v>
      </c>
      <c r="Q5" s="321">
        <f t="shared" si="3"/>
        <v>130</v>
      </c>
      <c r="R5" s="321">
        <f t="shared" si="3"/>
        <v>130</v>
      </c>
      <c r="S5" s="321">
        <f t="shared" si="3"/>
        <v>910</v>
      </c>
      <c r="T5" s="321">
        <f t="shared" si="3"/>
        <v>1105</v>
      </c>
      <c r="U5" s="321">
        <f t="shared" si="3"/>
        <v>1105</v>
      </c>
    </row>
    <row r="6" spans="1:22" ht="15" x14ac:dyDescent="0.25">
      <c r="A6" s="188">
        <v>40770</v>
      </c>
      <c r="B6" s="35" t="s">
        <v>1310</v>
      </c>
      <c r="C6" t="s">
        <v>1308</v>
      </c>
      <c r="D6" t="s">
        <v>451</v>
      </c>
      <c r="E6" s="141">
        <v>1</v>
      </c>
      <c r="F6" s="141">
        <v>10806.55</v>
      </c>
      <c r="G6" s="142"/>
      <c r="H6" s="142">
        <v>10806.55</v>
      </c>
      <c r="I6" s="192">
        <v>11</v>
      </c>
      <c r="L6" s="41">
        <v>21</v>
      </c>
      <c r="M6" s="321">
        <f t="shared" si="1"/>
        <v>12095.585000000003</v>
      </c>
      <c r="N6" s="321">
        <f t="shared" ref="N6:U6" si="4">SUMIFS($H:$H,$A:$A,"&lt;"&amp;O$1,$I:$I,$L6)</f>
        <v>0</v>
      </c>
      <c r="O6" s="321">
        <f t="shared" si="4"/>
        <v>9101.3700000000026</v>
      </c>
      <c r="P6" s="321">
        <f t="shared" si="4"/>
        <v>9101.3700000000026</v>
      </c>
      <c r="Q6" s="321">
        <f t="shared" si="4"/>
        <v>11312.405000000002</v>
      </c>
      <c r="R6" s="321">
        <f t="shared" si="4"/>
        <v>12095.585000000003</v>
      </c>
      <c r="S6" s="321">
        <f t="shared" si="4"/>
        <v>12095.585000000003</v>
      </c>
      <c r="T6" s="321">
        <f t="shared" si="4"/>
        <v>12095.585000000003</v>
      </c>
      <c r="U6" s="321">
        <f t="shared" si="4"/>
        <v>12095.585000000003</v>
      </c>
    </row>
    <row r="7" spans="1:22" ht="15" x14ac:dyDescent="0.25">
      <c r="A7" s="188">
        <v>40808</v>
      </c>
      <c r="B7" s="35" t="s">
        <v>1311</v>
      </c>
      <c r="C7" t="s">
        <v>1308</v>
      </c>
      <c r="D7" t="s">
        <v>451</v>
      </c>
      <c r="E7" s="141">
        <v>1</v>
      </c>
      <c r="F7" s="141">
        <v>790.5</v>
      </c>
      <c r="G7" s="142"/>
      <c r="H7" s="142">
        <v>790.5</v>
      </c>
      <c r="I7" s="192">
        <v>11</v>
      </c>
      <c r="L7" s="41">
        <v>31</v>
      </c>
      <c r="M7" s="321">
        <f t="shared" si="1"/>
        <v>17446.664999999997</v>
      </c>
      <c r="N7" s="321">
        <f t="shared" ref="N7:U7" si="5">SUMIFS($H:$H,$A:$A,"&lt;"&amp;O$1,$I:$I,$L7)</f>
        <v>0</v>
      </c>
      <c r="O7" s="321">
        <f t="shared" si="5"/>
        <v>13286.15</v>
      </c>
      <c r="P7" s="321">
        <f t="shared" si="5"/>
        <v>13286.15</v>
      </c>
      <c r="Q7" s="321">
        <f t="shared" si="5"/>
        <v>16303.484999999999</v>
      </c>
      <c r="R7" s="321">
        <f t="shared" si="5"/>
        <v>17446.664999999997</v>
      </c>
      <c r="S7" s="321">
        <f t="shared" si="5"/>
        <v>17446.664999999997</v>
      </c>
      <c r="T7" s="321">
        <f t="shared" si="5"/>
        <v>17446.664999999997</v>
      </c>
      <c r="U7" s="321">
        <f t="shared" si="5"/>
        <v>17446.664999999997</v>
      </c>
    </row>
    <row r="8" spans="1:22" ht="15" x14ac:dyDescent="0.25">
      <c r="A8" s="188">
        <v>40837</v>
      </c>
      <c r="B8" s="35" t="s">
        <v>1312</v>
      </c>
      <c r="C8" t="s">
        <v>1308</v>
      </c>
      <c r="D8" t="s">
        <v>451</v>
      </c>
      <c r="E8" s="141">
        <v>1</v>
      </c>
      <c r="F8" s="141">
        <v>3551.4</v>
      </c>
      <c r="G8" s="142"/>
      <c r="H8" s="142">
        <v>3551.4</v>
      </c>
      <c r="I8" s="192">
        <v>11</v>
      </c>
      <c r="L8" s="41">
        <v>33</v>
      </c>
      <c r="M8" s="321">
        <f t="shared" si="1"/>
        <v>14500.110000000004</v>
      </c>
      <c r="N8" s="321">
        <f t="shared" ref="N8:U8" si="6">SUMIFS($H:$H,$A:$A,"&lt;"&amp;O$1,$I:$I,$L8)</f>
        <v>0</v>
      </c>
      <c r="O8" s="321">
        <f t="shared" si="6"/>
        <v>0</v>
      </c>
      <c r="P8" s="321">
        <f t="shared" si="6"/>
        <v>0</v>
      </c>
      <c r="Q8" s="321">
        <f t="shared" si="6"/>
        <v>0</v>
      </c>
      <c r="R8" s="321">
        <f t="shared" si="6"/>
        <v>4051.7299999999996</v>
      </c>
      <c r="S8" s="321">
        <f t="shared" si="6"/>
        <v>12235.91</v>
      </c>
      <c r="T8" s="321">
        <f t="shared" si="6"/>
        <v>14500.110000000004</v>
      </c>
      <c r="U8" s="321">
        <f t="shared" si="6"/>
        <v>14500.110000000004</v>
      </c>
    </row>
    <row r="9" spans="1:22" ht="15" x14ac:dyDescent="0.25">
      <c r="A9" s="188">
        <v>40877</v>
      </c>
      <c r="B9" s="35" t="s">
        <v>1313</v>
      </c>
      <c r="C9" t="s">
        <v>1308</v>
      </c>
      <c r="D9" t="s">
        <v>451</v>
      </c>
      <c r="E9" s="141">
        <v>1</v>
      </c>
      <c r="F9" s="141">
        <v>2268.75</v>
      </c>
      <c r="G9" s="142"/>
      <c r="H9" s="142">
        <v>2268.75</v>
      </c>
      <c r="I9" s="192">
        <v>11</v>
      </c>
      <c r="L9" s="41">
        <v>41</v>
      </c>
      <c r="M9" s="321">
        <f t="shared" si="1"/>
        <v>13910.675000000001</v>
      </c>
      <c r="N9" s="321">
        <f t="shared" ref="N9:U9" si="7">SUMIFS($H:$H,$A:$A,"&lt;"&amp;O$1,$I:$I,$L9)</f>
        <v>0</v>
      </c>
      <c r="O9" s="321">
        <f t="shared" si="7"/>
        <v>0</v>
      </c>
      <c r="P9" s="321">
        <f t="shared" si="7"/>
        <v>0</v>
      </c>
      <c r="Q9" s="321">
        <f t="shared" si="7"/>
        <v>8267.7350000000006</v>
      </c>
      <c r="R9" s="321">
        <f t="shared" si="7"/>
        <v>9050.6750000000011</v>
      </c>
      <c r="S9" s="321">
        <f t="shared" si="7"/>
        <v>13910.675000000001</v>
      </c>
      <c r="T9" s="321">
        <f t="shared" si="7"/>
        <v>13910.675000000001</v>
      </c>
      <c r="U9" s="321">
        <f t="shared" si="7"/>
        <v>13910.675000000001</v>
      </c>
    </row>
    <row r="10" spans="1:22" ht="15" x14ac:dyDescent="0.25">
      <c r="A10" s="188">
        <v>40877</v>
      </c>
      <c r="B10" s="35" t="s">
        <v>1316</v>
      </c>
      <c r="C10" t="s">
        <v>1317</v>
      </c>
      <c r="D10" t="s">
        <v>451</v>
      </c>
      <c r="E10" s="141">
        <v>1</v>
      </c>
      <c r="F10" s="141">
        <v>1941.25</v>
      </c>
      <c r="G10" s="142"/>
      <c r="H10" s="142">
        <v>1941.25</v>
      </c>
      <c r="I10" s="192">
        <v>11</v>
      </c>
      <c r="L10" s="41">
        <v>51</v>
      </c>
      <c r="M10" s="321">
        <f t="shared" si="1"/>
        <v>49136.348999999987</v>
      </c>
      <c r="N10" s="321">
        <f t="shared" ref="N10:U10" si="8">SUMIFS($H:$H,$A:$A,"&lt;"&amp;O$1,$I:$I,$L10)</f>
        <v>0</v>
      </c>
      <c r="O10" s="321">
        <f t="shared" si="8"/>
        <v>2823.8999999999996</v>
      </c>
      <c r="P10" s="321">
        <f t="shared" si="8"/>
        <v>2823.8999999999996</v>
      </c>
      <c r="Q10" s="321">
        <f t="shared" si="8"/>
        <v>19971.644999999997</v>
      </c>
      <c r="R10" s="321">
        <f t="shared" si="8"/>
        <v>36896.174999999996</v>
      </c>
      <c r="S10" s="321">
        <f t="shared" si="8"/>
        <v>49136.348999999987</v>
      </c>
      <c r="T10" s="321">
        <f t="shared" si="8"/>
        <v>49136.348999999987</v>
      </c>
      <c r="U10" s="321">
        <f t="shared" si="8"/>
        <v>49136.348999999987</v>
      </c>
    </row>
    <row r="11" spans="1:22" ht="15" x14ac:dyDescent="0.25">
      <c r="A11" s="189" t="s">
        <v>448</v>
      </c>
      <c r="B11" s="183" t="s">
        <v>1314</v>
      </c>
      <c r="C11" s="184" t="s">
        <v>448</v>
      </c>
      <c r="D11" s="184" t="s">
        <v>448</v>
      </c>
      <c r="E11" s="185"/>
      <c r="F11" s="185"/>
      <c r="G11" s="186"/>
      <c r="H11" s="186">
        <v>28430.2</v>
      </c>
      <c r="I11" s="193" t="s">
        <v>1767</v>
      </c>
      <c r="L11" s="41">
        <v>52</v>
      </c>
      <c r="M11" s="321">
        <f t="shared" si="1"/>
        <v>164870.93999999989</v>
      </c>
      <c r="N11" s="321">
        <f t="shared" ref="N11:U11" si="9">SUMIFS($H:$H,$A:$A,"&lt;"&amp;O$1,$I:$I,$L11)</f>
        <v>0</v>
      </c>
      <c r="O11" s="321">
        <f t="shared" si="9"/>
        <v>1484</v>
      </c>
      <c r="P11" s="321">
        <f t="shared" si="9"/>
        <v>87840.84500000003</v>
      </c>
      <c r="Q11" s="321">
        <f t="shared" si="9"/>
        <v>130649.97000000002</v>
      </c>
      <c r="R11" s="321">
        <f t="shared" si="9"/>
        <v>164870.93999999989</v>
      </c>
      <c r="S11" s="321">
        <f t="shared" si="9"/>
        <v>164870.93999999989</v>
      </c>
      <c r="T11" s="321">
        <f t="shared" si="9"/>
        <v>164870.93999999989</v>
      </c>
      <c r="U11" s="321">
        <f t="shared" si="9"/>
        <v>164870.93999999989</v>
      </c>
    </row>
    <row r="12" spans="1:22" ht="15" x14ac:dyDescent="0.25">
      <c r="A12" s="188" t="s">
        <v>448</v>
      </c>
      <c r="B12" s="35" t="s">
        <v>448</v>
      </c>
      <c r="C12" t="s">
        <v>448</v>
      </c>
      <c r="D12" t="s">
        <v>448</v>
      </c>
      <c r="E12" s="141"/>
      <c r="F12" s="141"/>
      <c r="G12" s="142"/>
      <c r="H12" s="142"/>
      <c r="I12" s="191" t="s">
        <v>1767</v>
      </c>
      <c r="L12" s="41">
        <v>53</v>
      </c>
      <c r="M12" s="321">
        <f t="shared" si="1"/>
        <v>11630.28</v>
      </c>
      <c r="N12" s="321">
        <f t="shared" ref="N12:U12" si="10">SUMIFS($H:$H,$A:$A,"&lt;"&amp;O$1,$I:$I,$L12)</f>
        <v>0</v>
      </c>
      <c r="O12" s="321">
        <f t="shared" si="10"/>
        <v>0</v>
      </c>
      <c r="P12" s="321">
        <f t="shared" si="10"/>
        <v>317.56</v>
      </c>
      <c r="Q12" s="321">
        <f t="shared" si="10"/>
        <v>317.56</v>
      </c>
      <c r="R12" s="321">
        <f t="shared" si="10"/>
        <v>3858.56</v>
      </c>
      <c r="S12" s="321">
        <f t="shared" si="10"/>
        <v>11630.28</v>
      </c>
      <c r="T12" s="321">
        <f t="shared" si="10"/>
        <v>11630.28</v>
      </c>
      <c r="U12" s="321">
        <f t="shared" si="10"/>
        <v>11630.28</v>
      </c>
    </row>
    <row r="13" spans="1:22" ht="15" x14ac:dyDescent="0.25">
      <c r="A13" s="187" t="s">
        <v>448</v>
      </c>
      <c r="B13" s="29" t="s">
        <v>1810</v>
      </c>
      <c r="C13" s="27" t="s">
        <v>448</v>
      </c>
      <c r="D13" s="27" t="s">
        <v>448</v>
      </c>
      <c r="E13" s="181"/>
      <c r="F13" s="181"/>
      <c r="G13" s="182"/>
      <c r="H13" s="182"/>
      <c r="I13" s="140" t="s">
        <v>1767</v>
      </c>
      <c r="L13" s="41">
        <v>57</v>
      </c>
      <c r="M13" s="321">
        <f t="shared" si="1"/>
        <v>41783.659999999982</v>
      </c>
      <c r="N13" s="321">
        <f t="shared" ref="N13:U13" si="11">SUMIFS($H:$H,$A:$A,"&lt;"&amp;O$1,$I:$I,$L13)</f>
        <v>0</v>
      </c>
      <c r="O13" s="321">
        <f t="shared" si="11"/>
        <v>0</v>
      </c>
      <c r="P13" s="321">
        <f t="shared" si="11"/>
        <v>8333.5400000000009</v>
      </c>
      <c r="Q13" s="321">
        <f t="shared" si="11"/>
        <v>29372.455000000002</v>
      </c>
      <c r="R13" s="321">
        <f t="shared" si="11"/>
        <v>40753.904999999984</v>
      </c>
      <c r="S13" s="321">
        <f t="shared" si="11"/>
        <v>41783.659999999982</v>
      </c>
      <c r="T13" s="321">
        <f t="shared" si="11"/>
        <v>41783.659999999982</v>
      </c>
      <c r="U13" s="321">
        <f t="shared" si="11"/>
        <v>41783.659999999982</v>
      </c>
    </row>
    <row r="14" spans="1:22" ht="15" x14ac:dyDescent="0.25">
      <c r="A14" s="188">
        <v>40690</v>
      </c>
      <c r="B14" s="35" t="s">
        <v>1318</v>
      </c>
      <c r="C14" t="s">
        <v>1317</v>
      </c>
      <c r="D14" t="s">
        <v>451</v>
      </c>
      <c r="E14" s="141">
        <v>1</v>
      </c>
      <c r="F14" s="141">
        <v>90</v>
      </c>
      <c r="G14" s="142"/>
      <c r="H14" s="142">
        <v>90</v>
      </c>
      <c r="I14" s="192">
        <v>13</v>
      </c>
      <c r="L14" s="41">
        <v>61</v>
      </c>
      <c r="M14" s="321">
        <f t="shared" si="1"/>
        <v>6722.7199999999975</v>
      </c>
      <c r="N14" s="321">
        <f t="shared" ref="N14:U14" si="12">SUMIFS($H:$H,$A:$A,"&lt;"&amp;O$1,$I:$I,$L14)</f>
        <v>0</v>
      </c>
      <c r="O14" s="321">
        <f t="shared" si="12"/>
        <v>2730.24</v>
      </c>
      <c r="P14" s="321">
        <f t="shared" si="12"/>
        <v>4354.0599999999995</v>
      </c>
      <c r="Q14" s="321">
        <f t="shared" si="12"/>
        <v>4354.0599999999995</v>
      </c>
      <c r="R14" s="321">
        <f t="shared" si="12"/>
        <v>6279.9199999999983</v>
      </c>
      <c r="S14" s="321">
        <f t="shared" si="12"/>
        <v>6722.7199999999975</v>
      </c>
      <c r="T14" s="321">
        <f t="shared" si="12"/>
        <v>6722.7199999999975</v>
      </c>
      <c r="U14" s="321">
        <f t="shared" si="12"/>
        <v>6722.7199999999975</v>
      </c>
    </row>
    <row r="15" spans="1:22" ht="15" x14ac:dyDescent="0.25">
      <c r="A15" s="188">
        <v>40711</v>
      </c>
      <c r="B15" s="35" t="s">
        <v>1319</v>
      </c>
      <c r="C15" t="s">
        <v>1317</v>
      </c>
      <c r="D15" t="s">
        <v>451</v>
      </c>
      <c r="E15" s="141">
        <v>1</v>
      </c>
      <c r="F15" s="141">
        <v>1030</v>
      </c>
      <c r="G15" s="142"/>
      <c r="H15" s="142">
        <v>1030</v>
      </c>
      <c r="I15" s="192">
        <v>13</v>
      </c>
      <c r="L15" s="41">
        <v>62</v>
      </c>
      <c r="M15" s="321">
        <f t="shared" si="1"/>
        <v>91849.124999999985</v>
      </c>
      <c r="N15" s="321">
        <f t="shared" ref="N15:U15" si="13">SUMIFS($H:$H,$A:$A,"&lt;"&amp;O$1,$I:$I,$L15)</f>
        <v>0</v>
      </c>
      <c r="O15" s="321">
        <f t="shared" si="13"/>
        <v>0</v>
      </c>
      <c r="P15" s="321">
        <f t="shared" si="13"/>
        <v>4650.1800000000012</v>
      </c>
      <c r="Q15" s="321">
        <f t="shared" si="13"/>
        <v>17611.695000000003</v>
      </c>
      <c r="R15" s="321">
        <f t="shared" si="13"/>
        <v>48779.539999999986</v>
      </c>
      <c r="S15" s="321">
        <f t="shared" si="13"/>
        <v>84713.124999999985</v>
      </c>
      <c r="T15" s="321">
        <f t="shared" si="13"/>
        <v>91849.124999999985</v>
      </c>
      <c r="U15" s="321">
        <f t="shared" si="13"/>
        <v>91849.124999999985</v>
      </c>
    </row>
    <row r="16" spans="1:22" ht="15" x14ac:dyDescent="0.25">
      <c r="A16" s="188">
        <v>40724</v>
      </c>
      <c r="B16" s="35" t="s">
        <v>1320</v>
      </c>
      <c r="C16" t="s">
        <v>1317</v>
      </c>
      <c r="D16" t="s">
        <v>451</v>
      </c>
      <c r="E16" s="141">
        <v>1</v>
      </c>
      <c r="F16" s="141">
        <v>1530</v>
      </c>
      <c r="G16" s="142"/>
      <c r="H16" s="142">
        <v>1530</v>
      </c>
      <c r="I16" s="192">
        <v>13</v>
      </c>
      <c r="L16" s="41">
        <v>63</v>
      </c>
      <c r="M16" s="321">
        <f t="shared" si="1"/>
        <v>45939.65499999997</v>
      </c>
      <c r="N16" s="321">
        <f t="shared" ref="N16:U16" si="14">SUMIFS($H:$H,$A:$A,"&lt;"&amp;O$1,$I:$I,$L16)</f>
        <v>0</v>
      </c>
      <c r="O16" s="321">
        <f t="shared" si="14"/>
        <v>78.78</v>
      </c>
      <c r="P16" s="321">
        <f t="shared" si="14"/>
        <v>6951.6649999999991</v>
      </c>
      <c r="Q16" s="321">
        <f t="shared" si="14"/>
        <v>21171.289999999994</v>
      </c>
      <c r="R16" s="321">
        <f t="shared" si="14"/>
        <v>35928.424999999974</v>
      </c>
      <c r="S16" s="321">
        <f t="shared" si="14"/>
        <v>45939.65499999997</v>
      </c>
      <c r="T16" s="321">
        <f t="shared" si="14"/>
        <v>45939.65499999997</v>
      </c>
      <c r="U16" s="321">
        <f t="shared" si="14"/>
        <v>45939.65499999997</v>
      </c>
    </row>
    <row r="17" spans="1:21" ht="15" x14ac:dyDescent="0.25">
      <c r="A17" s="188">
        <v>40743</v>
      </c>
      <c r="B17" s="35" t="s">
        <v>1321</v>
      </c>
      <c r="C17" t="s">
        <v>1317</v>
      </c>
      <c r="D17" t="s">
        <v>451</v>
      </c>
      <c r="E17" s="141">
        <v>1</v>
      </c>
      <c r="F17" s="141">
        <v>1440</v>
      </c>
      <c r="G17" s="142"/>
      <c r="H17" s="142">
        <v>1440</v>
      </c>
      <c r="I17" s="192">
        <v>13</v>
      </c>
      <c r="L17" s="41">
        <v>64</v>
      </c>
      <c r="M17" s="321">
        <f t="shared" si="1"/>
        <v>105957.8072</v>
      </c>
      <c r="N17" s="321">
        <f t="shared" ref="N17:U17" si="15">SUMIFS($H:$H,$A:$A,"&lt;"&amp;O$1,$I:$I,$L17)</f>
        <v>0</v>
      </c>
      <c r="O17" s="321">
        <f t="shared" si="15"/>
        <v>0</v>
      </c>
      <c r="P17" s="321">
        <f t="shared" si="15"/>
        <v>0</v>
      </c>
      <c r="Q17" s="321">
        <f t="shared" si="15"/>
        <v>22054.747199999998</v>
      </c>
      <c r="R17" s="321">
        <f t="shared" si="15"/>
        <v>58444.747199999998</v>
      </c>
      <c r="S17" s="321">
        <f t="shared" si="15"/>
        <v>105957.8072</v>
      </c>
      <c r="T17" s="321">
        <f t="shared" si="15"/>
        <v>105957.8072</v>
      </c>
      <c r="U17" s="321">
        <f t="shared" si="15"/>
        <v>105957.8072</v>
      </c>
    </row>
    <row r="18" spans="1:21" ht="15" x14ac:dyDescent="0.25">
      <c r="A18" s="188">
        <v>40753</v>
      </c>
      <c r="B18" s="35" t="s">
        <v>1322</v>
      </c>
      <c r="C18" t="s">
        <v>1317</v>
      </c>
      <c r="D18" t="s">
        <v>451</v>
      </c>
      <c r="E18" s="141">
        <v>1</v>
      </c>
      <c r="F18" s="141">
        <v>840</v>
      </c>
      <c r="G18" s="142"/>
      <c r="H18" s="142">
        <v>840</v>
      </c>
      <c r="I18" s="192">
        <v>13</v>
      </c>
      <c r="L18" s="41">
        <v>65</v>
      </c>
      <c r="M18" s="321">
        <f t="shared" si="1"/>
        <v>185012.62</v>
      </c>
      <c r="N18" s="321">
        <f t="shared" ref="N18:U18" si="16">SUMIFS($H:$H,$A:$A,"&lt;"&amp;O$1,$I:$I,$L18)</f>
        <v>0</v>
      </c>
      <c r="O18" s="321">
        <f t="shared" si="16"/>
        <v>0</v>
      </c>
      <c r="P18" s="321">
        <f t="shared" si="16"/>
        <v>0</v>
      </c>
      <c r="Q18" s="321">
        <f t="shared" si="16"/>
        <v>0</v>
      </c>
      <c r="R18" s="321">
        <f t="shared" si="16"/>
        <v>0</v>
      </c>
      <c r="S18" s="321">
        <f t="shared" si="16"/>
        <v>315.12</v>
      </c>
      <c r="T18" s="321">
        <f t="shared" si="16"/>
        <v>185012.62</v>
      </c>
      <c r="U18" s="321">
        <f t="shared" si="16"/>
        <v>185012.62</v>
      </c>
    </row>
    <row r="19" spans="1:21" ht="15" x14ac:dyDescent="0.25">
      <c r="A19" s="188">
        <v>40753</v>
      </c>
      <c r="B19" s="35" t="s">
        <v>1323</v>
      </c>
      <c r="C19" t="s">
        <v>1317</v>
      </c>
      <c r="D19" t="s">
        <v>451</v>
      </c>
      <c r="E19" s="141">
        <v>1</v>
      </c>
      <c r="F19" s="141">
        <v>120</v>
      </c>
      <c r="G19" s="142"/>
      <c r="H19" s="142">
        <v>120</v>
      </c>
      <c r="I19" s="192">
        <v>13</v>
      </c>
      <c r="L19" s="41">
        <v>66</v>
      </c>
      <c r="M19" s="321">
        <f t="shared" si="1"/>
        <v>11724.39</v>
      </c>
      <c r="N19" s="321">
        <f t="shared" ref="N19:U19" si="17">SUMIFS($H:$H,$A:$A,"&lt;"&amp;O$1,$I:$I,$L19)</f>
        <v>0</v>
      </c>
      <c r="O19" s="321">
        <f t="shared" si="17"/>
        <v>0</v>
      </c>
      <c r="P19" s="321">
        <f t="shared" si="17"/>
        <v>0</v>
      </c>
      <c r="Q19" s="321">
        <f t="shared" si="17"/>
        <v>0</v>
      </c>
      <c r="R19" s="321">
        <f t="shared" si="17"/>
        <v>753.3900000000001</v>
      </c>
      <c r="S19" s="321">
        <f t="shared" si="17"/>
        <v>753.3900000000001</v>
      </c>
      <c r="T19" s="321">
        <f t="shared" si="17"/>
        <v>753.3900000000001</v>
      </c>
      <c r="U19" s="321">
        <f t="shared" si="17"/>
        <v>11724.39</v>
      </c>
    </row>
    <row r="20" spans="1:21" ht="15" x14ac:dyDescent="0.25">
      <c r="A20" s="188">
        <v>40774</v>
      </c>
      <c r="B20" s="35" t="s">
        <v>1324</v>
      </c>
      <c r="C20" t="s">
        <v>1317</v>
      </c>
      <c r="D20" t="s">
        <v>451</v>
      </c>
      <c r="E20" s="141">
        <v>1</v>
      </c>
      <c r="F20" s="141">
        <v>720</v>
      </c>
      <c r="G20" s="142"/>
      <c r="H20" s="142">
        <v>720</v>
      </c>
      <c r="I20" s="192">
        <v>13</v>
      </c>
      <c r="L20" s="41">
        <v>67</v>
      </c>
      <c r="M20" s="321">
        <f t="shared" si="1"/>
        <v>2865.1750000000002</v>
      </c>
      <c r="N20" s="321">
        <f t="shared" ref="N20:U20" si="18">SUMIFS($H:$H,$A:$A,"&lt;"&amp;O$1,$I:$I,$L20)</f>
        <v>0</v>
      </c>
      <c r="O20" s="321">
        <f t="shared" si="18"/>
        <v>0</v>
      </c>
      <c r="P20" s="321">
        <f t="shared" si="18"/>
        <v>0</v>
      </c>
      <c r="Q20" s="321">
        <f t="shared" si="18"/>
        <v>0</v>
      </c>
      <c r="R20" s="321">
        <f t="shared" si="18"/>
        <v>0</v>
      </c>
      <c r="S20" s="321">
        <f t="shared" si="18"/>
        <v>713.5</v>
      </c>
      <c r="T20" s="321">
        <f t="shared" si="18"/>
        <v>713.5</v>
      </c>
      <c r="U20" s="321">
        <f t="shared" si="18"/>
        <v>2865.1750000000002</v>
      </c>
    </row>
    <row r="21" spans="1:21" ht="15" x14ac:dyDescent="0.25">
      <c r="A21" s="188">
        <v>40781</v>
      </c>
      <c r="B21" s="35" t="s">
        <v>1325</v>
      </c>
      <c r="C21" t="s">
        <v>1317</v>
      </c>
      <c r="D21" t="s">
        <v>451</v>
      </c>
      <c r="E21" s="141">
        <v>1</v>
      </c>
      <c r="F21" s="141">
        <v>1080</v>
      </c>
      <c r="G21" s="142"/>
      <c r="H21" s="142">
        <v>1080</v>
      </c>
      <c r="I21" s="192">
        <v>13</v>
      </c>
      <c r="L21" s="41">
        <v>68</v>
      </c>
      <c r="M21" s="321">
        <f t="shared" si="1"/>
        <v>868.4</v>
      </c>
      <c r="N21" s="321">
        <f t="shared" ref="N21:U21" si="19">SUMIFS($H:$H,$A:$A,"&lt;"&amp;O$1,$I:$I,$L21)</f>
        <v>0</v>
      </c>
      <c r="O21" s="321">
        <f t="shared" si="19"/>
        <v>0</v>
      </c>
      <c r="P21" s="321">
        <f t="shared" si="19"/>
        <v>0</v>
      </c>
      <c r="Q21" s="321">
        <f t="shared" si="19"/>
        <v>0</v>
      </c>
      <c r="R21" s="321">
        <f t="shared" si="19"/>
        <v>0</v>
      </c>
      <c r="S21" s="321">
        <f t="shared" si="19"/>
        <v>0</v>
      </c>
      <c r="T21" s="321">
        <f t="shared" si="19"/>
        <v>0</v>
      </c>
      <c r="U21" s="321">
        <f t="shared" si="19"/>
        <v>868.4</v>
      </c>
    </row>
    <row r="22" spans="1:21" ht="30" x14ac:dyDescent="0.25">
      <c r="A22" s="188">
        <v>40812</v>
      </c>
      <c r="B22" s="35" t="s">
        <v>1326</v>
      </c>
      <c r="C22" t="s">
        <v>1308</v>
      </c>
      <c r="D22" t="s">
        <v>451</v>
      </c>
      <c r="E22" s="141">
        <v>1</v>
      </c>
      <c r="F22" s="141">
        <v>480</v>
      </c>
      <c r="G22" s="142"/>
      <c r="H22" s="142">
        <v>480</v>
      </c>
      <c r="I22" s="192">
        <v>13</v>
      </c>
      <c r="L22" s="41">
        <v>71</v>
      </c>
      <c r="M22" s="321">
        <f t="shared" si="1"/>
        <v>37066.600000000006</v>
      </c>
      <c r="N22" s="321">
        <f t="shared" ref="N22:U22" si="20">SUMIFS($H:$H,$A:$A,"&lt;"&amp;O$1,$I:$I,$L22)</f>
        <v>0</v>
      </c>
      <c r="O22" s="321">
        <f t="shared" si="20"/>
        <v>0</v>
      </c>
      <c r="P22" s="321">
        <f t="shared" si="20"/>
        <v>0</v>
      </c>
      <c r="Q22" s="321">
        <f t="shared" si="20"/>
        <v>1995.7999999999997</v>
      </c>
      <c r="R22" s="321">
        <f t="shared" si="20"/>
        <v>2580.2999999999997</v>
      </c>
      <c r="S22" s="321">
        <f t="shared" si="20"/>
        <v>3724.5</v>
      </c>
      <c r="T22" s="321">
        <f t="shared" si="20"/>
        <v>5024.5</v>
      </c>
      <c r="U22" s="321">
        <f t="shared" si="20"/>
        <v>37066.600000000006</v>
      </c>
    </row>
    <row r="23" spans="1:21" ht="15" x14ac:dyDescent="0.25">
      <c r="A23" s="188">
        <v>40816</v>
      </c>
      <c r="B23" s="35" t="s">
        <v>1327</v>
      </c>
      <c r="C23" t="s">
        <v>1308</v>
      </c>
      <c r="D23" t="s">
        <v>451</v>
      </c>
      <c r="E23" s="141">
        <v>1</v>
      </c>
      <c r="F23" s="141">
        <v>320</v>
      </c>
      <c r="G23" s="142"/>
      <c r="H23" s="142">
        <v>320</v>
      </c>
      <c r="I23" s="192">
        <v>13</v>
      </c>
      <c r="L23" s="41">
        <v>73</v>
      </c>
      <c r="M23" s="321">
        <f t="shared" si="1"/>
        <v>33676.900000000009</v>
      </c>
      <c r="N23" s="321">
        <f t="shared" ref="N23:U23" si="21">SUMIFS($H:$H,$A:$A,"&lt;"&amp;O$1,$I:$I,$L23)</f>
        <v>0</v>
      </c>
      <c r="O23" s="321">
        <f t="shared" si="21"/>
        <v>0</v>
      </c>
      <c r="P23" s="321">
        <f t="shared" si="21"/>
        <v>0</v>
      </c>
      <c r="Q23" s="321">
        <f t="shared" si="21"/>
        <v>0</v>
      </c>
      <c r="R23" s="321">
        <f t="shared" si="21"/>
        <v>16041.175000000001</v>
      </c>
      <c r="S23" s="321">
        <f t="shared" si="21"/>
        <v>18009.800000000007</v>
      </c>
      <c r="T23" s="321">
        <f t="shared" si="21"/>
        <v>31516.900000000009</v>
      </c>
      <c r="U23" s="321">
        <f t="shared" si="21"/>
        <v>33676.900000000009</v>
      </c>
    </row>
    <row r="24" spans="1:21" ht="15" x14ac:dyDescent="0.25">
      <c r="A24" s="189" t="s">
        <v>448</v>
      </c>
      <c r="B24" s="183" t="s">
        <v>1328</v>
      </c>
      <c r="C24" s="184" t="s">
        <v>448</v>
      </c>
      <c r="D24" s="184" t="s">
        <v>448</v>
      </c>
      <c r="E24" s="185"/>
      <c r="F24" s="185"/>
      <c r="G24" s="186"/>
      <c r="H24" s="186">
        <v>7650</v>
      </c>
      <c r="I24" s="193" t="s">
        <v>1767</v>
      </c>
      <c r="L24" s="41">
        <v>81</v>
      </c>
      <c r="M24" s="321">
        <f t="shared" si="1"/>
        <v>17494.82</v>
      </c>
      <c r="N24" s="321">
        <f t="shared" ref="N24:U24" si="22">SUMIFS($H:$H,$A:$A,"&lt;"&amp;O$1,$I:$I,$L24)</f>
        <v>0</v>
      </c>
      <c r="O24" s="321">
        <f t="shared" si="22"/>
        <v>0</v>
      </c>
      <c r="P24" s="321">
        <f t="shared" si="22"/>
        <v>157.56</v>
      </c>
      <c r="Q24" s="321">
        <f t="shared" si="22"/>
        <v>13194.42</v>
      </c>
      <c r="R24" s="321">
        <f t="shared" si="22"/>
        <v>13464.42</v>
      </c>
      <c r="S24" s="321">
        <f t="shared" si="22"/>
        <v>17494.82</v>
      </c>
      <c r="T24" s="321">
        <f t="shared" si="22"/>
        <v>17494.82</v>
      </c>
      <c r="U24" s="321">
        <f t="shared" si="22"/>
        <v>17494.82</v>
      </c>
    </row>
    <row r="25" spans="1:21" ht="15" x14ac:dyDescent="0.25">
      <c r="A25" s="188" t="s">
        <v>448</v>
      </c>
      <c r="B25" s="35" t="s">
        <v>448</v>
      </c>
      <c r="C25" t="s">
        <v>448</v>
      </c>
      <c r="D25" t="s">
        <v>448</v>
      </c>
      <c r="E25" s="141"/>
      <c r="F25" s="141"/>
      <c r="G25" s="142"/>
      <c r="H25" s="142"/>
      <c r="I25" s="191" t="s">
        <v>1767</v>
      </c>
      <c r="L25" s="41">
        <v>85</v>
      </c>
      <c r="M25" s="321">
        <f t="shared" si="1"/>
        <v>25120.690000000002</v>
      </c>
      <c r="N25" s="321">
        <f t="shared" ref="N25:U25" si="23">SUMIFS($H:$H,$A:$A,"&lt;"&amp;O$1,$I:$I,$L25)</f>
        <v>0</v>
      </c>
      <c r="O25" s="321">
        <f t="shared" si="23"/>
        <v>0</v>
      </c>
      <c r="P25" s="321">
        <f t="shared" si="23"/>
        <v>0</v>
      </c>
      <c r="Q25" s="321">
        <f t="shared" si="23"/>
        <v>4000</v>
      </c>
      <c r="R25" s="321">
        <f t="shared" si="23"/>
        <v>13197.58</v>
      </c>
      <c r="S25" s="321">
        <f t="shared" si="23"/>
        <v>24799.29</v>
      </c>
      <c r="T25" s="321">
        <f t="shared" si="23"/>
        <v>25120.690000000002</v>
      </c>
      <c r="U25" s="321">
        <f t="shared" si="23"/>
        <v>25120.690000000002</v>
      </c>
    </row>
    <row r="26" spans="1:21" ht="15" x14ac:dyDescent="0.25">
      <c r="A26" s="187" t="s">
        <v>448</v>
      </c>
      <c r="B26" s="29" t="s">
        <v>1811</v>
      </c>
      <c r="C26" s="27" t="s">
        <v>448</v>
      </c>
      <c r="D26" s="27" t="s">
        <v>448</v>
      </c>
      <c r="E26" s="181"/>
      <c r="F26" s="181"/>
      <c r="G26" s="182"/>
      <c r="H26" s="182"/>
      <c r="I26" s="140" t="s">
        <v>1767</v>
      </c>
      <c r="L26" s="41">
        <v>95</v>
      </c>
      <c r="M26" s="321">
        <f t="shared" si="1"/>
        <v>145242.12000000005</v>
      </c>
      <c r="N26" s="321">
        <f t="shared" ref="N26:U26" si="24">SUMIFS($H:$H,$A:$A,"&lt;"&amp;O$1,$I:$I,$L26)</f>
        <v>0</v>
      </c>
      <c r="O26" s="321">
        <f t="shared" si="24"/>
        <v>29539.91</v>
      </c>
      <c r="P26" s="321">
        <f t="shared" si="24"/>
        <v>62560.92</v>
      </c>
      <c r="Q26" s="321">
        <f t="shared" si="24"/>
        <v>63546.92</v>
      </c>
      <c r="R26" s="321">
        <f t="shared" si="24"/>
        <v>65136.92</v>
      </c>
      <c r="S26" s="321">
        <f t="shared" si="24"/>
        <v>138951.91999999998</v>
      </c>
      <c r="T26" s="321">
        <f t="shared" si="24"/>
        <v>139556.12000000005</v>
      </c>
      <c r="U26" s="321">
        <f t="shared" si="24"/>
        <v>145242.12000000005</v>
      </c>
    </row>
    <row r="27" spans="1:21" x14ac:dyDescent="0.65">
      <c r="A27" s="188">
        <v>40737</v>
      </c>
      <c r="B27" s="35" t="s">
        <v>1329</v>
      </c>
      <c r="C27" t="s">
        <v>1330</v>
      </c>
      <c r="D27" t="s">
        <v>451</v>
      </c>
      <c r="E27" s="141">
        <v>1</v>
      </c>
      <c r="F27" s="141">
        <v>130</v>
      </c>
      <c r="G27" s="142"/>
      <c r="H27" s="142">
        <v>130</v>
      </c>
      <c r="I27" s="192">
        <v>15</v>
      </c>
      <c r="L27" s="41">
        <v>103</v>
      </c>
      <c r="M27" s="321">
        <f t="shared" si="1"/>
        <v>8325</v>
      </c>
      <c r="N27" s="321">
        <f t="shared" ref="N27:U27" si="25">SUMIFS($H:$H,$A:$A,"&lt;"&amp;O$1,$I:$I,$L27)</f>
        <v>0</v>
      </c>
      <c r="O27" s="321">
        <f t="shared" si="25"/>
        <v>2320</v>
      </c>
      <c r="P27" s="321">
        <f t="shared" si="25"/>
        <v>2905</v>
      </c>
      <c r="Q27" s="321">
        <f t="shared" si="25"/>
        <v>2905</v>
      </c>
      <c r="R27" s="321">
        <f t="shared" si="25"/>
        <v>8135</v>
      </c>
      <c r="S27" s="321">
        <f t="shared" si="25"/>
        <v>8135</v>
      </c>
      <c r="T27" s="321">
        <f t="shared" si="25"/>
        <v>8135</v>
      </c>
      <c r="U27" s="321">
        <f t="shared" si="25"/>
        <v>8325</v>
      </c>
    </row>
    <row r="28" spans="1:21" x14ac:dyDescent="0.65">
      <c r="A28" s="188">
        <v>40795</v>
      </c>
      <c r="B28" s="35" t="s">
        <v>1331</v>
      </c>
      <c r="C28" t="s">
        <v>1330</v>
      </c>
      <c r="D28" t="s">
        <v>451</v>
      </c>
      <c r="E28" s="141">
        <v>6</v>
      </c>
      <c r="F28" s="141">
        <v>130</v>
      </c>
      <c r="G28" s="142"/>
      <c r="H28" s="142">
        <v>780</v>
      </c>
      <c r="I28" s="192">
        <v>15</v>
      </c>
      <c r="L28" s="41">
        <v>111</v>
      </c>
      <c r="M28" s="321">
        <f t="shared" si="1"/>
        <v>40668.489999999983</v>
      </c>
      <c r="N28" s="321">
        <f t="shared" ref="N28:U28" si="26">SUMIFS($H:$H,$A:$A,"&lt;"&amp;O$1,$I:$I,$L28)</f>
        <v>0</v>
      </c>
      <c r="O28" s="321">
        <f t="shared" si="26"/>
        <v>0</v>
      </c>
      <c r="P28" s="321">
        <f t="shared" si="26"/>
        <v>13375</v>
      </c>
      <c r="Q28" s="321">
        <f t="shared" si="26"/>
        <v>34451.339999999997</v>
      </c>
      <c r="R28" s="321">
        <f t="shared" si="26"/>
        <v>34631.339999999997</v>
      </c>
      <c r="S28" s="321">
        <f t="shared" si="26"/>
        <v>37173.589999999997</v>
      </c>
      <c r="T28" s="321">
        <f t="shared" si="26"/>
        <v>39337.689999999981</v>
      </c>
      <c r="U28" s="321">
        <f t="shared" si="26"/>
        <v>40668.489999999983</v>
      </c>
    </row>
    <row r="29" spans="1:21" x14ac:dyDescent="0.65">
      <c r="A29" s="188">
        <v>40847</v>
      </c>
      <c r="B29" s="35" t="s">
        <v>1332</v>
      </c>
      <c r="C29" t="s">
        <v>1308</v>
      </c>
      <c r="D29" t="s">
        <v>451</v>
      </c>
      <c r="E29" s="141">
        <v>1.5</v>
      </c>
      <c r="F29" s="141">
        <v>130</v>
      </c>
      <c r="G29" s="142"/>
      <c r="H29" s="142">
        <v>195</v>
      </c>
      <c r="I29" s="192">
        <v>15</v>
      </c>
      <c r="L29" s="41">
        <v>112</v>
      </c>
      <c r="M29" s="321">
        <f t="shared" si="1"/>
        <v>150</v>
      </c>
      <c r="N29" s="321">
        <f t="shared" ref="N29:U29" si="27">SUMIFS($H:$H,$A:$A,"&lt;"&amp;O$1,$I:$I,$L29)</f>
        <v>0</v>
      </c>
      <c r="O29" s="321">
        <f t="shared" si="27"/>
        <v>0</v>
      </c>
      <c r="P29" s="321">
        <f t="shared" si="27"/>
        <v>0</v>
      </c>
      <c r="Q29" s="321">
        <f t="shared" si="27"/>
        <v>0</v>
      </c>
      <c r="R29" s="321">
        <f t="shared" si="27"/>
        <v>0</v>
      </c>
      <c r="S29" s="321">
        <f t="shared" si="27"/>
        <v>0</v>
      </c>
      <c r="T29" s="321">
        <f t="shared" si="27"/>
        <v>0</v>
      </c>
      <c r="U29" s="321">
        <f t="shared" si="27"/>
        <v>150</v>
      </c>
    </row>
    <row r="30" spans="1:21" x14ac:dyDescent="0.65">
      <c r="A30" s="189" t="s">
        <v>448</v>
      </c>
      <c r="B30" s="183" t="s">
        <v>1333</v>
      </c>
      <c r="C30" s="184" t="s">
        <v>448</v>
      </c>
      <c r="D30" s="184" t="s">
        <v>448</v>
      </c>
      <c r="E30" s="185"/>
      <c r="F30" s="185"/>
      <c r="G30" s="186"/>
      <c r="H30" s="186">
        <v>1105</v>
      </c>
      <c r="I30" s="193" t="s">
        <v>1767</v>
      </c>
      <c r="L30" s="41">
        <v>113</v>
      </c>
      <c r="M30" s="321">
        <f t="shared" si="1"/>
        <v>84469.434999999998</v>
      </c>
      <c r="N30" s="321">
        <f t="shared" ref="N30:U30" si="28">SUMIFS($H:$H,$A:$A,"&lt;"&amp;O$1,$I:$I,$L30)</f>
        <v>0</v>
      </c>
      <c r="O30" s="321">
        <f t="shared" si="28"/>
        <v>0</v>
      </c>
      <c r="P30" s="321">
        <f t="shared" si="28"/>
        <v>0</v>
      </c>
      <c r="Q30" s="321">
        <f t="shared" si="28"/>
        <v>1705.425</v>
      </c>
      <c r="R30" s="321">
        <f t="shared" si="28"/>
        <v>12625.424999999999</v>
      </c>
      <c r="S30" s="321">
        <f t="shared" si="28"/>
        <v>29136.824999999997</v>
      </c>
      <c r="T30" s="321">
        <f t="shared" si="28"/>
        <v>84469.434999999998</v>
      </c>
      <c r="U30" s="321">
        <f t="shared" si="28"/>
        <v>84469.434999999998</v>
      </c>
    </row>
    <row r="31" spans="1:21" x14ac:dyDescent="0.65">
      <c r="A31" s="188" t="s">
        <v>448</v>
      </c>
      <c r="B31" s="35" t="s">
        <v>448</v>
      </c>
      <c r="C31" t="s">
        <v>448</v>
      </c>
      <c r="D31" t="s">
        <v>448</v>
      </c>
      <c r="E31" s="141"/>
      <c r="F31" s="141"/>
      <c r="G31" s="142"/>
      <c r="H31" s="142"/>
      <c r="I31" s="191" t="s">
        <v>1767</v>
      </c>
      <c r="L31" s="41">
        <v>121</v>
      </c>
      <c r="M31" s="321">
        <f t="shared" si="1"/>
        <v>7800</v>
      </c>
      <c r="N31" s="321">
        <f t="shared" ref="N31:U31" si="29">SUMIFS($H:$H,$A:$A,"&lt;"&amp;O$1,$I:$I,$L31)</f>
        <v>0</v>
      </c>
      <c r="O31" s="321">
        <f t="shared" si="29"/>
        <v>0</v>
      </c>
      <c r="P31" s="321">
        <f t="shared" si="29"/>
        <v>0</v>
      </c>
      <c r="Q31" s="321">
        <f t="shared" si="29"/>
        <v>0</v>
      </c>
      <c r="R31" s="321">
        <f t="shared" si="29"/>
        <v>0</v>
      </c>
      <c r="S31" s="321">
        <f t="shared" si="29"/>
        <v>0</v>
      </c>
      <c r="T31" s="321">
        <f t="shared" si="29"/>
        <v>0</v>
      </c>
      <c r="U31" s="321">
        <f t="shared" si="29"/>
        <v>7800</v>
      </c>
    </row>
    <row r="32" spans="1:21" x14ac:dyDescent="0.65">
      <c r="A32" s="187" t="s">
        <v>448</v>
      </c>
      <c r="B32" s="29" t="s">
        <v>1812</v>
      </c>
      <c r="C32" s="27" t="s">
        <v>448</v>
      </c>
      <c r="D32" s="27" t="s">
        <v>448</v>
      </c>
      <c r="E32" s="181"/>
      <c r="F32" s="181"/>
      <c r="G32" s="182"/>
      <c r="H32" s="182"/>
      <c r="I32" s="140" t="s">
        <v>1767</v>
      </c>
      <c r="L32" s="41">
        <v>131</v>
      </c>
      <c r="M32" s="321">
        <f t="shared" si="1"/>
        <v>63042.17</v>
      </c>
      <c r="N32" s="321">
        <f t="shared" ref="N32:U32" si="30">SUMIFS($H:$H,$A:$A,"&lt;"&amp;O$1,$I:$I,$L32)</f>
        <v>0</v>
      </c>
      <c r="O32" s="321">
        <f t="shared" si="30"/>
        <v>0</v>
      </c>
      <c r="P32" s="321">
        <f t="shared" si="30"/>
        <v>0</v>
      </c>
      <c r="Q32" s="321">
        <f t="shared" si="30"/>
        <v>0</v>
      </c>
      <c r="R32" s="321">
        <f t="shared" si="30"/>
        <v>1680.35</v>
      </c>
      <c r="S32" s="321">
        <f t="shared" si="30"/>
        <v>1680.35</v>
      </c>
      <c r="T32" s="321">
        <f t="shared" si="30"/>
        <v>1963.53</v>
      </c>
      <c r="U32" s="321">
        <f t="shared" si="30"/>
        <v>63042.17</v>
      </c>
    </row>
    <row r="33" spans="1:21" x14ac:dyDescent="0.65">
      <c r="A33" s="188">
        <v>40682</v>
      </c>
      <c r="B33" s="35" t="s">
        <v>7</v>
      </c>
      <c r="C33" t="s">
        <v>7</v>
      </c>
      <c r="D33" t="s">
        <v>18</v>
      </c>
      <c r="E33" s="141">
        <v>9.5</v>
      </c>
      <c r="F33" s="141">
        <v>39.39</v>
      </c>
      <c r="G33" s="142"/>
      <c r="H33" s="142">
        <v>374.20499999999998</v>
      </c>
      <c r="I33" s="192">
        <v>21</v>
      </c>
      <c r="L33" s="41">
        <v>134</v>
      </c>
      <c r="M33" s="321">
        <f t="shared" si="1"/>
        <v>708.3</v>
      </c>
      <c r="N33" s="321">
        <f t="shared" ref="N33:U33" si="31">SUMIFS($H:$H,$A:$A,"&lt;"&amp;O$1,$I:$I,$L33)</f>
        <v>0</v>
      </c>
      <c r="O33" s="321">
        <f t="shared" si="31"/>
        <v>0</v>
      </c>
      <c r="P33" s="321">
        <f t="shared" si="31"/>
        <v>0</v>
      </c>
      <c r="Q33" s="321">
        <f t="shared" si="31"/>
        <v>0</v>
      </c>
      <c r="R33" s="321">
        <f t="shared" si="31"/>
        <v>0</v>
      </c>
      <c r="S33" s="321">
        <f t="shared" si="31"/>
        <v>0</v>
      </c>
      <c r="T33" s="321">
        <f t="shared" si="31"/>
        <v>0</v>
      </c>
      <c r="U33" s="321">
        <f t="shared" si="31"/>
        <v>708.3</v>
      </c>
    </row>
    <row r="34" spans="1:21" x14ac:dyDescent="0.65">
      <c r="A34" s="188">
        <v>40682</v>
      </c>
      <c r="B34" s="35" t="s">
        <v>1334</v>
      </c>
      <c r="C34" t="s">
        <v>1335</v>
      </c>
      <c r="D34" t="s">
        <v>18</v>
      </c>
      <c r="E34" s="141">
        <v>9</v>
      </c>
      <c r="F34" s="141">
        <v>135</v>
      </c>
      <c r="G34" s="142"/>
      <c r="H34" s="142">
        <v>1215</v>
      </c>
      <c r="I34" s="192">
        <v>21</v>
      </c>
      <c r="L34" s="41">
        <v>141</v>
      </c>
      <c r="M34" s="321">
        <f t="shared" si="1"/>
        <v>14798.475</v>
      </c>
      <c r="N34" s="321">
        <f t="shared" ref="N34:U34" si="32">SUMIFS($H:$H,$A:$A,"&lt;"&amp;O$1,$I:$I,$L34)</f>
        <v>0</v>
      </c>
      <c r="O34" s="321">
        <f t="shared" si="32"/>
        <v>0</v>
      </c>
      <c r="P34" s="321">
        <f t="shared" si="32"/>
        <v>0</v>
      </c>
      <c r="Q34" s="321">
        <f t="shared" si="32"/>
        <v>0</v>
      </c>
      <c r="R34" s="321">
        <f t="shared" si="32"/>
        <v>1485.6999999999998</v>
      </c>
      <c r="S34" s="321">
        <f t="shared" si="32"/>
        <v>4892</v>
      </c>
      <c r="T34" s="321">
        <f t="shared" si="32"/>
        <v>6323.6750000000011</v>
      </c>
      <c r="U34" s="321">
        <f t="shared" si="32"/>
        <v>14798.475</v>
      </c>
    </row>
    <row r="35" spans="1:21" x14ac:dyDescent="0.65">
      <c r="A35" s="188">
        <v>40683</v>
      </c>
      <c r="B35" s="35" t="s">
        <v>7</v>
      </c>
      <c r="C35" t="s">
        <v>7</v>
      </c>
      <c r="D35" t="s">
        <v>18</v>
      </c>
      <c r="E35" s="141">
        <v>8.5</v>
      </c>
      <c r="F35" s="141">
        <v>39.39</v>
      </c>
      <c r="G35" s="142"/>
      <c r="H35" s="142">
        <v>334.815</v>
      </c>
      <c r="I35" s="192">
        <v>21</v>
      </c>
      <c r="L35" s="41">
        <v>142</v>
      </c>
      <c r="M35" s="321">
        <f t="shared" si="1"/>
        <v>4339.41</v>
      </c>
      <c r="N35" s="321">
        <f t="shared" ref="N35:U35" si="33">SUMIFS($H:$H,$A:$A,"&lt;"&amp;O$1,$I:$I,$L35)</f>
        <v>0</v>
      </c>
      <c r="O35" s="321">
        <f t="shared" si="33"/>
        <v>0</v>
      </c>
      <c r="P35" s="321">
        <f t="shared" si="33"/>
        <v>0</v>
      </c>
      <c r="Q35" s="321">
        <f t="shared" si="33"/>
        <v>0</v>
      </c>
      <c r="R35" s="321">
        <f t="shared" si="33"/>
        <v>1454.11</v>
      </c>
      <c r="S35" s="321">
        <f t="shared" si="33"/>
        <v>1454.11</v>
      </c>
      <c r="T35" s="321">
        <f t="shared" si="33"/>
        <v>4339.41</v>
      </c>
      <c r="U35" s="321">
        <f t="shared" si="33"/>
        <v>4339.41</v>
      </c>
    </row>
    <row r="36" spans="1:21" x14ac:dyDescent="0.65">
      <c r="A36" s="188">
        <v>40683</v>
      </c>
      <c r="B36" s="35" t="s">
        <v>1336</v>
      </c>
      <c r="C36" t="s">
        <v>1337</v>
      </c>
      <c r="D36" t="s">
        <v>18</v>
      </c>
      <c r="E36" s="141">
        <v>9.5</v>
      </c>
      <c r="F36" s="141">
        <v>95</v>
      </c>
      <c r="G36" s="142"/>
      <c r="H36" s="142">
        <v>902.5</v>
      </c>
      <c r="I36" s="192">
        <v>21</v>
      </c>
      <c r="L36" s="41">
        <v>151</v>
      </c>
      <c r="M36" s="321">
        <f t="shared" si="1"/>
        <v>177.255</v>
      </c>
      <c r="N36" s="321">
        <f t="shared" ref="N36:U36" si="34">SUMIFS($H:$H,$A:$A,"&lt;"&amp;O$1,$I:$I,$L36)</f>
        <v>0</v>
      </c>
      <c r="O36" s="321">
        <f t="shared" si="34"/>
        <v>0</v>
      </c>
      <c r="P36" s="321">
        <f t="shared" si="34"/>
        <v>177.255</v>
      </c>
      <c r="Q36" s="321">
        <f t="shared" si="34"/>
        <v>177.255</v>
      </c>
      <c r="R36" s="321">
        <f t="shared" si="34"/>
        <v>177.255</v>
      </c>
      <c r="S36" s="321">
        <f t="shared" si="34"/>
        <v>177.255</v>
      </c>
      <c r="T36" s="321">
        <f t="shared" si="34"/>
        <v>177.255</v>
      </c>
      <c r="U36" s="321">
        <f t="shared" si="34"/>
        <v>177.255</v>
      </c>
    </row>
    <row r="37" spans="1:21" x14ac:dyDescent="0.65">
      <c r="A37" s="188">
        <v>40683</v>
      </c>
      <c r="B37" s="35" t="s">
        <v>1336</v>
      </c>
      <c r="C37" t="s">
        <v>1338</v>
      </c>
      <c r="D37" t="s">
        <v>18</v>
      </c>
      <c r="E37" s="141">
        <v>9.5</v>
      </c>
      <c r="F37" s="141">
        <v>95</v>
      </c>
      <c r="G37" s="142"/>
      <c r="H37" s="142">
        <v>902.5</v>
      </c>
      <c r="I37" s="192">
        <v>21</v>
      </c>
      <c r="L37" s="41">
        <v>152</v>
      </c>
      <c r="M37" s="321">
        <f t="shared" si="1"/>
        <v>2805.915</v>
      </c>
      <c r="N37" s="321">
        <f t="shared" ref="N37:U37" si="35">SUMIFS($H:$H,$A:$A,"&lt;"&amp;O$1,$I:$I,$L37)</f>
        <v>0</v>
      </c>
      <c r="O37" s="321">
        <f t="shared" si="35"/>
        <v>590.85</v>
      </c>
      <c r="P37" s="321">
        <f t="shared" si="35"/>
        <v>1343.8500000000001</v>
      </c>
      <c r="Q37" s="321">
        <f t="shared" si="35"/>
        <v>1931.2749999999999</v>
      </c>
      <c r="R37" s="321">
        <f t="shared" si="35"/>
        <v>2805.915</v>
      </c>
      <c r="S37" s="321">
        <f t="shared" si="35"/>
        <v>2805.915</v>
      </c>
      <c r="T37" s="321">
        <f t="shared" si="35"/>
        <v>2805.915</v>
      </c>
      <c r="U37" s="321">
        <f t="shared" si="35"/>
        <v>2805.915</v>
      </c>
    </row>
    <row r="38" spans="1:21" x14ac:dyDescent="0.65">
      <c r="A38" s="188">
        <v>40683</v>
      </c>
      <c r="B38" s="35" t="s">
        <v>1334</v>
      </c>
      <c r="C38" t="s">
        <v>1335</v>
      </c>
      <c r="D38" t="s">
        <v>18</v>
      </c>
      <c r="E38" s="141">
        <v>9</v>
      </c>
      <c r="F38" s="141">
        <v>135</v>
      </c>
      <c r="G38" s="142"/>
      <c r="H38" s="142">
        <v>1215</v>
      </c>
      <c r="I38" s="192">
        <v>21</v>
      </c>
      <c r="L38" s="41">
        <v>221</v>
      </c>
      <c r="M38" s="321">
        <f t="shared" si="1"/>
        <v>491.47</v>
      </c>
      <c r="N38" s="321">
        <f t="shared" ref="N38:U38" si="36">SUMIFS($H:$H,$A:$A,"&lt;"&amp;O$1,$I:$I,$L38)</f>
        <v>0</v>
      </c>
      <c r="O38" s="321">
        <f t="shared" si="36"/>
        <v>0</v>
      </c>
      <c r="P38" s="321">
        <f t="shared" si="36"/>
        <v>0</v>
      </c>
      <c r="Q38" s="321">
        <f t="shared" si="36"/>
        <v>0</v>
      </c>
      <c r="R38" s="321">
        <f t="shared" si="36"/>
        <v>0</v>
      </c>
      <c r="S38" s="321">
        <f t="shared" si="36"/>
        <v>0</v>
      </c>
      <c r="T38" s="321">
        <f t="shared" si="36"/>
        <v>0</v>
      </c>
      <c r="U38" s="321">
        <f t="shared" si="36"/>
        <v>491.47</v>
      </c>
    </row>
    <row r="39" spans="1:21" x14ac:dyDescent="0.65">
      <c r="A39" s="188">
        <v>40683</v>
      </c>
      <c r="B39" s="35" t="s">
        <v>1339</v>
      </c>
      <c r="C39" t="s">
        <v>1340</v>
      </c>
      <c r="D39" t="s">
        <v>98</v>
      </c>
      <c r="E39" s="141">
        <v>1</v>
      </c>
      <c r="F39" s="141">
        <v>89</v>
      </c>
      <c r="G39" s="142"/>
      <c r="H39" s="142">
        <v>89</v>
      </c>
      <c r="I39" s="192">
        <v>21</v>
      </c>
      <c r="L39" s="41">
        <v>901</v>
      </c>
      <c r="M39" s="321">
        <f t="shared" si="1"/>
        <v>2727.54</v>
      </c>
      <c r="N39" s="321">
        <f t="shared" ref="N39:U39" si="37">SUMIFS($H:$H,$A:$A,"&lt;"&amp;O$1,$I:$I,$L39)</f>
        <v>342.19000000000005</v>
      </c>
      <c r="O39" s="321">
        <f t="shared" si="37"/>
        <v>1035.5</v>
      </c>
      <c r="P39" s="321">
        <f t="shared" si="37"/>
        <v>2025.5</v>
      </c>
      <c r="Q39" s="321">
        <f t="shared" si="37"/>
        <v>2340.5</v>
      </c>
      <c r="R39" s="321">
        <f t="shared" si="37"/>
        <v>2727.54</v>
      </c>
      <c r="S39" s="321">
        <f t="shared" si="37"/>
        <v>2727.54</v>
      </c>
      <c r="T39" s="321">
        <f t="shared" si="37"/>
        <v>2727.54</v>
      </c>
      <c r="U39" s="321">
        <f t="shared" si="37"/>
        <v>2727.54</v>
      </c>
    </row>
    <row r="40" spans="1:21" x14ac:dyDescent="0.65">
      <c r="A40" s="188">
        <v>40684</v>
      </c>
      <c r="B40" s="35" t="s">
        <v>1336</v>
      </c>
      <c r="C40" t="s">
        <v>1338</v>
      </c>
      <c r="D40" t="s">
        <v>18</v>
      </c>
      <c r="E40" s="141">
        <v>2</v>
      </c>
      <c r="F40" s="141">
        <v>95</v>
      </c>
      <c r="G40" s="142"/>
      <c r="H40" s="142">
        <v>190</v>
      </c>
      <c r="I40" s="192">
        <v>21</v>
      </c>
      <c r="L40" s="41">
        <v>902</v>
      </c>
      <c r="M40" s="321">
        <f t="shared" si="1"/>
        <v>84084.97500000002</v>
      </c>
      <c r="N40" s="321">
        <f t="shared" ref="N40:U40" si="38">SUMIFS($H:$H,$A:$A,"&lt;"&amp;O$1,$I:$I,$L40)</f>
        <v>1723.44</v>
      </c>
      <c r="O40" s="321">
        <f t="shared" si="38"/>
        <v>14752.419999999996</v>
      </c>
      <c r="P40" s="321">
        <f t="shared" si="38"/>
        <v>29150.32499999999</v>
      </c>
      <c r="Q40" s="321">
        <f t="shared" si="38"/>
        <v>45989.769999999982</v>
      </c>
      <c r="R40" s="321">
        <f t="shared" si="38"/>
        <v>62865.119999999959</v>
      </c>
      <c r="S40" s="321">
        <f t="shared" si="38"/>
        <v>78771.035000000018</v>
      </c>
      <c r="T40" s="321">
        <f t="shared" si="38"/>
        <v>81894.770000000033</v>
      </c>
      <c r="U40" s="321">
        <f t="shared" si="38"/>
        <v>84084.97500000002</v>
      </c>
    </row>
    <row r="41" spans="1:21" x14ac:dyDescent="0.65">
      <c r="A41" s="188">
        <v>40684</v>
      </c>
      <c r="B41" s="35" t="s">
        <v>1334</v>
      </c>
      <c r="C41" t="s">
        <v>1335</v>
      </c>
      <c r="D41" t="s">
        <v>18</v>
      </c>
      <c r="E41" s="141">
        <v>2</v>
      </c>
      <c r="F41" s="141">
        <v>135</v>
      </c>
      <c r="G41" s="142"/>
      <c r="H41" s="142">
        <v>270</v>
      </c>
      <c r="I41" s="192">
        <v>21</v>
      </c>
      <c r="L41" s="41">
        <v>903</v>
      </c>
      <c r="M41" s="321">
        <f t="shared" si="1"/>
        <v>16883.860000000004</v>
      </c>
      <c r="N41" s="321">
        <f t="shared" ref="N41:U41" si="39">SUMIFS($H:$H,$A:$A,"&lt;"&amp;O$1,$I:$I,$L41)</f>
        <v>0</v>
      </c>
      <c r="O41" s="321">
        <f t="shared" si="39"/>
        <v>3200</v>
      </c>
      <c r="P41" s="321">
        <f t="shared" si="39"/>
        <v>5655.5800000000017</v>
      </c>
      <c r="Q41" s="321">
        <f t="shared" si="39"/>
        <v>6907.7400000000016</v>
      </c>
      <c r="R41" s="321">
        <f t="shared" si="39"/>
        <v>10075.240000000003</v>
      </c>
      <c r="S41" s="321">
        <f t="shared" si="39"/>
        <v>10310.440000000004</v>
      </c>
      <c r="T41" s="321">
        <f t="shared" si="39"/>
        <v>15568.750000000005</v>
      </c>
      <c r="U41" s="321">
        <f t="shared" si="39"/>
        <v>16883.860000000004</v>
      </c>
    </row>
    <row r="42" spans="1:21" x14ac:dyDescent="0.65">
      <c r="A42" s="188">
        <v>40684</v>
      </c>
      <c r="B42" s="35" t="s">
        <v>1336</v>
      </c>
      <c r="C42" t="s">
        <v>1337</v>
      </c>
      <c r="D42" t="s">
        <v>18</v>
      </c>
      <c r="E42" s="141">
        <v>2</v>
      </c>
      <c r="F42" s="141">
        <v>95</v>
      </c>
      <c r="G42" s="142"/>
      <c r="H42" s="142">
        <v>190</v>
      </c>
      <c r="I42" s="192">
        <v>21</v>
      </c>
      <c r="L42" s="41">
        <v>904</v>
      </c>
      <c r="M42" s="321">
        <f t="shared" si="1"/>
        <v>18188.800000000003</v>
      </c>
      <c r="N42" s="321">
        <f t="shared" ref="N42:U42" si="40">SUMIFS($H:$H,$A:$A,"&lt;"&amp;O$1,$I:$I,$L42)</f>
        <v>5968.45</v>
      </c>
      <c r="O42" s="321">
        <f t="shared" si="40"/>
        <v>16540.170000000002</v>
      </c>
      <c r="P42" s="321">
        <f t="shared" si="40"/>
        <v>17953.640000000003</v>
      </c>
      <c r="Q42" s="321">
        <f t="shared" si="40"/>
        <v>18142.960000000003</v>
      </c>
      <c r="R42" s="321">
        <f t="shared" si="40"/>
        <v>18188.800000000003</v>
      </c>
      <c r="S42" s="321">
        <f t="shared" si="40"/>
        <v>18188.800000000003</v>
      </c>
      <c r="T42" s="321">
        <f t="shared" si="40"/>
        <v>18188.800000000003</v>
      </c>
      <c r="U42" s="321">
        <f t="shared" si="40"/>
        <v>18188.800000000003</v>
      </c>
    </row>
    <row r="43" spans="1:21" x14ac:dyDescent="0.65">
      <c r="A43" s="188">
        <v>40684</v>
      </c>
      <c r="B43" s="35" t="s">
        <v>7</v>
      </c>
      <c r="C43" t="s">
        <v>7</v>
      </c>
      <c r="D43" t="s">
        <v>18</v>
      </c>
      <c r="E43" s="141">
        <v>1</v>
      </c>
      <c r="F43" s="141">
        <v>39.39</v>
      </c>
      <c r="G43" s="142"/>
      <c r="H43" s="142">
        <v>39.39</v>
      </c>
      <c r="I43" s="192">
        <v>21</v>
      </c>
      <c r="L43" s="41">
        <v>905</v>
      </c>
      <c r="M43" s="321">
        <f t="shared" si="1"/>
        <v>4558.8360000000011</v>
      </c>
      <c r="N43" s="321">
        <f t="shared" ref="N43:U43" si="41">SUMIFS($H:$H,$A:$A,"&lt;"&amp;O$1,$I:$I,$L43)</f>
        <v>0</v>
      </c>
      <c r="O43" s="321">
        <f t="shared" si="41"/>
        <v>98</v>
      </c>
      <c r="P43" s="321">
        <f t="shared" si="41"/>
        <v>2503.9360000000001</v>
      </c>
      <c r="Q43" s="321">
        <f t="shared" si="41"/>
        <v>3037.0059999999999</v>
      </c>
      <c r="R43" s="321">
        <f t="shared" si="41"/>
        <v>4319.6960000000008</v>
      </c>
      <c r="S43" s="321">
        <f t="shared" si="41"/>
        <v>4374.1560000000009</v>
      </c>
      <c r="T43" s="321">
        <f t="shared" si="41"/>
        <v>4428.6060000000007</v>
      </c>
      <c r="U43" s="321">
        <f t="shared" si="41"/>
        <v>4558.8360000000011</v>
      </c>
    </row>
    <row r="44" spans="1:21" x14ac:dyDescent="0.65">
      <c r="A44" s="188">
        <v>40690</v>
      </c>
      <c r="B44" s="35" t="s">
        <v>1334</v>
      </c>
      <c r="C44" t="s">
        <v>1335</v>
      </c>
      <c r="D44" t="s">
        <v>18</v>
      </c>
      <c r="E44" s="141">
        <v>5.5</v>
      </c>
      <c r="F44" s="141">
        <v>135</v>
      </c>
      <c r="G44" s="142"/>
      <c r="H44" s="142">
        <v>742.5</v>
      </c>
      <c r="I44" s="192">
        <v>21</v>
      </c>
      <c r="L44" s="41">
        <v>907</v>
      </c>
      <c r="M44" s="321">
        <f t="shared" si="1"/>
        <v>8728.3600000000024</v>
      </c>
      <c r="N44" s="321">
        <f t="shared" ref="N44:U44" si="42">SUMIFS($H:$H,$A:$A,"&lt;"&amp;O$1,$I:$I,$L44)</f>
        <v>0</v>
      </c>
      <c r="O44" s="321">
        <f t="shared" si="42"/>
        <v>2425.73</v>
      </c>
      <c r="P44" s="321">
        <f t="shared" si="42"/>
        <v>4334.7800000000007</v>
      </c>
      <c r="Q44" s="321">
        <f t="shared" si="42"/>
        <v>4334.7800000000007</v>
      </c>
      <c r="R44" s="321">
        <f t="shared" si="42"/>
        <v>4594.7800000000007</v>
      </c>
      <c r="S44" s="321">
        <f t="shared" si="42"/>
        <v>4594.7800000000007</v>
      </c>
      <c r="T44" s="321">
        <f t="shared" si="42"/>
        <v>8228.3600000000024</v>
      </c>
      <c r="U44" s="321">
        <f t="shared" si="42"/>
        <v>8728.3600000000024</v>
      </c>
    </row>
    <row r="45" spans="1:21" x14ac:dyDescent="0.65">
      <c r="A45" s="188">
        <v>40690</v>
      </c>
      <c r="B45" s="35" t="s">
        <v>7</v>
      </c>
      <c r="C45" t="s">
        <v>7</v>
      </c>
      <c r="D45" t="s">
        <v>18</v>
      </c>
      <c r="E45" s="141">
        <v>1</v>
      </c>
      <c r="F45" s="141">
        <v>39.39</v>
      </c>
      <c r="G45" s="142"/>
      <c r="H45" s="142">
        <v>39.39</v>
      </c>
      <c r="I45" s="192">
        <v>21</v>
      </c>
      <c r="L45" s="41">
        <v>910</v>
      </c>
      <c r="M45" s="321">
        <f t="shared" si="1"/>
        <v>3874.9</v>
      </c>
      <c r="N45" s="321">
        <f t="shared" ref="N45:U45" si="43">SUMIFS($H:$H,$A:$A,"&lt;"&amp;O$1,$I:$I,$L45)</f>
        <v>0</v>
      </c>
      <c r="O45" s="321">
        <f t="shared" si="43"/>
        <v>0</v>
      </c>
      <c r="P45" s="321">
        <f t="shared" si="43"/>
        <v>0</v>
      </c>
      <c r="Q45" s="321">
        <f t="shared" si="43"/>
        <v>0</v>
      </c>
      <c r="R45" s="321">
        <f t="shared" si="43"/>
        <v>0</v>
      </c>
      <c r="S45" s="321">
        <f t="shared" si="43"/>
        <v>0</v>
      </c>
      <c r="T45" s="321">
        <f t="shared" si="43"/>
        <v>350</v>
      </c>
      <c r="U45" s="321">
        <f t="shared" si="43"/>
        <v>3874.9</v>
      </c>
    </row>
    <row r="46" spans="1:21" x14ac:dyDescent="0.65">
      <c r="A46" s="188">
        <v>40690</v>
      </c>
      <c r="B46" s="35" t="s">
        <v>7</v>
      </c>
      <c r="C46" t="s">
        <v>7</v>
      </c>
      <c r="D46" t="s">
        <v>18</v>
      </c>
      <c r="E46" s="141">
        <v>3</v>
      </c>
      <c r="F46" s="141">
        <v>39.39</v>
      </c>
      <c r="G46" s="142"/>
      <c r="H46" s="142">
        <v>118.17</v>
      </c>
      <c r="I46" s="192">
        <v>21</v>
      </c>
      <c r="L46" s="41" t="s">
        <v>946</v>
      </c>
      <c r="M46" s="321">
        <f t="shared" si="1"/>
        <v>20388.2</v>
      </c>
      <c r="N46" s="321">
        <f t="shared" ref="N46:U46" si="44">SUMIFS($H:$H,$A:$A,"&lt;"&amp;O$1,$I:$I,$L46)</f>
        <v>0</v>
      </c>
      <c r="O46" s="321">
        <f t="shared" si="44"/>
        <v>0</v>
      </c>
      <c r="P46" s="321">
        <f t="shared" si="44"/>
        <v>0</v>
      </c>
      <c r="Q46" s="321">
        <f t="shared" si="44"/>
        <v>708.96</v>
      </c>
      <c r="R46" s="321">
        <f t="shared" si="44"/>
        <v>9225.8000000000011</v>
      </c>
      <c r="S46" s="321">
        <f t="shared" si="44"/>
        <v>16426.64</v>
      </c>
      <c r="T46" s="321">
        <f t="shared" si="44"/>
        <v>18574.52</v>
      </c>
      <c r="U46" s="321">
        <f t="shared" si="44"/>
        <v>20388.2</v>
      </c>
    </row>
    <row r="47" spans="1:21" x14ac:dyDescent="0.65">
      <c r="A47" s="188">
        <v>40693</v>
      </c>
      <c r="B47" s="35" t="s">
        <v>1336</v>
      </c>
      <c r="C47" t="s">
        <v>1338</v>
      </c>
      <c r="D47" t="s">
        <v>18</v>
      </c>
      <c r="E47" s="141">
        <v>2</v>
      </c>
      <c r="F47" s="141">
        <v>95</v>
      </c>
      <c r="G47" s="142"/>
      <c r="H47" s="142">
        <v>190</v>
      </c>
      <c r="I47" s="192">
        <v>21</v>
      </c>
      <c r="L47" s="41" t="s">
        <v>957</v>
      </c>
      <c r="M47" s="321">
        <f t="shared" si="1"/>
        <v>39263.228000000003</v>
      </c>
      <c r="N47" s="321">
        <f t="shared" ref="N47:U47" si="45">SUMIFS($H:$H,$A:$A,"&lt;"&amp;O$1,$I:$I,$L47)</f>
        <v>0</v>
      </c>
      <c r="O47" s="321">
        <f t="shared" si="45"/>
        <v>0</v>
      </c>
      <c r="P47" s="321">
        <f t="shared" si="45"/>
        <v>0</v>
      </c>
      <c r="Q47" s="321">
        <f t="shared" si="45"/>
        <v>9010.2999999999993</v>
      </c>
      <c r="R47" s="321">
        <f t="shared" si="45"/>
        <v>15597.72</v>
      </c>
      <c r="S47" s="321">
        <f t="shared" si="45"/>
        <v>34343.428</v>
      </c>
      <c r="T47" s="321">
        <f t="shared" si="45"/>
        <v>39263.228000000003</v>
      </c>
      <c r="U47" s="321">
        <f t="shared" si="45"/>
        <v>39263.228000000003</v>
      </c>
    </row>
    <row r="48" spans="1:21" x14ac:dyDescent="0.65">
      <c r="A48" s="188">
        <v>40693</v>
      </c>
      <c r="B48" s="35" t="s">
        <v>1336</v>
      </c>
      <c r="C48" t="s">
        <v>1337</v>
      </c>
      <c r="D48" t="s">
        <v>18</v>
      </c>
      <c r="E48" s="141">
        <v>4</v>
      </c>
      <c r="F48" s="141">
        <v>95</v>
      </c>
      <c r="G48" s="142"/>
      <c r="H48" s="142">
        <v>380</v>
      </c>
      <c r="I48" s="192">
        <v>21</v>
      </c>
      <c r="L48" s="41" t="s">
        <v>949</v>
      </c>
      <c r="M48" s="321">
        <f t="shared" si="1"/>
        <v>3561.83</v>
      </c>
      <c r="N48" s="321">
        <f t="shared" ref="N48:U48" si="46">SUMIFS($H:$H,$A:$A,"&lt;"&amp;O$1,$I:$I,$L48)</f>
        <v>0</v>
      </c>
      <c r="O48" s="321">
        <f t="shared" si="46"/>
        <v>0</v>
      </c>
      <c r="P48" s="321">
        <f t="shared" si="46"/>
        <v>0</v>
      </c>
      <c r="Q48" s="321">
        <f t="shared" si="46"/>
        <v>1377.4</v>
      </c>
      <c r="R48" s="321">
        <f t="shared" si="46"/>
        <v>1673.43</v>
      </c>
      <c r="S48" s="321">
        <f t="shared" si="46"/>
        <v>2873.13</v>
      </c>
      <c r="T48" s="321">
        <f t="shared" si="46"/>
        <v>3561.83</v>
      </c>
      <c r="U48" s="321">
        <f t="shared" si="46"/>
        <v>3561.83</v>
      </c>
    </row>
    <row r="49" spans="1:21" x14ac:dyDescent="0.65">
      <c r="A49" s="188">
        <v>40693</v>
      </c>
      <c r="B49" s="35" t="s">
        <v>7</v>
      </c>
      <c r="C49" t="s">
        <v>7</v>
      </c>
      <c r="D49" t="s">
        <v>18</v>
      </c>
      <c r="E49" s="141">
        <v>4</v>
      </c>
      <c r="F49" s="141">
        <v>39.39</v>
      </c>
      <c r="G49" s="142"/>
      <c r="H49" s="142">
        <v>157.56</v>
      </c>
      <c r="I49" s="192">
        <v>21</v>
      </c>
      <c r="L49" s="41" t="s">
        <v>942</v>
      </c>
      <c r="M49" s="321">
        <f t="shared" si="1"/>
        <v>12852</v>
      </c>
      <c r="N49" s="321">
        <f t="shared" ref="N49:U49" si="47">SUMIFS($H:$H,$A:$A,"&lt;"&amp;O$1,$I:$I,$L49)</f>
        <v>0</v>
      </c>
      <c r="O49" s="321">
        <f t="shared" si="47"/>
        <v>0</v>
      </c>
      <c r="P49" s="321">
        <f t="shared" si="47"/>
        <v>0</v>
      </c>
      <c r="Q49" s="321">
        <f t="shared" si="47"/>
        <v>0</v>
      </c>
      <c r="R49" s="321">
        <f t="shared" si="47"/>
        <v>12852</v>
      </c>
      <c r="S49" s="321">
        <f t="shared" si="47"/>
        <v>12852</v>
      </c>
      <c r="T49" s="321">
        <f t="shared" si="47"/>
        <v>12852</v>
      </c>
      <c r="U49" s="321">
        <f t="shared" si="47"/>
        <v>12852</v>
      </c>
    </row>
    <row r="50" spans="1:21" x14ac:dyDescent="0.65">
      <c r="A50" s="188">
        <v>40693</v>
      </c>
      <c r="B50" s="35" t="s">
        <v>1334</v>
      </c>
      <c r="C50" t="s">
        <v>1335</v>
      </c>
      <c r="D50" t="s">
        <v>18</v>
      </c>
      <c r="E50" s="141">
        <v>4</v>
      </c>
      <c r="F50" s="141">
        <v>135</v>
      </c>
      <c r="G50" s="142"/>
      <c r="H50" s="142">
        <v>540</v>
      </c>
      <c r="I50" s="192">
        <v>21</v>
      </c>
      <c r="L50" s="41" t="s">
        <v>964</v>
      </c>
      <c r="M50" s="321">
        <f t="shared" si="1"/>
        <v>12317.34</v>
      </c>
      <c r="N50" s="321">
        <f t="shared" ref="N50:U50" si="48">SUMIFS($H:$H,$A:$A,"&lt;"&amp;O$1,$I:$I,$L50)</f>
        <v>0</v>
      </c>
      <c r="O50" s="321">
        <f t="shared" si="48"/>
        <v>0</v>
      </c>
      <c r="P50" s="321">
        <f t="shared" si="48"/>
        <v>6927.4</v>
      </c>
      <c r="Q50" s="321">
        <f t="shared" si="48"/>
        <v>9843.5</v>
      </c>
      <c r="R50" s="321">
        <f t="shared" si="48"/>
        <v>12304.5</v>
      </c>
      <c r="S50" s="321">
        <f t="shared" si="48"/>
        <v>12317.34</v>
      </c>
      <c r="T50" s="321">
        <f t="shared" si="48"/>
        <v>12317.34</v>
      </c>
      <c r="U50" s="321">
        <f t="shared" si="48"/>
        <v>12317.34</v>
      </c>
    </row>
    <row r="51" spans="1:21" x14ac:dyDescent="0.65">
      <c r="A51" s="188">
        <v>40694</v>
      </c>
      <c r="B51" s="35" t="s">
        <v>1336</v>
      </c>
      <c r="C51" t="s">
        <v>1337</v>
      </c>
      <c r="D51" t="s">
        <v>18</v>
      </c>
      <c r="E51" s="141">
        <v>3</v>
      </c>
      <c r="F51" s="141">
        <v>95</v>
      </c>
      <c r="G51" s="142"/>
      <c r="H51" s="142">
        <v>285</v>
      </c>
      <c r="I51" s="192">
        <v>21</v>
      </c>
      <c r="L51" s="41" t="s">
        <v>965</v>
      </c>
      <c r="M51" s="321">
        <f t="shared" si="1"/>
        <v>9591.31</v>
      </c>
      <c r="N51" s="321">
        <f t="shared" ref="N51:U51" si="49">SUMIFS($H:$H,$A:$A,"&lt;"&amp;O$1,$I:$I,$L51)</f>
        <v>0</v>
      </c>
      <c r="O51" s="321">
        <f t="shared" si="49"/>
        <v>0</v>
      </c>
      <c r="P51" s="321">
        <f t="shared" si="49"/>
        <v>133.5</v>
      </c>
      <c r="Q51" s="321">
        <f t="shared" si="49"/>
        <v>1367.31</v>
      </c>
      <c r="R51" s="321">
        <f t="shared" si="49"/>
        <v>7011.3099999999995</v>
      </c>
      <c r="S51" s="321">
        <f t="shared" si="49"/>
        <v>8711.31</v>
      </c>
      <c r="T51" s="321">
        <f t="shared" si="49"/>
        <v>8711.31</v>
      </c>
      <c r="U51" s="321">
        <f t="shared" si="49"/>
        <v>9591.31</v>
      </c>
    </row>
    <row r="52" spans="1:21" x14ac:dyDescent="0.65">
      <c r="A52" s="188">
        <v>40694</v>
      </c>
      <c r="B52" s="35" t="s">
        <v>1336</v>
      </c>
      <c r="C52" t="s">
        <v>1341</v>
      </c>
      <c r="D52" t="s">
        <v>18</v>
      </c>
      <c r="E52" s="141">
        <v>3</v>
      </c>
      <c r="F52" s="141">
        <v>95</v>
      </c>
      <c r="G52" s="142"/>
      <c r="H52" s="142">
        <v>285</v>
      </c>
      <c r="I52" s="192">
        <v>21</v>
      </c>
      <c r="L52" s="41" t="s">
        <v>966</v>
      </c>
      <c r="M52" s="321">
        <f t="shared" si="1"/>
        <v>13861</v>
      </c>
      <c r="N52" s="321">
        <f t="shared" ref="N52:U52" si="50">SUMIFS($H:$H,$A:$A,"&lt;"&amp;O$1,$I:$I,$L52)</f>
        <v>0</v>
      </c>
      <c r="O52" s="321">
        <f t="shared" si="50"/>
        <v>0</v>
      </c>
      <c r="P52" s="321">
        <f t="shared" si="50"/>
        <v>11286</v>
      </c>
      <c r="Q52" s="321">
        <f t="shared" si="50"/>
        <v>11286</v>
      </c>
      <c r="R52" s="321">
        <f t="shared" si="50"/>
        <v>11286</v>
      </c>
      <c r="S52" s="321">
        <f t="shared" si="50"/>
        <v>13786</v>
      </c>
      <c r="T52" s="321">
        <f t="shared" si="50"/>
        <v>13786</v>
      </c>
      <c r="U52" s="321">
        <f t="shared" si="50"/>
        <v>13861</v>
      </c>
    </row>
    <row r="53" spans="1:21" x14ac:dyDescent="0.65">
      <c r="A53" s="188">
        <v>40694</v>
      </c>
      <c r="B53" s="35" t="s">
        <v>1334</v>
      </c>
      <c r="C53" t="s">
        <v>1335</v>
      </c>
      <c r="D53" t="s">
        <v>18</v>
      </c>
      <c r="E53" s="141">
        <v>3</v>
      </c>
      <c r="F53" s="141">
        <v>135</v>
      </c>
      <c r="G53" s="142"/>
      <c r="H53" s="142">
        <v>405</v>
      </c>
      <c r="I53" s="192">
        <v>21</v>
      </c>
      <c r="L53" s="41" t="s">
        <v>948</v>
      </c>
      <c r="M53" s="321">
        <f t="shared" si="1"/>
        <v>275197.55100000004</v>
      </c>
      <c r="N53" s="321">
        <f t="shared" ref="N53:U53" si="51">SUMIFS($H:$H,$A:$A,"&lt;"&amp;O$1,$I:$I,$L53)</f>
        <v>0</v>
      </c>
      <c r="O53" s="321">
        <f t="shared" si="51"/>
        <v>0</v>
      </c>
      <c r="P53" s="321">
        <f t="shared" si="51"/>
        <v>31974.727999999999</v>
      </c>
      <c r="Q53" s="321">
        <f t="shared" si="51"/>
        <v>31974.727999999999</v>
      </c>
      <c r="R53" s="321">
        <f t="shared" si="51"/>
        <v>104735.33500000001</v>
      </c>
      <c r="S53" s="321">
        <f t="shared" si="51"/>
        <v>179448.09099999999</v>
      </c>
      <c r="T53" s="321">
        <f t="shared" si="51"/>
        <v>275197.55100000004</v>
      </c>
      <c r="U53" s="321">
        <f t="shared" si="51"/>
        <v>275197.55100000004</v>
      </c>
    </row>
    <row r="54" spans="1:21" x14ac:dyDescent="0.65">
      <c r="A54" s="188">
        <v>40694</v>
      </c>
      <c r="B54" s="35" t="s">
        <v>7</v>
      </c>
      <c r="C54" t="s">
        <v>7</v>
      </c>
      <c r="D54" t="s">
        <v>18</v>
      </c>
      <c r="E54" s="141">
        <v>3</v>
      </c>
      <c r="F54" s="141">
        <v>39.39</v>
      </c>
      <c r="G54" s="142"/>
      <c r="H54" s="142">
        <v>118.17</v>
      </c>
      <c r="I54" s="192">
        <v>21</v>
      </c>
      <c r="L54" s="41" t="s">
        <v>945</v>
      </c>
      <c r="M54" s="321">
        <f t="shared" si="1"/>
        <v>117965.48179999998</v>
      </c>
      <c r="N54" s="321">
        <f t="shared" ref="N54:U54" si="52">SUMIFS($H:$H,$A:$A,"&lt;"&amp;O$1,$I:$I,$L54)</f>
        <v>0</v>
      </c>
      <c r="O54" s="321">
        <f t="shared" si="52"/>
        <v>0</v>
      </c>
      <c r="P54" s="321">
        <f t="shared" si="52"/>
        <v>337.16</v>
      </c>
      <c r="Q54" s="321">
        <f t="shared" si="52"/>
        <v>1132.0014000000001</v>
      </c>
      <c r="R54" s="321">
        <f t="shared" si="52"/>
        <v>1418.3574000000001</v>
      </c>
      <c r="S54" s="321">
        <f t="shared" si="52"/>
        <v>117805.62099999998</v>
      </c>
      <c r="T54" s="321">
        <f t="shared" si="52"/>
        <v>117965.48179999998</v>
      </c>
      <c r="U54" s="321">
        <f t="shared" si="52"/>
        <v>117965.48179999998</v>
      </c>
    </row>
    <row r="55" spans="1:21" x14ac:dyDescent="0.65">
      <c r="A55" s="188">
        <v>40694</v>
      </c>
      <c r="B55" s="35" t="s">
        <v>7</v>
      </c>
      <c r="C55" t="s">
        <v>7</v>
      </c>
      <c r="D55" t="s">
        <v>18</v>
      </c>
      <c r="E55" s="141">
        <v>3</v>
      </c>
      <c r="F55" s="141">
        <v>39.39</v>
      </c>
      <c r="G55" s="142"/>
      <c r="H55" s="142">
        <v>118.17</v>
      </c>
      <c r="I55" s="192">
        <v>21</v>
      </c>
      <c r="L55" s="41" t="s">
        <v>959</v>
      </c>
      <c r="M55" s="321">
        <f t="shared" si="1"/>
        <v>4982.43</v>
      </c>
      <c r="N55" s="321">
        <f t="shared" ref="N55:U55" si="53">SUMIFS($H:$H,$A:$A,"&lt;"&amp;O$1,$I:$I,$L55)</f>
        <v>0</v>
      </c>
      <c r="O55" s="321">
        <f t="shared" si="53"/>
        <v>132.80000000000001</v>
      </c>
      <c r="P55" s="321">
        <f t="shared" si="53"/>
        <v>132.80000000000001</v>
      </c>
      <c r="Q55" s="321">
        <f t="shared" si="53"/>
        <v>132.80000000000001</v>
      </c>
      <c r="R55" s="321">
        <f t="shared" si="53"/>
        <v>2814.8400000000006</v>
      </c>
      <c r="S55" s="321">
        <f t="shared" si="53"/>
        <v>4982.43</v>
      </c>
      <c r="T55" s="321">
        <f t="shared" si="53"/>
        <v>4982.43</v>
      </c>
      <c r="U55" s="321">
        <f t="shared" si="53"/>
        <v>4982.43</v>
      </c>
    </row>
    <row r="56" spans="1:21" x14ac:dyDescent="0.65">
      <c r="A56" s="188">
        <v>40745</v>
      </c>
      <c r="B56" s="35" t="s">
        <v>7</v>
      </c>
      <c r="C56" t="s">
        <v>7</v>
      </c>
      <c r="D56" t="s">
        <v>18</v>
      </c>
      <c r="E56" s="141">
        <v>4</v>
      </c>
      <c r="F56" s="141">
        <v>39.39</v>
      </c>
      <c r="G56" s="142"/>
      <c r="H56" s="142">
        <v>157.56</v>
      </c>
      <c r="I56" s="192">
        <v>21</v>
      </c>
      <c r="L56" s="41" t="s">
        <v>944</v>
      </c>
      <c r="M56" s="321">
        <f t="shared" si="1"/>
        <v>2625.85</v>
      </c>
      <c r="N56" s="321">
        <f t="shared" ref="N56:U56" si="54">SUMIFS($H:$H,$A:$A,"&lt;"&amp;O$1,$I:$I,$L56)</f>
        <v>0</v>
      </c>
      <c r="O56" s="321">
        <f t="shared" si="54"/>
        <v>0</v>
      </c>
      <c r="P56" s="321">
        <f t="shared" si="54"/>
        <v>0</v>
      </c>
      <c r="Q56" s="321">
        <f t="shared" si="54"/>
        <v>0</v>
      </c>
      <c r="R56" s="321">
        <f t="shared" si="54"/>
        <v>136.65</v>
      </c>
      <c r="S56" s="321">
        <f t="shared" si="54"/>
        <v>2625.85</v>
      </c>
      <c r="T56" s="321">
        <f t="shared" si="54"/>
        <v>2625.85</v>
      </c>
      <c r="U56" s="321">
        <f t="shared" si="54"/>
        <v>2625.85</v>
      </c>
    </row>
    <row r="57" spans="1:21" x14ac:dyDescent="0.65">
      <c r="A57" s="188">
        <v>40745</v>
      </c>
      <c r="B57" s="35" t="s">
        <v>7</v>
      </c>
      <c r="C57" t="s">
        <v>7</v>
      </c>
      <c r="D57" t="s">
        <v>18</v>
      </c>
      <c r="E57" s="141">
        <v>2.5</v>
      </c>
      <c r="F57" s="141">
        <v>39.39</v>
      </c>
      <c r="G57" s="142"/>
      <c r="H57" s="142">
        <v>98.474999999999994</v>
      </c>
      <c r="I57" s="192">
        <v>21</v>
      </c>
      <c r="L57" s="41" t="s">
        <v>961</v>
      </c>
      <c r="M57" s="321">
        <f t="shared" si="1"/>
        <v>17615</v>
      </c>
      <c r="N57" s="321">
        <f t="shared" ref="N57:U57" si="55">SUMIFS($H:$H,$A:$A,"&lt;"&amp;O$1,$I:$I,$L57)</f>
        <v>0</v>
      </c>
      <c r="O57" s="321">
        <f t="shared" si="55"/>
        <v>0</v>
      </c>
      <c r="P57" s="321">
        <f t="shared" si="55"/>
        <v>0</v>
      </c>
      <c r="Q57" s="321">
        <f t="shared" si="55"/>
        <v>16131</v>
      </c>
      <c r="R57" s="321">
        <f t="shared" si="55"/>
        <v>17615</v>
      </c>
      <c r="S57" s="321">
        <f t="shared" si="55"/>
        <v>17615</v>
      </c>
      <c r="T57" s="321">
        <f t="shared" si="55"/>
        <v>17615</v>
      </c>
      <c r="U57" s="321">
        <f t="shared" si="55"/>
        <v>17615</v>
      </c>
    </row>
    <row r="58" spans="1:21" x14ac:dyDescent="0.65">
      <c r="A58" s="188">
        <v>40745</v>
      </c>
      <c r="B58" s="35" t="s">
        <v>1334</v>
      </c>
      <c r="C58" t="s">
        <v>1335</v>
      </c>
      <c r="D58" t="s">
        <v>18</v>
      </c>
      <c r="E58" s="141">
        <v>4.5</v>
      </c>
      <c r="F58" s="141">
        <v>135</v>
      </c>
      <c r="G58" s="142"/>
      <c r="H58" s="142">
        <v>607.5</v>
      </c>
      <c r="I58" s="192">
        <v>21</v>
      </c>
      <c r="L58" s="41" t="s">
        <v>960</v>
      </c>
      <c r="M58" s="321">
        <f t="shared" si="1"/>
        <v>13684</v>
      </c>
      <c r="N58" s="321">
        <f t="shared" ref="N58:U58" si="56">SUMIFS($H:$H,$A:$A,"&lt;"&amp;O$1,$I:$I,$L58)</f>
        <v>0</v>
      </c>
      <c r="O58" s="321">
        <f t="shared" si="56"/>
        <v>0</v>
      </c>
      <c r="P58" s="321">
        <f t="shared" si="56"/>
        <v>12762</v>
      </c>
      <c r="Q58" s="321">
        <f t="shared" si="56"/>
        <v>12762</v>
      </c>
      <c r="R58" s="321">
        <f t="shared" si="56"/>
        <v>13464</v>
      </c>
      <c r="S58" s="321">
        <f t="shared" si="56"/>
        <v>13684</v>
      </c>
      <c r="T58" s="321">
        <f t="shared" si="56"/>
        <v>13684</v>
      </c>
      <c r="U58" s="321">
        <f t="shared" si="56"/>
        <v>13684</v>
      </c>
    </row>
    <row r="59" spans="1:21" x14ac:dyDescent="0.65">
      <c r="A59" s="188">
        <v>40745</v>
      </c>
      <c r="B59" s="35" t="s">
        <v>1336</v>
      </c>
      <c r="C59" t="s">
        <v>1342</v>
      </c>
      <c r="D59" t="s">
        <v>18</v>
      </c>
      <c r="E59" s="141">
        <v>4</v>
      </c>
      <c r="F59" s="141">
        <v>90</v>
      </c>
      <c r="G59" s="142"/>
      <c r="H59" s="142">
        <v>360</v>
      </c>
      <c r="I59" s="192">
        <v>21</v>
      </c>
      <c r="L59" s="41"/>
      <c r="M59" s="321"/>
      <c r="N59" s="321"/>
      <c r="O59" s="321"/>
      <c r="P59" s="321"/>
      <c r="Q59" s="321"/>
      <c r="R59" s="321"/>
      <c r="S59" s="321"/>
      <c r="T59" s="321"/>
      <c r="U59" s="321"/>
    </row>
    <row r="60" spans="1:21" x14ac:dyDescent="0.65">
      <c r="A60" s="188">
        <v>40745</v>
      </c>
      <c r="B60" s="35" t="s">
        <v>1336</v>
      </c>
      <c r="C60" t="s">
        <v>7</v>
      </c>
      <c r="D60" t="s">
        <v>18</v>
      </c>
      <c r="E60" s="141">
        <v>4</v>
      </c>
      <c r="F60" s="141">
        <v>95</v>
      </c>
      <c r="G60" s="142"/>
      <c r="H60" s="142">
        <v>380</v>
      </c>
      <c r="I60" s="192">
        <v>21</v>
      </c>
      <c r="L60" s="291" t="s">
        <v>1866</v>
      </c>
      <c r="M60" s="322">
        <f>SUM(M3:M58)</f>
        <v>1982828.8980000003</v>
      </c>
      <c r="N60" s="322">
        <f t="shared" ref="N60:U60" si="57">SUM(N3:N58)</f>
        <v>9434.08</v>
      </c>
      <c r="O60" s="322">
        <f t="shared" si="57"/>
        <v>101629.81999999999</v>
      </c>
      <c r="P60" s="322">
        <f t="shared" si="57"/>
        <v>351914.50400000007</v>
      </c>
      <c r="Q60" s="322">
        <f t="shared" si="57"/>
        <v>596024.98759999999</v>
      </c>
      <c r="R60" s="322">
        <f t="shared" si="57"/>
        <v>952390.16559999995</v>
      </c>
      <c r="S60" s="322">
        <f t="shared" si="57"/>
        <v>1442327.1472</v>
      </c>
      <c r="T60" s="322">
        <f t="shared" si="57"/>
        <v>1834086.5880000002</v>
      </c>
      <c r="U60" s="322">
        <f t="shared" si="57"/>
        <v>1982828.8980000003</v>
      </c>
    </row>
    <row r="61" spans="1:21" x14ac:dyDescent="0.65">
      <c r="A61" s="188">
        <v>40749</v>
      </c>
      <c r="B61" s="35" t="s">
        <v>1334</v>
      </c>
      <c r="C61" t="s">
        <v>1335</v>
      </c>
      <c r="D61" t="s">
        <v>18</v>
      </c>
      <c r="E61" s="141">
        <v>4.5</v>
      </c>
      <c r="F61" s="141">
        <v>135</v>
      </c>
      <c r="G61" s="142"/>
      <c r="H61" s="142">
        <v>607.5</v>
      </c>
      <c r="I61" s="192">
        <v>21</v>
      </c>
    </row>
    <row r="62" spans="1:21" x14ac:dyDescent="0.65">
      <c r="A62" s="188">
        <v>40784</v>
      </c>
      <c r="B62" s="35" t="s">
        <v>1334</v>
      </c>
      <c r="C62" t="s">
        <v>1335</v>
      </c>
      <c r="D62" t="s">
        <v>18</v>
      </c>
      <c r="E62" s="141">
        <v>2</v>
      </c>
      <c r="F62" s="141">
        <v>135</v>
      </c>
      <c r="G62" s="142"/>
      <c r="H62" s="142">
        <v>270</v>
      </c>
      <c r="I62" s="192">
        <v>21</v>
      </c>
      <c r="N62" s="178"/>
      <c r="O62" s="178"/>
      <c r="P62" s="178"/>
      <c r="Q62" s="178"/>
      <c r="R62" s="178"/>
      <c r="S62" s="178"/>
      <c r="T62" s="178"/>
      <c r="U62" s="178"/>
    </row>
    <row r="63" spans="1:21" x14ac:dyDescent="0.65">
      <c r="A63" s="188">
        <v>40784</v>
      </c>
      <c r="B63" s="35" t="s">
        <v>7</v>
      </c>
      <c r="C63" t="s">
        <v>7</v>
      </c>
      <c r="D63" t="s">
        <v>18</v>
      </c>
      <c r="E63" s="141">
        <v>2</v>
      </c>
      <c r="F63" s="141">
        <v>39.39</v>
      </c>
      <c r="G63" s="142"/>
      <c r="H63" s="142">
        <v>78.78</v>
      </c>
      <c r="I63" s="192">
        <v>21</v>
      </c>
    </row>
    <row r="64" spans="1:21" x14ac:dyDescent="0.65">
      <c r="A64" s="188">
        <v>40784</v>
      </c>
      <c r="B64" s="35" t="s">
        <v>7</v>
      </c>
      <c r="C64" t="s">
        <v>7</v>
      </c>
      <c r="D64" t="s">
        <v>18</v>
      </c>
      <c r="E64" s="141">
        <v>2</v>
      </c>
      <c r="F64" s="141">
        <v>32.200000000000003</v>
      </c>
      <c r="G64" s="142"/>
      <c r="H64" s="142">
        <v>64.400000000000006</v>
      </c>
      <c r="I64" s="192">
        <v>21</v>
      </c>
      <c r="N64" s="319"/>
      <c r="O64" s="319"/>
      <c r="P64" s="319"/>
      <c r="Q64" s="319"/>
      <c r="R64" s="319"/>
      <c r="S64" s="319"/>
      <c r="T64" s="319"/>
      <c r="U64" s="319"/>
    </row>
    <row r="65" spans="1:9" x14ac:dyDescent="0.65">
      <c r="A65" s="188">
        <v>40784</v>
      </c>
      <c r="B65" s="35" t="s">
        <v>1336</v>
      </c>
      <c r="C65" t="s">
        <v>1342</v>
      </c>
      <c r="D65" t="s">
        <v>18</v>
      </c>
      <c r="E65" s="141">
        <v>2</v>
      </c>
      <c r="F65" s="141">
        <v>90</v>
      </c>
      <c r="G65" s="142"/>
      <c r="H65" s="142">
        <v>180</v>
      </c>
      <c r="I65" s="192">
        <v>21</v>
      </c>
    </row>
    <row r="66" spans="1:9" x14ac:dyDescent="0.65">
      <c r="A66" s="188">
        <v>40784</v>
      </c>
      <c r="B66" s="35" t="s">
        <v>1336</v>
      </c>
      <c r="C66" t="s">
        <v>7</v>
      </c>
      <c r="D66" t="s">
        <v>18</v>
      </c>
      <c r="E66" s="141">
        <v>2</v>
      </c>
      <c r="F66" s="141">
        <v>95</v>
      </c>
      <c r="G66" s="142"/>
      <c r="H66" s="142">
        <v>190</v>
      </c>
      <c r="I66" s="192">
        <v>21</v>
      </c>
    </row>
    <row r="67" spans="1:9" x14ac:dyDescent="0.65">
      <c r="A67" s="189" t="s">
        <v>448</v>
      </c>
      <c r="B67" s="183" t="s">
        <v>1343</v>
      </c>
      <c r="C67" s="184" t="s">
        <v>448</v>
      </c>
      <c r="D67" s="184" t="s">
        <v>448</v>
      </c>
      <c r="E67" s="185"/>
      <c r="F67" s="185"/>
      <c r="G67" s="186"/>
      <c r="H67" s="186">
        <v>12095.584999999999</v>
      </c>
      <c r="I67" s="193" t="s">
        <v>1767</v>
      </c>
    </row>
    <row r="68" spans="1:9" x14ac:dyDescent="0.65">
      <c r="A68" s="188" t="s">
        <v>448</v>
      </c>
      <c r="B68" s="35" t="s">
        <v>448</v>
      </c>
      <c r="C68" t="s">
        <v>448</v>
      </c>
      <c r="D68" t="s">
        <v>448</v>
      </c>
      <c r="E68" s="141"/>
      <c r="F68" s="141"/>
      <c r="G68" s="142"/>
      <c r="H68" s="142"/>
      <c r="I68" s="191" t="s">
        <v>1767</v>
      </c>
    </row>
    <row r="69" spans="1:9" x14ac:dyDescent="0.65">
      <c r="A69" s="187" t="s">
        <v>448</v>
      </c>
      <c r="B69" s="29" t="s">
        <v>1813</v>
      </c>
      <c r="C69" s="27" t="s">
        <v>448</v>
      </c>
      <c r="D69" s="27" t="s">
        <v>448</v>
      </c>
      <c r="E69" s="181"/>
      <c r="F69" s="181"/>
      <c r="G69" s="182"/>
      <c r="H69" s="182"/>
      <c r="I69" s="140" t="s">
        <v>1767</v>
      </c>
    </row>
    <row r="70" spans="1:9" x14ac:dyDescent="0.65">
      <c r="A70" s="188">
        <v>40683</v>
      </c>
      <c r="B70" s="35" t="s">
        <v>1344</v>
      </c>
      <c r="C70" t="s">
        <v>1345</v>
      </c>
      <c r="D70" t="s">
        <v>18</v>
      </c>
      <c r="E70" s="141">
        <v>5</v>
      </c>
      <c r="F70" s="141">
        <v>80</v>
      </c>
      <c r="G70" s="142"/>
      <c r="H70" s="142">
        <v>400</v>
      </c>
      <c r="I70" s="192">
        <v>31</v>
      </c>
    </row>
    <row r="71" spans="1:9" x14ac:dyDescent="0.65">
      <c r="A71" s="188">
        <v>40684</v>
      </c>
      <c r="B71" s="35" t="s">
        <v>7</v>
      </c>
      <c r="C71" t="s">
        <v>7</v>
      </c>
      <c r="D71" t="s">
        <v>18</v>
      </c>
      <c r="E71" s="141">
        <v>5.5</v>
      </c>
      <c r="F71" s="141">
        <v>39.39</v>
      </c>
      <c r="G71" s="142"/>
      <c r="H71" s="142">
        <v>216.64500000000001</v>
      </c>
      <c r="I71" s="192">
        <v>31</v>
      </c>
    </row>
    <row r="72" spans="1:9" x14ac:dyDescent="0.65">
      <c r="A72" s="188">
        <v>40684</v>
      </c>
      <c r="B72" s="35" t="s">
        <v>1336</v>
      </c>
      <c r="C72" t="s">
        <v>1338</v>
      </c>
      <c r="D72" t="s">
        <v>18</v>
      </c>
      <c r="E72" s="141">
        <v>4</v>
      </c>
      <c r="F72" s="141">
        <v>95</v>
      </c>
      <c r="G72" s="142"/>
      <c r="H72" s="142">
        <v>380</v>
      </c>
      <c r="I72" s="192">
        <v>31</v>
      </c>
    </row>
    <row r="73" spans="1:9" x14ac:dyDescent="0.65">
      <c r="A73" s="188">
        <v>40684</v>
      </c>
      <c r="B73" s="35" t="s">
        <v>1344</v>
      </c>
      <c r="C73" t="s">
        <v>1345</v>
      </c>
      <c r="D73" t="s">
        <v>18</v>
      </c>
      <c r="E73" s="141">
        <v>6</v>
      </c>
      <c r="F73" s="141">
        <v>80</v>
      </c>
      <c r="G73" s="142"/>
      <c r="H73" s="142">
        <v>480</v>
      </c>
      <c r="I73" s="192">
        <v>31</v>
      </c>
    </row>
    <row r="74" spans="1:9" x14ac:dyDescent="0.65">
      <c r="A74" s="188">
        <v>40684</v>
      </c>
      <c r="B74" s="35" t="s">
        <v>1334</v>
      </c>
      <c r="C74" t="s">
        <v>1335</v>
      </c>
      <c r="D74" t="s">
        <v>18</v>
      </c>
      <c r="E74" s="141">
        <v>4</v>
      </c>
      <c r="F74" s="141">
        <v>135</v>
      </c>
      <c r="G74" s="142"/>
      <c r="H74" s="142">
        <v>540</v>
      </c>
      <c r="I74" s="192">
        <v>31</v>
      </c>
    </row>
    <row r="75" spans="1:9" x14ac:dyDescent="0.65">
      <c r="A75" s="188">
        <v>40684</v>
      </c>
      <c r="B75" s="35" t="s">
        <v>1336</v>
      </c>
      <c r="C75" t="s">
        <v>1337</v>
      </c>
      <c r="D75" t="s">
        <v>18</v>
      </c>
      <c r="E75" s="141">
        <v>4</v>
      </c>
      <c r="F75" s="141">
        <v>95</v>
      </c>
      <c r="G75" s="142"/>
      <c r="H75" s="142">
        <v>380</v>
      </c>
      <c r="I75" s="192">
        <v>31</v>
      </c>
    </row>
    <row r="76" spans="1:9" x14ac:dyDescent="0.65">
      <c r="A76" s="188">
        <v>40687</v>
      </c>
      <c r="B76" s="35" t="s">
        <v>7</v>
      </c>
      <c r="C76" t="s">
        <v>7</v>
      </c>
      <c r="D76" t="s">
        <v>18</v>
      </c>
      <c r="E76" s="141">
        <v>3</v>
      </c>
      <c r="F76" s="141">
        <v>39.39</v>
      </c>
      <c r="G76" s="142"/>
      <c r="H76" s="142">
        <v>118.17</v>
      </c>
      <c r="I76" s="192">
        <v>31</v>
      </c>
    </row>
    <row r="77" spans="1:9" x14ac:dyDescent="0.65">
      <c r="A77" s="188">
        <v>40687</v>
      </c>
      <c r="B77" s="35" t="s">
        <v>1334</v>
      </c>
      <c r="C77" t="s">
        <v>1335</v>
      </c>
      <c r="D77" t="s">
        <v>18</v>
      </c>
      <c r="E77" s="141">
        <v>3</v>
      </c>
      <c r="F77" s="141">
        <v>135</v>
      </c>
      <c r="G77" s="142"/>
      <c r="H77" s="142">
        <v>405</v>
      </c>
      <c r="I77" s="192">
        <v>31</v>
      </c>
    </row>
    <row r="78" spans="1:9" x14ac:dyDescent="0.65">
      <c r="A78" s="188">
        <v>40687</v>
      </c>
      <c r="B78" s="35" t="s">
        <v>1336</v>
      </c>
      <c r="C78" t="s">
        <v>1338</v>
      </c>
      <c r="D78" t="s">
        <v>18</v>
      </c>
      <c r="E78" s="141">
        <v>3</v>
      </c>
      <c r="F78" s="141">
        <v>95</v>
      </c>
      <c r="G78" s="142"/>
      <c r="H78" s="142">
        <v>285</v>
      </c>
      <c r="I78" s="192">
        <v>31</v>
      </c>
    </row>
    <row r="79" spans="1:9" x14ac:dyDescent="0.65">
      <c r="A79" s="188">
        <v>40688</v>
      </c>
      <c r="B79" s="35" t="s">
        <v>1336</v>
      </c>
      <c r="C79" t="s">
        <v>1338</v>
      </c>
      <c r="D79" t="s">
        <v>18</v>
      </c>
      <c r="E79" s="141">
        <v>9</v>
      </c>
      <c r="F79" s="141">
        <v>95</v>
      </c>
      <c r="G79" s="142"/>
      <c r="H79" s="142">
        <v>855</v>
      </c>
      <c r="I79" s="192">
        <v>31</v>
      </c>
    </row>
    <row r="80" spans="1:9" x14ac:dyDescent="0.65">
      <c r="A80" s="188">
        <v>40688</v>
      </c>
      <c r="B80" s="35" t="s">
        <v>1336</v>
      </c>
      <c r="C80" t="s">
        <v>1337</v>
      </c>
      <c r="D80" t="s">
        <v>18</v>
      </c>
      <c r="E80" s="141">
        <v>9</v>
      </c>
      <c r="F80" s="141">
        <v>95</v>
      </c>
      <c r="G80" s="142"/>
      <c r="H80" s="142">
        <v>855</v>
      </c>
      <c r="I80" s="192">
        <v>31</v>
      </c>
    </row>
    <row r="81" spans="1:9" x14ac:dyDescent="0.65">
      <c r="A81" s="188">
        <v>40688</v>
      </c>
      <c r="B81" s="35" t="s">
        <v>7</v>
      </c>
      <c r="C81" t="s">
        <v>7</v>
      </c>
      <c r="D81" t="s">
        <v>18</v>
      </c>
      <c r="E81" s="141">
        <v>4.5</v>
      </c>
      <c r="F81" s="141">
        <v>39.39</v>
      </c>
      <c r="G81" s="142"/>
      <c r="H81" s="142">
        <v>177.255</v>
      </c>
      <c r="I81" s="192">
        <v>31</v>
      </c>
    </row>
    <row r="82" spans="1:9" x14ac:dyDescent="0.65">
      <c r="A82" s="188">
        <v>40688</v>
      </c>
      <c r="B82" s="35" t="s">
        <v>1334</v>
      </c>
      <c r="C82" t="s">
        <v>1335</v>
      </c>
      <c r="D82" t="s">
        <v>18</v>
      </c>
      <c r="E82" s="141">
        <v>9</v>
      </c>
      <c r="F82" s="141">
        <v>135</v>
      </c>
      <c r="G82" s="142"/>
      <c r="H82" s="142">
        <v>1215</v>
      </c>
      <c r="I82" s="192">
        <v>31</v>
      </c>
    </row>
    <row r="83" spans="1:9" x14ac:dyDescent="0.65">
      <c r="A83" s="188">
        <v>40689</v>
      </c>
      <c r="B83" s="35" t="s">
        <v>7</v>
      </c>
      <c r="C83" t="s">
        <v>7</v>
      </c>
      <c r="D83" t="s">
        <v>18</v>
      </c>
      <c r="E83" s="141">
        <v>4.5</v>
      </c>
      <c r="F83" s="141">
        <v>39.39</v>
      </c>
      <c r="G83" s="142"/>
      <c r="H83" s="142">
        <v>177.255</v>
      </c>
      <c r="I83" s="192">
        <v>31</v>
      </c>
    </row>
    <row r="84" spans="1:9" x14ac:dyDescent="0.65">
      <c r="A84" s="188">
        <v>40689</v>
      </c>
      <c r="B84" s="35" t="s">
        <v>1336</v>
      </c>
      <c r="C84" t="s">
        <v>1337</v>
      </c>
      <c r="D84" t="s">
        <v>18</v>
      </c>
      <c r="E84" s="141">
        <v>9</v>
      </c>
      <c r="F84" s="141">
        <v>95</v>
      </c>
      <c r="G84" s="142"/>
      <c r="H84" s="142">
        <v>855</v>
      </c>
      <c r="I84" s="192">
        <v>31</v>
      </c>
    </row>
    <row r="85" spans="1:9" x14ac:dyDescent="0.65">
      <c r="A85" s="188">
        <v>40689</v>
      </c>
      <c r="B85" s="35" t="s">
        <v>1336</v>
      </c>
      <c r="C85" t="s">
        <v>1338</v>
      </c>
      <c r="D85" t="s">
        <v>18</v>
      </c>
      <c r="E85" s="141">
        <v>9</v>
      </c>
      <c r="F85" s="141">
        <v>95</v>
      </c>
      <c r="G85" s="142"/>
      <c r="H85" s="142">
        <v>855</v>
      </c>
      <c r="I85" s="192">
        <v>31</v>
      </c>
    </row>
    <row r="86" spans="1:9" x14ac:dyDescent="0.65">
      <c r="A86" s="188">
        <v>40689</v>
      </c>
      <c r="B86" s="35" t="s">
        <v>1334</v>
      </c>
      <c r="C86" t="s">
        <v>1335</v>
      </c>
      <c r="D86" t="s">
        <v>18</v>
      </c>
      <c r="E86" s="141">
        <v>9</v>
      </c>
      <c r="F86" s="141">
        <v>135</v>
      </c>
      <c r="G86" s="142"/>
      <c r="H86" s="142">
        <v>1215</v>
      </c>
      <c r="I86" s="192">
        <v>31</v>
      </c>
    </row>
    <row r="87" spans="1:9" x14ac:dyDescent="0.65">
      <c r="A87" s="188">
        <v>40693</v>
      </c>
      <c r="B87" s="35" t="s">
        <v>1336</v>
      </c>
      <c r="C87" t="s">
        <v>1337</v>
      </c>
      <c r="D87" t="s">
        <v>18</v>
      </c>
      <c r="E87" s="141">
        <v>4</v>
      </c>
      <c r="F87" s="141">
        <v>95</v>
      </c>
      <c r="G87" s="142"/>
      <c r="H87" s="142">
        <v>380</v>
      </c>
      <c r="I87" s="192">
        <v>31</v>
      </c>
    </row>
    <row r="88" spans="1:9" x14ac:dyDescent="0.65">
      <c r="A88" s="188">
        <v>40693</v>
      </c>
      <c r="B88" s="35" t="s">
        <v>1334</v>
      </c>
      <c r="C88" t="s">
        <v>1335</v>
      </c>
      <c r="D88" t="s">
        <v>18</v>
      </c>
      <c r="E88" s="141">
        <v>3.5</v>
      </c>
      <c r="F88" s="141">
        <v>135</v>
      </c>
      <c r="G88" s="142"/>
      <c r="H88" s="142">
        <v>472.5</v>
      </c>
      <c r="I88" s="192">
        <v>31</v>
      </c>
    </row>
    <row r="89" spans="1:9" x14ac:dyDescent="0.65">
      <c r="A89" s="188">
        <v>40693</v>
      </c>
      <c r="B89" s="35" t="s">
        <v>1344</v>
      </c>
      <c r="C89" t="s">
        <v>1345</v>
      </c>
      <c r="D89" t="s">
        <v>18</v>
      </c>
      <c r="E89" s="141">
        <v>2</v>
      </c>
      <c r="F89" s="141">
        <v>80</v>
      </c>
      <c r="G89" s="142"/>
      <c r="H89" s="142">
        <v>160</v>
      </c>
      <c r="I89" s="192">
        <v>31</v>
      </c>
    </row>
    <row r="90" spans="1:9" x14ac:dyDescent="0.65">
      <c r="A90" s="188">
        <v>40693</v>
      </c>
      <c r="B90" s="35" t="s">
        <v>7</v>
      </c>
      <c r="C90" t="s">
        <v>7</v>
      </c>
      <c r="D90" t="s">
        <v>18</v>
      </c>
      <c r="E90" s="141">
        <v>4.5</v>
      </c>
      <c r="F90" s="141">
        <v>39.39</v>
      </c>
      <c r="G90" s="142"/>
      <c r="H90" s="142">
        <v>177.255</v>
      </c>
      <c r="I90" s="192">
        <v>31</v>
      </c>
    </row>
    <row r="91" spans="1:9" x14ac:dyDescent="0.65">
      <c r="A91" s="188">
        <v>40694</v>
      </c>
      <c r="B91" s="35" t="s">
        <v>1344</v>
      </c>
      <c r="C91" t="s">
        <v>1345</v>
      </c>
      <c r="D91" t="s">
        <v>18</v>
      </c>
      <c r="E91" s="141">
        <v>4</v>
      </c>
      <c r="F91" s="141">
        <v>80</v>
      </c>
      <c r="G91" s="142"/>
      <c r="H91" s="142">
        <v>320</v>
      </c>
      <c r="I91" s="192">
        <v>31</v>
      </c>
    </row>
    <row r="92" spans="1:9" x14ac:dyDescent="0.65">
      <c r="A92" s="188">
        <v>40694</v>
      </c>
      <c r="B92" s="35" t="s">
        <v>1336</v>
      </c>
      <c r="C92" t="s">
        <v>1337</v>
      </c>
      <c r="D92" t="s">
        <v>18</v>
      </c>
      <c r="E92" s="141">
        <v>5.5</v>
      </c>
      <c r="F92" s="141">
        <v>95</v>
      </c>
      <c r="G92" s="142"/>
      <c r="H92" s="142">
        <v>522.5</v>
      </c>
      <c r="I92" s="192">
        <v>31</v>
      </c>
    </row>
    <row r="93" spans="1:9" x14ac:dyDescent="0.65">
      <c r="A93" s="188">
        <v>40694</v>
      </c>
      <c r="B93" s="35" t="s">
        <v>1336</v>
      </c>
      <c r="C93" t="s">
        <v>1341</v>
      </c>
      <c r="D93" t="s">
        <v>18</v>
      </c>
      <c r="E93" s="141">
        <v>5.5</v>
      </c>
      <c r="F93" s="141">
        <v>95</v>
      </c>
      <c r="G93" s="142"/>
      <c r="H93" s="142">
        <v>522.5</v>
      </c>
      <c r="I93" s="192">
        <v>31</v>
      </c>
    </row>
    <row r="94" spans="1:9" x14ac:dyDescent="0.65">
      <c r="A94" s="188">
        <v>40694</v>
      </c>
      <c r="B94" s="35" t="s">
        <v>1334</v>
      </c>
      <c r="C94" t="s">
        <v>1335</v>
      </c>
      <c r="D94" t="s">
        <v>18</v>
      </c>
      <c r="E94" s="141">
        <v>6</v>
      </c>
      <c r="F94" s="141">
        <v>135</v>
      </c>
      <c r="G94" s="142"/>
      <c r="H94" s="142">
        <v>810</v>
      </c>
      <c r="I94" s="192">
        <v>31</v>
      </c>
    </row>
    <row r="95" spans="1:9" x14ac:dyDescent="0.65">
      <c r="A95" s="188">
        <v>40694</v>
      </c>
      <c r="B95" s="35" t="s">
        <v>7</v>
      </c>
      <c r="C95" t="s">
        <v>7</v>
      </c>
      <c r="D95" t="s">
        <v>18</v>
      </c>
      <c r="E95" s="141">
        <v>6.5</v>
      </c>
      <c r="F95" s="141">
        <v>39.39</v>
      </c>
      <c r="G95" s="142"/>
      <c r="H95" s="142">
        <v>256.03500000000003</v>
      </c>
      <c r="I95" s="192">
        <v>31</v>
      </c>
    </row>
    <row r="96" spans="1:9" x14ac:dyDescent="0.65">
      <c r="A96" s="188">
        <v>40694</v>
      </c>
      <c r="B96" s="35" t="s">
        <v>7</v>
      </c>
      <c r="C96" t="s">
        <v>7</v>
      </c>
      <c r="D96" t="s">
        <v>18</v>
      </c>
      <c r="E96" s="141">
        <v>6.5</v>
      </c>
      <c r="F96" s="141">
        <v>39.39</v>
      </c>
      <c r="G96" s="142"/>
      <c r="H96" s="142">
        <v>256.03500000000003</v>
      </c>
      <c r="I96" s="192">
        <v>31</v>
      </c>
    </row>
    <row r="97" spans="1:9" x14ac:dyDescent="0.65">
      <c r="A97" s="188">
        <v>40735</v>
      </c>
      <c r="B97" s="35" t="s">
        <v>1336</v>
      </c>
      <c r="C97" t="s">
        <v>1346</v>
      </c>
      <c r="D97" t="s">
        <v>18</v>
      </c>
      <c r="E97" s="141">
        <v>2.5</v>
      </c>
      <c r="F97" s="141">
        <v>95</v>
      </c>
      <c r="G97" s="142"/>
      <c r="H97" s="142">
        <v>237.5</v>
      </c>
      <c r="I97" s="192">
        <v>31</v>
      </c>
    </row>
    <row r="98" spans="1:9" x14ac:dyDescent="0.65">
      <c r="A98" s="188">
        <v>40735</v>
      </c>
      <c r="B98" s="35" t="s">
        <v>1334</v>
      </c>
      <c r="C98" t="s">
        <v>1335</v>
      </c>
      <c r="D98" t="s">
        <v>18</v>
      </c>
      <c r="E98" s="141">
        <v>2</v>
      </c>
      <c r="F98" s="141">
        <v>135</v>
      </c>
      <c r="G98" s="142"/>
      <c r="H98" s="142">
        <v>270</v>
      </c>
      <c r="I98" s="192">
        <v>31</v>
      </c>
    </row>
    <row r="99" spans="1:9" x14ac:dyDescent="0.65">
      <c r="A99" s="188">
        <v>40735</v>
      </c>
      <c r="B99" s="35" t="s">
        <v>7</v>
      </c>
      <c r="C99" t="s">
        <v>7</v>
      </c>
      <c r="D99" t="s">
        <v>18</v>
      </c>
      <c r="E99" s="141">
        <v>3.5</v>
      </c>
      <c r="F99" s="141">
        <v>39.39</v>
      </c>
      <c r="G99" s="142"/>
      <c r="H99" s="142">
        <v>137.86500000000001</v>
      </c>
      <c r="I99" s="192">
        <v>31</v>
      </c>
    </row>
    <row r="100" spans="1:9" x14ac:dyDescent="0.65">
      <c r="A100" s="188">
        <v>40736</v>
      </c>
      <c r="B100" s="35" t="s">
        <v>1336</v>
      </c>
      <c r="C100" t="s">
        <v>1342</v>
      </c>
      <c r="D100" t="s">
        <v>18</v>
      </c>
      <c r="E100" s="141">
        <v>2.5</v>
      </c>
      <c r="F100" s="141">
        <v>90</v>
      </c>
      <c r="G100" s="142"/>
      <c r="H100" s="142">
        <v>225</v>
      </c>
      <c r="I100" s="192">
        <v>31</v>
      </c>
    </row>
    <row r="101" spans="1:9" x14ac:dyDescent="0.65">
      <c r="A101" s="188">
        <v>40736</v>
      </c>
      <c r="B101" s="35" t="s">
        <v>1336</v>
      </c>
      <c r="C101" t="s">
        <v>1346</v>
      </c>
      <c r="D101" t="s">
        <v>18</v>
      </c>
      <c r="E101" s="141">
        <v>2.5</v>
      </c>
      <c r="F101" s="141">
        <v>95</v>
      </c>
      <c r="G101" s="142"/>
      <c r="H101" s="142">
        <v>237.5</v>
      </c>
      <c r="I101" s="192">
        <v>31</v>
      </c>
    </row>
    <row r="102" spans="1:9" x14ac:dyDescent="0.65">
      <c r="A102" s="188">
        <v>40736</v>
      </c>
      <c r="B102" s="35" t="s">
        <v>1334</v>
      </c>
      <c r="C102" t="s">
        <v>1335</v>
      </c>
      <c r="D102" t="s">
        <v>18</v>
      </c>
      <c r="E102" s="141">
        <v>2</v>
      </c>
      <c r="F102" s="141">
        <v>135</v>
      </c>
      <c r="G102" s="142"/>
      <c r="H102" s="142">
        <v>270</v>
      </c>
      <c r="I102" s="192">
        <v>31</v>
      </c>
    </row>
    <row r="103" spans="1:9" x14ac:dyDescent="0.65">
      <c r="A103" s="188">
        <v>40746</v>
      </c>
      <c r="B103" s="35" t="s">
        <v>1334</v>
      </c>
      <c r="C103" t="s">
        <v>1335</v>
      </c>
      <c r="D103" t="s">
        <v>18</v>
      </c>
      <c r="E103" s="141">
        <v>3.5</v>
      </c>
      <c r="F103" s="141">
        <v>135</v>
      </c>
      <c r="G103" s="142"/>
      <c r="H103" s="142">
        <v>472.5</v>
      </c>
      <c r="I103" s="192">
        <v>31</v>
      </c>
    </row>
    <row r="104" spans="1:9" x14ac:dyDescent="0.65">
      <c r="A104" s="188">
        <v>40746</v>
      </c>
      <c r="B104" s="35" t="s">
        <v>1336</v>
      </c>
      <c r="C104" t="s">
        <v>1342</v>
      </c>
      <c r="D104" t="s">
        <v>18</v>
      </c>
      <c r="E104" s="141">
        <v>3.5</v>
      </c>
      <c r="F104" s="141">
        <v>90</v>
      </c>
      <c r="G104" s="142"/>
      <c r="H104" s="142">
        <v>315</v>
      </c>
      <c r="I104" s="192">
        <v>31</v>
      </c>
    </row>
    <row r="105" spans="1:9" x14ac:dyDescent="0.65">
      <c r="A105" s="188">
        <v>40746</v>
      </c>
      <c r="B105" s="35" t="s">
        <v>7</v>
      </c>
      <c r="C105" t="s">
        <v>7</v>
      </c>
      <c r="D105" t="s">
        <v>18</v>
      </c>
      <c r="E105" s="141">
        <v>3</v>
      </c>
      <c r="F105" s="141">
        <v>39.39</v>
      </c>
      <c r="G105" s="142"/>
      <c r="H105" s="142">
        <v>118.17</v>
      </c>
      <c r="I105" s="192">
        <v>31</v>
      </c>
    </row>
    <row r="106" spans="1:9" x14ac:dyDescent="0.65">
      <c r="A106" s="188">
        <v>40746</v>
      </c>
      <c r="B106" s="35" t="s">
        <v>1336</v>
      </c>
      <c r="C106" t="s">
        <v>7</v>
      </c>
      <c r="D106" t="s">
        <v>18</v>
      </c>
      <c r="E106" s="141">
        <v>3</v>
      </c>
      <c r="F106" s="141">
        <v>95</v>
      </c>
      <c r="G106" s="142"/>
      <c r="H106" s="142">
        <v>285</v>
      </c>
      <c r="I106" s="192">
        <v>31</v>
      </c>
    </row>
    <row r="107" spans="1:9" x14ac:dyDescent="0.65">
      <c r="A107" s="188">
        <v>40750</v>
      </c>
      <c r="B107" s="35" t="s">
        <v>7</v>
      </c>
      <c r="C107" t="s">
        <v>7</v>
      </c>
      <c r="D107" t="s">
        <v>18</v>
      </c>
      <c r="E107" s="141">
        <v>4</v>
      </c>
      <c r="F107" s="141">
        <v>32.200000000000003</v>
      </c>
      <c r="G107" s="142"/>
      <c r="H107" s="142">
        <v>128.80000000000001</v>
      </c>
      <c r="I107" s="192">
        <v>31</v>
      </c>
    </row>
    <row r="108" spans="1:9" x14ac:dyDescent="0.65">
      <c r="A108" s="188">
        <v>40750</v>
      </c>
      <c r="B108" s="35" t="s">
        <v>1344</v>
      </c>
      <c r="C108" t="s">
        <v>1345</v>
      </c>
      <c r="D108" t="s">
        <v>18</v>
      </c>
      <c r="E108" s="141">
        <v>4</v>
      </c>
      <c r="F108" s="141">
        <v>80</v>
      </c>
      <c r="G108" s="142"/>
      <c r="H108" s="142">
        <v>320</v>
      </c>
      <c r="I108" s="192">
        <v>31</v>
      </c>
    </row>
    <row r="109" spans="1:9" x14ac:dyDescent="0.65">
      <c r="A109" s="188">
        <v>40784</v>
      </c>
      <c r="B109" s="35" t="s">
        <v>7</v>
      </c>
      <c r="C109" t="s">
        <v>7</v>
      </c>
      <c r="D109" t="s">
        <v>18</v>
      </c>
      <c r="E109" s="141">
        <v>2</v>
      </c>
      <c r="F109" s="141">
        <v>32.200000000000003</v>
      </c>
      <c r="G109" s="142"/>
      <c r="H109" s="142">
        <v>64.400000000000006</v>
      </c>
      <c r="I109" s="192">
        <v>31</v>
      </c>
    </row>
    <row r="110" spans="1:9" x14ac:dyDescent="0.65">
      <c r="A110" s="188">
        <v>40784</v>
      </c>
      <c r="B110" s="35" t="s">
        <v>7</v>
      </c>
      <c r="C110" t="s">
        <v>7</v>
      </c>
      <c r="D110" t="s">
        <v>18</v>
      </c>
      <c r="E110" s="141">
        <v>2</v>
      </c>
      <c r="F110" s="141">
        <v>39.39</v>
      </c>
      <c r="G110" s="142"/>
      <c r="H110" s="142">
        <v>78.78</v>
      </c>
      <c r="I110" s="192">
        <v>31</v>
      </c>
    </row>
    <row r="111" spans="1:9" x14ac:dyDescent="0.65">
      <c r="A111" s="188">
        <v>40784</v>
      </c>
      <c r="B111" s="35" t="s">
        <v>1336</v>
      </c>
      <c r="C111" t="s">
        <v>7</v>
      </c>
      <c r="D111" t="s">
        <v>18</v>
      </c>
      <c r="E111" s="141">
        <v>2</v>
      </c>
      <c r="F111" s="141">
        <v>95</v>
      </c>
      <c r="G111" s="142"/>
      <c r="H111" s="142">
        <v>190</v>
      </c>
      <c r="I111" s="192">
        <v>31</v>
      </c>
    </row>
    <row r="112" spans="1:9" x14ac:dyDescent="0.65">
      <c r="A112" s="188">
        <v>40784</v>
      </c>
      <c r="B112" s="35" t="s">
        <v>1336</v>
      </c>
      <c r="C112" t="s">
        <v>1342</v>
      </c>
      <c r="D112" t="s">
        <v>18</v>
      </c>
      <c r="E112" s="141">
        <v>2</v>
      </c>
      <c r="F112" s="141">
        <v>90</v>
      </c>
      <c r="G112" s="142"/>
      <c r="H112" s="142">
        <v>180</v>
      </c>
      <c r="I112" s="192">
        <v>31</v>
      </c>
    </row>
    <row r="113" spans="1:9" x14ac:dyDescent="0.65">
      <c r="A113" s="188">
        <v>40784</v>
      </c>
      <c r="B113" s="35" t="s">
        <v>1347</v>
      </c>
      <c r="C113" t="s">
        <v>1348</v>
      </c>
      <c r="D113" t="s">
        <v>18</v>
      </c>
      <c r="E113" s="141">
        <v>4</v>
      </c>
      <c r="F113" s="141">
        <v>90</v>
      </c>
      <c r="G113" s="142"/>
      <c r="H113" s="142">
        <v>360</v>
      </c>
      <c r="I113" s="192">
        <v>31</v>
      </c>
    </row>
    <row r="114" spans="1:9" x14ac:dyDescent="0.65">
      <c r="A114" s="188">
        <v>40784</v>
      </c>
      <c r="B114" s="35" t="s">
        <v>1334</v>
      </c>
      <c r="C114" t="s">
        <v>1335</v>
      </c>
      <c r="D114" t="s">
        <v>18</v>
      </c>
      <c r="E114" s="141">
        <v>2</v>
      </c>
      <c r="F114" s="141">
        <v>135</v>
      </c>
      <c r="G114" s="142"/>
      <c r="H114" s="142">
        <v>270</v>
      </c>
      <c r="I114" s="192">
        <v>31</v>
      </c>
    </row>
    <row r="115" spans="1:9" x14ac:dyDescent="0.65">
      <c r="A115" s="189" t="s">
        <v>448</v>
      </c>
      <c r="B115" s="183" t="s">
        <v>1349</v>
      </c>
      <c r="C115" s="184" t="s">
        <v>448</v>
      </c>
      <c r="D115" s="184" t="s">
        <v>448</v>
      </c>
      <c r="E115" s="185"/>
      <c r="F115" s="185"/>
      <c r="G115" s="186"/>
      <c r="H115" s="186">
        <v>17446.665000000001</v>
      </c>
      <c r="I115" s="193" t="s">
        <v>1767</v>
      </c>
    </row>
    <row r="116" spans="1:9" x14ac:dyDescent="0.65">
      <c r="A116" s="188" t="s">
        <v>448</v>
      </c>
      <c r="B116" s="35" t="s">
        <v>448</v>
      </c>
      <c r="C116" t="s">
        <v>448</v>
      </c>
      <c r="D116" t="s">
        <v>448</v>
      </c>
      <c r="E116" s="141"/>
      <c r="F116" s="141"/>
      <c r="G116" s="142"/>
      <c r="H116" s="142"/>
      <c r="I116" s="191" t="s">
        <v>1767</v>
      </c>
    </row>
    <row r="117" spans="1:9" x14ac:dyDescent="0.65">
      <c r="A117" s="187" t="s">
        <v>448</v>
      </c>
      <c r="B117" s="29" t="s">
        <v>1814</v>
      </c>
      <c r="C117" s="27" t="s">
        <v>448</v>
      </c>
      <c r="D117" s="27" t="s">
        <v>448</v>
      </c>
      <c r="E117" s="181"/>
      <c r="F117" s="181"/>
      <c r="G117" s="182"/>
      <c r="H117" s="182"/>
      <c r="I117" s="140" t="s">
        <v>1767</v>
      </c>
    </row>
    <row r="118" spans="1:9" x14ac:dyDescent="0.65">
      <c r="A118" s="188">
        <v>40764</v>
      </c>
      <c r="B118" s="35" t="s">
        <v>1336</v>
      </c>
      <c r="C118" t="s">
        <v>1342</v>
      </c>
      <c r="D118" t="s">
        <v>18</v>
      </c>
      <c r="E118" s="141">
        <v>3</v>
      </c>
      <c r="F118" s="141">
        <v>90</v>
      </c>
      <c r="G118" s="142"/>
      <c r="H118" s="142">
        <v>270</v>
      </c>
      <c r="I118" s="192">
        <v>33</v>
      </c>
    </row>
    <row r="119" spans="1:9" x14ac:dyDescent="0.65">
      <c r="A119" s="188">
        <v>40764</v>
      </c>
      <c r="B119" s="35" t="s">
        <v>1347</v>
      </c>
      <c r="C119" t="s">
        <v>1348</v>
      </c>
      <c r="D119" t="s">
        <v>18</v>
      </c>
      <c r="E119" s="141">
        <v>3</v>
      </c>
      <c r="F119" s="141">
        <v>90</v>
      </c>
      <c r="G119" s="142"/>
      <c r="H119" s="142">
        <v>270</v>
      </c>
      <c r="I119" s="192">
        <v>33</v>
      </c>
    </row>
    <row r="120" spans="1:9" x14ac:dyDescent="0.65">
      <c r="A120" s="188">
        <v>40764</v>
      </c>
      <c r="B120" s="35" t="s">
        <v>1336</v>
      </c>
      <c r="C120" t="s">
        <v>1341</v>
      </c>
      <c r="D120" t="s">
        <v>18</v>
      </c>
      <c r="E120" s="141">
        <v>3.5</v>
      </c>
      <c r="F120" s="141">
        <v>95</v>
      </c>
      <c r="G120" s="142"/>
      <c r="H120" s="142">
        <v>332.5</v>
      </c>
      <c r="I120" s="192">
        <v>33</v>
      </c>
    </row>
    <row r="121" spans="1:9" x14ac:dyDescent="0.65">
      <c r="A121" s="188">
        <v>40764</v>
      </c>
      <c r="B121" s="35" t="s">
        <v>1334</v>
      </c>
      <c r="C121" t="s">
        <v>1335</v>
      </c>
      <c r="D121" t="s">
        <v>18</v>
      </c>
      <c r="E121" s="141">
        <v>3</v>
      </c>
      <c r="F121" s="141">
        <v>135</v>
      </c>
      <c r="G121" s="142"/>
      <c r="H121" s="142">
        <v>405</v>
      </c>
      <c r="I121" s="192">
        <v>33</v>
      </c>
    </row>
    <row r="122" spans="1:9" x14ac:dyDescent="0.65">
      <c r="A122" s="188">
        <v>40778</v>
      </c>
      <c r="B122" s="35" t="s">
        <v>1347</v>
      </c>
      <c r="C122" t="s">
        <v>1348</v>
      </c>
      <c r="D122" t="s">
        <v>18</v>
      </c>
      <c r="E122" s="141">
        <v>3.25</v>
      </c>
      <c r="F122" s="141">
        <v>90</v>
      </c>
      <c r="G122" s="142"/>
      <c r="H122" s="142">
        <v>292.5</v>
      </c>
      <c r="I122" s="192">
        <v>33</v>
      </c>
    </row>
    <row r="123" spans="1:9" x14ac:dyDescent="0.65">
      <c r="A123" s="188">
        <v>40779</v>
      </c>
      <c r="B123" s="35" t="s">
        <v>1347</v>
      </c>
      <c r="C123" t="s">
        <v>1348</v>
      </c>
      <c r="D123" t="s">
        <v>18</v>
      </c>
      <c r="E123" s="141">
        <v>2</v>
      </c>
      <c r="F123" s="141">
        <v>90</v>
      </c>
      <c r="G123" s="142"/>
      <c r="H123" s="142">
        <v>180</v>
      </c>
      <c r="I123" s="192">
        <v>33</v>
      </c>
    </row>
    <row r="124" spans="1:9" x14ac:dyDescent="0.65">
      <c r="A124" s="188">
        <v>40780</v>
      </c>
      <c r="B124" s="35" t="s">
        <v>1347</v>
      </c>
      <c r="C124" t="s">
        <v>1348</v>
      </c>
      <c r="D124" t="s">
        <v>18</v>
      </c>
      <c r="E124" s="141">
        <v>2</v>
      </c>
      <c r="F124" s="141">
        <v>90</v>
      </c>
      <c r="G124" s="142"/>
      <c r="H124" s="142">
        <v>180</v>
      </c>
      <c r="I124" s="192">
        <v>33</v>
      </c>
    </row>
    <row r="125" spans="1:9" x14ac:dyDescent="0.65">
      <c r="A125" s="188">
        <v>40780</v>
      </c>
      <c r="B125" s="35" t="s">
        <v>7</v>
      </c>
      <c r="C125" t="s">
        <v>7</v>
      </c>
      <c r="D125" t="s">
        <v>18</v>
      </c>
      <c r="E125" s="141">
        <v>2</v>
      </c>
      <c r="F125" s="141">
        <v>39.39</v>
      </c>
      <c r="G125" s="142"/>
      <c r="H125" s="142">
        <v>78.78</v>
      </c>
      <c r="I125" s="192">
        <v>33</v>
      </c>
    </row>
    <row r="126" spans="1:9" x14ac:dyDescent="0.65">
      <c r="A126" s="188">
        <v>40785</v>
      </c>
      <c r="B126" s="35" t="s">
        <v>1347</v>
      </c>
      <c r="C126" t="s">
        <v>1348</v>
      </c>
      <c r="D126" t="s">
        <v>18</v>
      </c>
      <c r="E126" s="141">
        <v>4</v>
      </c>
      <c r="F126" s="141">
        <v>90</v>
      </c>
      <c r="G126" s="142"/>
      <c r="H126" s="142">
        <v>360</v>
      </c>
      <c r="I126" s="192">
        <v>33</v>
      </c>
    </row>
    <row r="127" spans="1:9" x14ac:dyDescent="0.65">
      <c r="A127" s="188">
        <v>40786</v>
      </c>
      <c r="B127" s="35" t="s">
        <v>1347</v>
      </c>
      <c r="C127" t="s">
        <v>1348</v>
      </c>
      <c r="D127" t="s">
        <v>18</v>
      </c>
      <c r="E127" s="141">
        <v>5</v>
      </c>
      <c r="F127" s="141">
        <v>90</v>
      </c>
      <c r="G127" s="142"/>
      <c r="H127" s="142">
        <v>450</v>
      </c>
      <c r="I127" s="192">
        <v>33</v>
      </c>
    </row>
    <row r="128" spans="1:9" x14ac:dyDescent="0.65">
      <c r="A128" s="188">
        <v>40786</v>
      </c>
      <c r="B128" s="35" t="s">
        <v>1344</v>
      </c>
      <c r="C128" t="s">
        <v>1345</v>
      </c>
      <c r="D128" t="s">
        <v>18</v>
      </c>
      <c r="E128" s="141">
        <v>5</v>
      </c>
      <c r="F128" s="141">
        <v>80</v>
      </c>
      <c r="G128" s="142"/>
      <c r="H128" s="142">
        <v>400</v>
      </c>
      <c r="I128" s="192">
        <v>33</v>
      </c>
    </row>
    <row r="129" spans="1:9" x14ac:dyDescent="0.65">
      <c r="A129" s="188">
        <v>40786</v>
      </c>
      <c r="B129" s="35" t="s">
        <v>1336</v>
      </c>
      <c r="C129" t="s">
        <v>1341</v>
      </c>
      <c r="D129" t="s">
        <v>18</v>
      </c>
      <c r="E129" s="141">
        <v>5</v>
      </c>
      <c r="F129" s="141">
        <v>95</v>
      </c>
      <c r="G129" s="142"/>
      <c r="H129" s="142">
        <v>475</v>
      </c>
      <c r="I129" s="192">
        <v>33</v>
      </c>
    </row>
    <row r="130" spans="1:9" x14ac:dyDescent="0.65">
      <c r="A130" s="188">
        <v>40786</v>
      </c>
      <c r="B130" s="35" t="s">
        <v>7</v>
      </c>
      <c r="C130" t="s">
        <v>7</v>
      </c>
      <c r="D130" t="s">
        <v>18</v>
      </c>
      <c r="E130" s="141">
        <v>5</v>
      </c>
      <c r="F130" s="141">
        <v>39.39</v>
      </c>
      <c r="G130" s="142"/>
      <c r="H130" s="142">
        <v>196.95</v>
      </c>
      <c r="I130" s="192">
        <v>33</v>
      </c>
    </row>
    <row r="131" spans="1:9" x14ac:dyDescent="0.65">
      <c r="A131" s="188">
        <v>40786</v>
      </c>
      <c r="B131" s="35" t="s">
        <v>7</v>
      </c>
      <c r="C131" t="s">
        <v>7</v>
      </c>
      <c r="D131" t="s">
        <v>18</v>
      </c>
      <c r="E131" s="141">
        <v>5</v>
      </c>
      <c r="F131" s="141">
        <v>32.200000000000003</v>
      </c>
      <c r="G131" s="142"/>
      <c r="H131" s="142">
        <v>161</v>
      </c>
      <c r="I131" s="192">
        <v>33</v>
      </c>
    </row>
    <row r="132" spans="1:9" x14ac:dyDescent="0.65">
      <c r="A132" s="188">
        <v>40787</v>
      </c>
      <c r="B132" s="35" t="s">
        <v>1336</v>
      </c>
      <c r="C132" t="s">
        <v>1342</v>
      </c>
      <c r="D132" t="s">
        <v>18</v>
      </c>
      <c r="E132" s="141">
        <v>7</v>
      </c>
      <c r="F132" s="141">
        <v>90</v>
      </c>
      <c r="G132" s="142"/>
      <c r="H132" s="142">
        <v>630</v>
      </c>
      <c r="I132" s="192">
        <v>33</v>
      </c>
    </row>
    <row r="133" spans="1:9" x14ac:dyDescent="0.65">
      <c r="A133" s="188">
        <v>40787</v>
      </c>
      <c r="B133" s="35" t="s">
        <v>7</v>
      </c>
      <c r="C133" t="s">
        <v>7</v>
      </c>
      <c r="D133" t="s">
        <v>18</v>
      </c>
      <c r="E133" s="141">
        <v>5</v>
      </c>
      <c r="F133" s="141">
        <v>32.200000000000003</v>
      </c>
      <c r="G133" s="142"/>
      <c r="H133" s="142">
        <v>161</v>
      </c>
      <c r="I133" s="192">
        <v>33</v>
      </c>
    </row>
    <row r="134" spans="1:9" x14ac:dyDescent="0.65">
      <c r="A134" s="188">
        <v>40787</v>
      </c>
      <c r="B134" s="35" t="s">
        <v>1347</v>
      </c>
      <c r="C134" t="s">
        <v>1348</v>
      </c>
      <c r="D134" t="s">
        <v>18</v>
      </c>
      <c r="E134" s="141">
        <v>7</v>
      </c>
      <c r="F134" s="141">
        <v>90</v>
      </c>
      <c r="G134" s="142"/>
      <c r="H134" s="142">
        <v>630</v>
      </c>
      <c r="I134" s="192">
        <v>33</v>
      </c>
    </row>
    <row r="135" spans="1:9" x14ac:dyDescent="0.65">
      <c r="A135" s="188">
        <v>40787</v>
      </c>
      <c r="B135" s="35" t="s">
        <v>1344</v>
      </c>
      <c r="C135" t="s">
        <v>1345</v>
      </c>
      <c r="D135" t="s">
        <v>18</v>
      </c>
      <c r="E135" s="141">
        <v>2</v>
      </c>
      <c r="F135" s="141">
        <v>80</v>
      </c>
      <c r="G135" s="142"/>
      <c r="H135" s="142">
        <v>160</v>
      </c>
      <c r="I135" s="192">
        <v>33</v>
      </c>
    </row>
    <row r="136" spans="1:9" x14ac:dyDescent="0.65">
      <c r="A136" s="188">
        <v>40787</v>
      </c>
      <c r="B136" s="35" t="s">
        <v>7</v>
      </c>
      <c r="C136" t="s">
        <v>7</v>
      </c>
      <c r="D136" t="s">
        <v>18</v>
      </c>
      <c r="E136" s="141">
        <v>5</v>
      </c>
      <c r="F136" s="141">
        <v>39.39</v>
      </c>
      <c r="G136" s="142"/>
      <c r="H136" s="142">
        <v>196.95</v>
      </c>
      <c r="I136" s="192">
        <v>33</v>
      </c>
    </row>
    <row r="137" spans="1:9" x14ac:dyDescent="0.65">
      <c r="A137" s="188">
        <v>40787</v>
      </c>
      <c r="B137" s="35" t="s">
        <v>1336</v>
      </c>
      <c r="C137" t="s">
        <v>1341</v>
      </c>
      <c r="D137" t="s">
        <v>18</v>
      </c>
      <c r="E137" s="141">
        <v>7</v>
      </c>
      <c r="F137" s="141">
        <v>95</v>
      </c>
      <c r="G137" s="142"/>
      <c r="H137" s="142">
        <v>665</v>
      </c>
      <c r="I137" s="192">
        <v>33</v>
      </c>
    </row>
    <row r="138" spans="1:9" x14ac:dyDescent="0.65">
      <c r="A138" s="188">
        <v>40788</v>
      </c>
      <c r="B138" s="35" t="s">
        <v>1336</v>
      </c>
      <c r="C138" t="s">
        <v>1342</v>
      </c>
      <c r="D138" t="s">
        <v>18</v>
      </c>
      <c r="E138" s="141">
        <v>2</v>
      </c>
      <c r="F138" s="141">
        <v>90</v>
      </c>
      <c r="G138" s="142"/>
      <c r="H138" s="142">
        <v>180</v>
      </c>
      <c r="I138" s="192">
        <v>33</v>
      </c>
    </row>
    <row r="139" spans="1:9" x14ac:dyDescent="0.65">
      <c r="A139" s="188">
        <v>40788</v>
      </c>
      <c r="B139" s="35" t="s">
        <v>1347</v>
      </c>
      <c r="C139" t="s">
        <v>1348</v>
      </c>
      <c r="D139" t="s">
        <v>18</v>
      </c>
      <c r="E139" s="141">
        <v>2</v>
      </c>
      <c r="F139" s="141">
        <v>90</v>
      </c>
      <c r="G139" s="142"/>
      <c r="H139" s="142">
        <v>180</v>
      </c>
      <c r="I139" s="192">
        <v>33</v>
      </c>
    </row>
    <row r="140" spans="1:9" x14ac:dyDescent="0.65">
      <c r="A140" s="188">
        <v>40791</v>
      </c>
      <c r="B140" s="35" t="s">
        <v>1347</v>
      </c>
      <c r="C140" t="s">
        <v>1348</v>
      </c>
      <c r="D140" t="s">
        <v>18</v>
      </c>
      <c r="E140" s="141">
        <v>2.25</v>
      </c>
      <c r="F140" s="141">
        <v>90</v>
      </c>
      <c r="G140" s="142"/>
      <c r="H140" s="142">
        <v>202.5</v>
      </c>
      <c r="I140" s="192">
        <v>33</v>
      </c>
    </row>
    <row r="141" spans="1:9" x14ac:dyDescent="0.65">
      <c r="A141" s="188">
        <v>40791</v>
      </c>
      <c r="B141" s="35" t="s">
        <v>1334</v>
      </c>
      <c r="C141" t="s">
        <v>1335</v>
      </c>
      <c r="D141" t="s">
        <v>18</v>
      </c>
      <c r="E141" s="141">
        <v>2</v>
      </c>
      <c r="F141" s="141">
        <v>135</v>
      </c>
      <c r="G141" s="142"/>
      <c r="H141" s="142">
        <v>270</v>
      </c>
      <c r="I141" s="192">
        <v>33</v>
      </c>
    </row>
    <row r="142" spans="1:9" x14ac:dyDescent="0.65">
      <c r="A142" s="188">
        <v>40792</v>
      </c>
      <c r="B142" s="35" t="s">
        <v>1334</v>
      </c>
      <c r="C142" t="s">
        <v>1335</v>
      </c>
      <c r="D142" t="s">
        <v>18</v>
      </c>
      <c r="E142" s="141">
        <v>6</v>
      </c>
      <c r="F142" s="141">
        <v>135</v>
      </c>
      <c r="G142" s="142"/>
      <c r="H142" s="142">
        <v>810</v>
      </c>
      <c r="I142" s="192">
        <v>33</v>
      </c>
    </row>
    <row r="143" spans="1:9" x14ac:dyDescent="0.65">
      <c r="A143" s="188">
        <v>40792</v>
      </c>
      <c r="B143" s="35" t="s">
        <v>7</v>
      </c>
      <c r="C143" t="s">
        <v>7</v>
      </c>
      <c r="D143" t="s">
        <v>18</v>
      </c>
      <c r="E143" s="141">
        <v>2</v>
      </c>
      <c r="F143" s="141">
        <v>39.39</v>
      </c>
      <c r="G143" s="142"/>
      <c r="H143" s="142">
        <v>78.78</v>
      </c>
      <c r="I143" s="192">
        <v>33</v>
      </c>
    </row>
    <row r="144" spans="1:9" x14ac:dyDescent="0.65">
      <c r="A144" s="188">
        <v>40792</v>
      </c>
      <c r="B144" s="35" t="s">
        <v>1347</v>
      </c>
      <c r="C144" t="s">
        <v>1348</v>
      </c>
      <c r="D144" t="s">
        <v>18</v>
      </c>
      <c r="E144" s="141">
        <v>6</v>
      </c>
      <c r="F144" s="141">
        <v>90</v>
      </c>
      <c r="G144" s="142"/>
      <c r="H144" s="142">
        <v>540</v>
      </c>
      <c r="I144" s="192">
        <v>33</v>
      </c>
    </row>
    <row r="145" spans="1:9" x14ac:dyDescent="0.65">
      <c r="A145" s="188">
        <v>40795</v>
      </c>
      <c r="B145" s="35" t="s">
        <v>1347</v>
      </c>
      <c r="C145" t="s">
        <v>1348</v>
      </c>
      <c r="D145" t="s">
        <v>18</v>
      </c>
      <c r="E145" s="141">
        <v>3</v>
      </c>
      <c r="F145" s="141">
        <v>90</v>
      </c>
      <c r="G145" s="142"/>
      <c r="H145" s="142">
        <v>270</v>
      </c>
      <c r="I145" s="192">
        <v>33</v>
      </c>
    </row>
    <row r="146" spans="1:9" x14ac:dyDescent="0.65">
      <c r="A146" s="188">
        <v>40795</v>
      </c>
      <c r="B146" s="35" t="s">
        <v>1334</v>
      </c>
      <c r="C146" t="s">
        <v>1335</v>
      </c>
      <c r="D146" t="s">
        <v>18</v>
      </c>
      <c r="E146" s="141">
        <v>3</v>
      </c>
      <c r="F146" s="141">
        <v>135</v>
      </c>
      <c r="G146" s="142"/>
      <c r="H146" s="142">
        <v>405</v>
      </c>
      <c r="I146" s="192">
        <v>33</v>
      </c>
    </row>
    <row r="147" spans="1:9" x14ac:dyDescent="0.65">
      <c r="A147" s="188">
        <v>40796</v>
      </c>
      <c r="B147" s="35" t="s">
        <v>1347</v>
      </c>
      <c r="C147" t="s">
        <v>1348</v>
      </c>
      <c r="D147" t="s">
        <v>18</v>
      </c>
      <c r="E147" s="141">
        <v>3</v>
      </c>
      <c r="F147" s="141">
        <v>90</v>
      </c>
      <c r="G147" s="142"/>
      <c r="H147" s="142">
        <v>270</v>
      </c>
      <c r="I147" s="192">
        <v>33</v>
      </c>
    </row>
    <row r="148" spans="1:9" x14ac:dyDescent="0.65">
      <c r="A148" s="188">
        <v>40801</v>
      </c>
      <c r="B148" s="35" t="s">
        <v>1347</v>
      </c>
      <c r="C148" t="s">
        <v>1348</v>
      </c>
      <c r="D148" t="s">
        <v>18</v>
      </c>
      <c r="E148" s="141">
        <v>4</v>
      </c>
      <c r="F148" s="141">
        <v>90</v>
      </c>
      <c r="G148" s="142"/>
      <c r="H148" s="142">
        <v>360</v>
      </c>
      <c r="I148" s="192">
        <v>33</v>
      </c>
    </row>
    <row r="149" spans="1:9" x14ac:dyDescent="0.65">
      <c r="A149" s="188">
        <v>40806</v>
      </c>
      <c r="B149" s="35" t="s">
        <v>1347</v>
      </c>
      <c r="C149" t="s">
        <v>1348</v>
      </c>
      <c r="D149" t="s">
        <v>18</v>
      </c>
      <c r="E149" s="141">
        <v>4.75</v>
      </c>
      <c r="F149" s="141">
        <v>90</v>
      </c>
      <c r="G149" s="142"/>
      <c r="H149" s="142">
        <v>427.5</v>
      </c>
      <c r="I149" s="192">
        <v>33</v>
      </c>
    </row>
    <row r="150" spans="1:9" x14ac:dyDescent="0.65">
      <c r="A150" s="188">
        <v>40806</v>
      </c>
      <c r="B150" s="35" t="s">
        <v>1344</v>
      </c>
      <c r="C150" t="s">
        <v>1345</v>
      </c>
      <c r="D150" t="s">
        <v>18</v>
      </c>
      <c r="E150" s="141">
        <v>3</v>
      </c>
      <c r="F150" s="141">
        <v>80</v>
      </c>
      <c r="G150" s="142"/>
      <c r="H150" s="142">
        <v>240</v>
      </c>
      <c r="I150" s="192">
        <v>33</v>
      </c>
    </row>
    <row r="151" spans="1:9" x14ac:dyDescent="0.65">
      <c r="A151" s="188">
        <v>40808</v>
      </c>
      <c r="B151" s="35" t="s">
        <v>1347</v>
      </c>
      <c r="C151" t="s">
        <v>1348</v>
      </c>
      <c r="D151" t="s">
        <v>18</v>
      </c>
      <c r="E151" s="141">
        <v>6</v>
      </c>
      <c r="F151" s="141">
        <v>90</v>
      </c>
      <c r="G151" s="142"/>
      <c r="H151" s="142">
        <v>540</v>
      </c>
      <c r="I151" s="192">
        <v>33</v>
      </c>
    </row>
    <row r="152" spans="1:9" x14ac:dyDescent="0.65">
      <c r="A152" s="188">
        <v>40813</v>
      </c>
      <c r="B152" s="35" t="s">
        <v>1347</v>
      </c>
      <c r="C152" t="s">
        <v>1348</v>
      </c>
      <c r="D152" t="s">
        <v>18</v>
      </c>
      <c r="E152" s="141">
        <v>6</v>
      </c>
      <c r="F152" s="141">
        <v>90</v>
      </c>
      <c r="G152" s="142"/>
      <c r="H152" s="142">
        <v>540</v>
      </c>
      <c r="I152" s="192">
        <v>33</v>
      </c>
    </row>
    <row r="153" spans="1:9" x14ac:dyDescent="0.65">
      <c r="A153" s="188">
        <v>40813</v>
      </c>
      <c r="B153" s="35" t="s">
        <v>7</v>
      </c>
      <c r="C153" t="s">
        <v>7</v>
      </c>
      <c r="D153" t="s">
        <v>18</v>
      </c>
      <c r="E153" s="141">
        <v>2.5</v>
      </c>
      <c r="F153" s="141">
        <v>35.35</v>
      </c>
      <c r="G153" s="142"/>
      <c r="H153" s="142">
        <v>88.375</v>
      </c>
      <c r="I153" s="192">
        <v>33</v>
      </c>
    </row>
    <row r="154" spans="1:9" x14ac:dyDescent="0.65">
      <c r="A154" s="188">
        <v>40813</v>
      </c>
      <c r="B154" s="35" t="s">
        <v>7</v>
      </c>
      <c r="C154" t="s">
        <v>7</v>
      </c>
      <c r="D154" t="s">
        <v>18</v>
      </c>
      <c r="E154" s="141">
        <v>2.5</v>
      </c>
      <c r="F154" s="141">
        <v>35.35</v>
      </c>
      <c r="G154" s="142"/>
      <c r="H154" s="142">
        <v>88.375</v>
      </c>
      <c r="I154" s="192">
        <v>33</v>
      </c>
    </row>
    <row r="155" spans="1:9" x14ac:dyDescent="0.65">
      <c r="A155" s="188">
        <v>40814</v>
      </c>
      <c r="B155" s="35" t="s">
        <v>1347</v>
      </c>
      <c r="C155" t="s">
        <v>1348</v>
      </c>
      <c r="D155" t="s">
        <v>18</v>
      </c>
      <c r="E155" s="141">
        <v>2</v>
      </c>
      <c r="F155" s="141">
        <v>90</v>
      </c>
      <c r="G155" s="142"/>
      <c r="H155" s="142">
        <v>180</v>
      </c>
      <c r="I155" s="192">
        <v>33</v>
      </c>
    </row>
    <row r="156" spans="1:9" x14ac:dyDescent="0.65">
      <c r="A156" s="188">
        <v>40814</v>
      </c>
      <c r="B156" s="35" t="s">
        <v>7</v>
      </c>
      <c r="C156" t="s">
        <v>7</v>
      </c>
      <c r="D156" t="s">
        <v>18</v>
      </c>
      <c r="E156" s="141">
        <v>2</v>
      </c>
      <c r="F156" s="141">
        <v>35.35</v>
      </c>
      <c r="G156" s="142"/>
      <c r="H156" s="142">
        <v>70.7</v>
      </c>
      <c r="I156" s="192">
        <v>33</v>
      </c>
    </row>
    <row r="157" spans="1:9" x14ac:dyDescent="0.65">
      <c r="A157" s="188">
        <v>40819</v>
      </c>
      <c r="B157" s="35" t="s">
        <v>1336</v>
      </c>
      <c r="C157" t="s">
        <v>1342</v>
      </c>
      <c r="D157" t="s">
        <v>18</v>
      </c>
      <c r="E157" s="141">
        <v>2</v>
      </c>
      <c r="F157" s="141">
        <v>90</v>
      </c>
      <c r="G157" s="142"/>
      <c r="H157" s="142">
        <v>180</v>
      </c>
      <c r="I157" s="192">
        <v>33</v>
      </c>
    </row>
    <row r="158" spans="1:9" x14ac:dyDescent="0.65">
      <c r="A158" s="188">
        <v>40819</v>
      </c>
      <c r="B158" s="35" t="s">
        <v>7</v>
      </c>
      <c r="C158" t="s">
        <v>7</v>
      </c>
      <c r="D158" t="s">
        <v>18</v>
      </c>
      <c r="E158" s="141">
        <v>2</v>
      </c>
      <c r="F158" s="141">
        <v>35.35</v>
      </c>
      <c r="G158" s="142"/>
      <c r="H158" s="142">
        <v>70.7</v>
      </c>
      <c r="I158" s="192">
        <v>33</v>
      </c>
    </row>
    <row r="159" spans="1:9" x14ac:dyDescent="0.65">
      <c r="A159" s="188">
        <v>40819</v>
      </c>
      <c r="B159" s="35" t="s">
        <v>7</v>
      </c>
      <c r="C159" t="s">
        <v>7</v>
      </c>
      <c r="D159" t="s">
        <v>18</v>
      </c>
      <c r="E159" s="141">
        <v>2</v>
      </c>
      <c r="F159" s="141">
        <v>35.35</v>
      </c>
      <c r="G159" s="142"/>
      <c r="H159" s="142">
        <v>70.7</v>
      </c>
      <c r="I159" s="192">
        <v>33</v>
      </c>
    </row>
    <row r="160" spans="1:9" x14ac:dyDescent="0.65">
      <c r="A160" s="188">
        <v>40819</v>
      </c>
      <c r="B160" s="35" t="s">
        <v>1347</v>
      </c>
      <c r="C160" t="s">
        <v>1348</v>
      </c>
      <c r="D160" t="s">
        <v>18</v>
      </c>
      <c r="E160" s="141">
        <v>7</v>
      </c>
      <c r="F160" s="141">
        <v>90</v>
      </c>
      <c r="G160" s="142"/>
      <c r="H160" s="142">
        <v>630</v>
      </c>
      <c r="I160" s="192">
        <v>33</v>
      </c>
    </row>
    <row r="161" spans="1:9" x14ac:dyDescent="0.65">
      <c r="A161" s="188">
        <v>40820</v>
      </c>
      <c r="B161" s="35" t="s">
        <v>7</v>
      </c>
      <c r="C161" t="s">
        <v>7</v>
      </c>
      <c r="D161" t="s">
        <v>18</v>
      </c>
      <c r="E161" s="141">
        <v>2</v>
      </c>
      <c r="F161" s="141">
        <v>35.35</v>
      </c>
      <c r="G161" s="142"/>
      <c r="H161" s="142">
        <v>70.7</v>
      </c>
      <c r="I161" s="192">
        <v>33</v>
      </c>
    </row>
    <row r="162" spans="1:9" x14ac:dyDescent="0.65">
      <c r="A162" s="188">
        <v>40820</v>
      </c>
      <c r="B162" s="35" t="s">
        <v>7</v>
      </c>
      <c r="C162" t="s">
        <v>7</v>
      </c>
      <c r="D162" t="s">
        <v>18</v>
      </c>
      <c r="E162" s="141">
        <v>2</v>
      </c>
      <c r="F162" s="141">
        <v>35.35</v>
      </c>
      <c r="G162" s="142"/>
      <c r="H162" s="142">
        <v>70.7</v>
      </c>
      <c r="I162" s="192">
        <v>33</v>
      </c>
    </row>
    <row r="163" spans="1:9" x14ac:dyDescent="0.65">
      <c r="A163" s="188">
        <v>40820</v>
      </c>
      <c r="B163" s="35" t="s">
        <v>1347</v>
      </c>
      <c r="C163" t="s">
        <v>1348</v>
      </c>
      <c r="D163" t="s">
        <v>18</v>
      </c>
      <c r="E163" s="141">
        <v>2</v>
      </c>
      <c r="F163" s="141">
        <v>90</v>
      </c>
      <c r="G163" s="142"/>
      <c r="H163" s="142">
        <v>180</v>
      </c>
      <c r="I163" s="192">
        <v>33</v>
      </c>
    </row>
    <row r="164" spans="1:9" x14ac:dyDescent="0.65">
      <c r="A164" s="188">
        <v>40821</v>
      </c>
      <c r="B164" s="35" t="s">
        <v>1344</v>
      </c>
      <c r="C164" t="s">
        <v>1345</v>
      </c>
      <c r="D164" t="s">
        <v>18</v>
      </c>
      <c r="E164" s="141">
        <v>5</v>
      </c>
      <c r="F164" s="141">
        <v>80</v>
      </c>
      <c r="G164" s="142"/>
      <c r="H164" s="142">
        <v>400</v>
      </c>
      <c r="I164" s="192">
        <v>33</v>
      </c>
    </row>
    <row r="165" spans="1:9" x14ac:dyDescent="0.65">
      <c r="A165" s="188">
        <v>40821</v>
      </c>
      <c r="B165" s="35" t="s">
        <v>7</v>
      </c>
      <c r="C165" t="s">
        <v>7</v>
      </c>
      <c r="D165" t="s">
        <v>18</v>
      </c>
      <c r="E165" s="141">
        <v>2</v>
      </c>
      <c r="F165" s="141">
        <v>35.35</v>
      </c>
      <c r="G165" s="142"/>
      <c r="H165" s="142">
        <v>70.7</v>
      </c>
      <c r="I165" s="192">
        <v>33</v>
      </c>
    </row>
    <row r="166" spans="1:9" x14ac:dyDescent="0.65">
      <c r="A166" s="188">
        <v>40821</v>
      </c>
      <c r="B166" s="35" t="s">
        <v>7</v>
      </c>
      <c r="C166" t="s">
        <v>7</v>
      </c>
      <c r="D166" t="s">
        <v>18</v>
      </c>
      <c r="E166" s="141">
        <v>2</v>
      </c>
      <c r="F166" s="141">
        <v>35.35</v>
      </c>
      <c r="G166" s="142"/>
      <c r="H166" s="142">
        <v>70.7</v>
      </c>
      <c r="I166" s="192">
        <v>33</v>
      </c>
    </row>
    <row r="167" spans="1:9" x14ac:dyDescent="0.65">
      <c r="A167" s="188">
        <v>40821</v>
      </c>
      <c r="B167" s="35" t="s">
        <v>1336</v>
      </c>
      <c r="C167" t="s">
        <v>1342</v>
      </c>
      <c r="D167" t="s">
        <v>18</v>
      </c>
      <c r="E167" s="141">
        <v>3</v>
      </c>
      <c r="F167" s="141">
        <v>90</v>
      </c>
      <c r="G167" s="142"/>
      <c r="H167" s="142">
        <v>270</v>
      </c>
      <c r="I167" s="192">
        <v>33</v>
      </c>
    </row>
    <row r="168" spans="1:9" x14ac:dyDescent="0.65">
      <c r="A168" s="188">
        <v>40821</v>
      </c>
      <c r="B168" s="35" t="s">
        <v>1347</v>
      </c>
      <c r="C168" t="s">
        <v>1348</v>
      </c>
      <c r="D168" t="s">
        <v>18</v>
      </c>
      <c r="E168" s="141">
        <v>2</v>
      </c>
      <c r="F168" s="141">
        <v>90</v>
      </c>
      <c r="G168" s="142"/>
      <c r="H168" s="142">
        <v>180</v>
      </c>
      <c r="I168" s="192">
        <v>33</v>
      </c>
    </row>
    <row r="169" spans="1:9" x14ac:dyDescent="0.65">
      <c r="A169" s="189" t="s">
        <v>448</v>
      </c>
      <c r="B169" s="183" t="s">
        <v>1350</v>
      </c>
      <c r="C169" s="184" t="s">
        <v>448</v>
      </c>
      <c r="D169" s="184" t="s">
        <v>448</v>
      </c>
      <c r="E169" s="185"/>
      <c r="F169" s="185"/>
      <c r="G169" s="186"/>
      <c r="H169" s="186">
        <v>14500.11</v>
      </c>
      <c r="I169" s="193" t="s">
        <v>1767</v>
      </c>
    </row>
    <row r="170" spans="1:9" x14ac:dyDescent="0.65">
      <c r="A170" s="188" t="s">
        <v>448</v>
      </c>
      <c r="B170" s="35" t="s">
        <v>448</v>
      </c>
      <c r="C170" t="s">
        <v>448</v>
      </c>
      <c r="D170" t="s">
        <v>448</v>
      </c>
      <c r="E170" s="141"/>
      <c r="F170" s="141"/>
      <c r="G170" s="142"/>
      <c r="H170" s="142"/>
      <c r="I170" s="191" t="s">
        <v>1767</v>
      </c>
    </row>
    <row r="171" spans="1:9" x14ac:dyDescent="0.65">
      <c r="A171" s="187" t="s">
        <v>448</v>
      </c>
      <c r="B171" s="29" t="s">
        <v>1815</v>
      </c>
      <c r="C171" s="27" t="s">
        <v>448</v>
      </c>
      <c r="D171" s="27" t="s">
        <v>448</v>
      </c>
      <c r="E171" s="181"/>
      <c r="F171" s="181"/>
      <c r="G171" s="182"/>
      <c r="H171" s="182"/>
      <c r="I171" s="140" t="s">
        <v>1767</v>
      </c>
    </row>
    <row r="172" spans="1:9" x14ac:dyDescent="0.65">
      <c r="A172" s="188">
        <v>40735</v>
      </c>
      <c r="B172" s="35" t="s">
        <v>1336</v>
      </c>
      <c r="C172" t="s">
        <v>1346</v>
      </c>
      <c r="D172" t="s">
        <v>18</v>
      </c>
      <c r="E172" s="141">
        <v>3</v>
      </c>
      <c r="F172" s="141">
        <v>95</v>
      </c>
      <c r="G172" s="142"/>
      <c r="H172" s="142">
        <v>285</v>
      </c>
      <c r="I172" s="192">
        <v>41</v>
      </c>
    </row>
    <row r="173" spans="1:9" x14ac:dyDescent="0.65">
      <c r="A173" s="188">
        <v>40735</v>
      </c>
      <c r="B173" s="35" t="s">
        <v>1334</v>
      </c>
      <c r="C173" t="s">
        <v>1335</v>
      </c>
      <c r="D173" t="s">
        <v>18</v>
      </c>
      <c r="E173" s="141">
        <v>3</v>
      </c>
      <c r="F173" s="141">
        <v>135</v>
      </c>
      <c r="G173" s="142"/>
      <c r="H173" s="142">
        <v>405</v>
      </c>
      <c r="I173" s="192">
        <v>41</v>
      </c>
    </row>
    <row r="174" spans="1:9" x14ac:dyDescent="0.65">
      <c r="A174" s="188">
        <v>40736</v>
      </c>
      <c r="B174" s="35" t="s">
        <v>7</v>
      </c>
      <c r="C174" t="s">
        <v>7</v>
      </c>
      <c r="D174" t="s">
        <v>18</v>
      </c>
      <c r="E174" s="141">
        <v>3</v>
      </c>
      <c r="F174" s="141">
        <v>39.39</v>
      </c>
      <c r="G174" s="142"/>
      <c r="H174" s="142">
        <v>118.17</v>
      </c>
      <c r="I174" s="192">
        <v>41</v>
      </c>
    </row>
    <row r="175" spans="1:9" x14ac:dyDescent="0.65">
      <c r="A175" s="188">
        <v>40736</v>
      </c>
      <c r="B175" s="35" t="s">
        <v>1336</v>
      </c>
      <c r="C175" t="s">
        <v>1342</v>
      </c>
      <c r="D175" t="s">
        <v>18</v>
      </c>
      <c r="E175" s="141">
        <v>3</v>
      </c>
      <c r="F175" s="141">
        <v>90</v>
      </c>
      <c r="G175" s="142"/>
      <c r="H175" s="142">
        <v>270</v>
      </c>
      <c r="I175" s="192">
        <v>41</v>
      </c>
    </row>
    <row r="176" spans="1:9" x14ac:dyDescent="0.65">
      <c r="A176" s="188">
        <v>40736</v>
      </c>
      <c r="B176" s="35" t="s">
        <v>1336</v>
      </c>
      <c r="C176" t="s">
        <v>1346</v>
      </c>
      <c r="D176" t="s">
        <v>18</v>
      </c>
      <c r="E176" s="141">
        <v>3</v>
      </c>
      <c r="F176" s="141">
        <v>95</v>
      </c>
      <c r="G176" s="142"/>
      <c r="H176" s="142">
        <v>285</v>
      </c>
      <c r="I176" s="192">
        <v>41</v>
      </c>
    </row>
    <row r="177" spans="1:9" x14ac:dyDescent="0.65">
      <c r="A177" s="188">
        <v>40736</v>
      </c>
      <c r="B177" s="35" t="s">
        <v>1334</v>
      </c>
      <c r="C177" t="s">
        <v>1335</v>
      </c>
      <c r="D177" t="s">
        <v>18</v>
      </c>
      <c r="E177" s="141">
        <v>3</v>
      </c>
      <c r="F177" s="141">
        <v>135</v>
      </c>
      <c r="G177" s="142"/>
      <c r="H177" s="142">
        <v>405</v>
      </c>
      <c r="I177" s="192">
        <v>41</v>
      </c>
    </row>
    <row r="178" spans="1:9" x14ac:dyDescent="0.65">
      <c r="A178" s="188">
        <v>40736</v>
      </c>
      <c r="B178" s="35" t="s">
        <v>7</v>
      </c>
      <c r="C178" t="s">
        <v>7</v>
      </c>
      <c r="D178" t="s">
        <v>18</v>
      </c>
      <c r="E178" s="141">
        <v>3</v>
      </c>
      <c r="F178" s="141">
        <v>39.39</v>
      </c>
      <c r="G178" s="142"/>
      <c r="H178" s="142">
        <v>118.17</v>
      </c>
      <c r="I178" s="192">
        <v>41</v>
      </c>
    </row>
    <row r="179" spans="1:9" x14ac:dyDescent="0.65">
      <c r="A179" s="188">
        <v>40737</v>
      </c>
      <c r="B179" s="35" t="s">
        <v>7</v>
      </c>
      <c r="C179" t="s">
        <v>7</v>
      </c>
      <c r="D179" t="s">
        <v>18</v>
      </c>
      <c r="E179" s="141">
        <v>5</v>
      </c>
      <c r="F179" s="141">
        <v>39.39</v>
      </c>
      <c r="G179" s="142"/>
      <c r="H179" s="142">
        <v>196.95</v>
      </c>
      <c r="I179" s="192">
        <v>41</v>
      </c>
    </row>
    <row r="180" spans="1:9" x14ac:dyDescent="0.65">
      <c r="A180" s="188">
        <v>40737</v>
      </c>
      <c r="B180" s="35" t="s">
        <v>1334</v>
      </c>
      <c r="C180" t="s">
        <v>1335</v>
      </c>
      <c r="D180" t="s">
        <v>18</v>
      </c>
      <c r="E180" s="141">
        <v>6</v>
      </c>
      <c r="F180" s="141">
        <v>135</v>
      </c>
      <c r="G180" s="142"/>
      <c r="H180" s="142">
        <v>810</v>
      </c>
      <c r="I180" s="192">
        <v>41</v>
      </c>
    </row>
    <row r="181" spans="1:9" x14ac:dyDescent="0.65">
      <c r="A181" s="188">
        <v>40737</v>
      </c>
      <c r="B181" s="35" t="s">
        <v>1336</v>
      </c>
      <c r="C181" t="s">
        <v>1342</v>
      </c>
      <c r="D181" t="s">
        <v>18</v>
      </c>
      <c r="E181" s="141">
        <v>6</v>
      </c>
      <c r="F181" s="141">
        <v>90</v>
      </c>
      <c r="G181" s="142"/>
      <c r="H181" s="142">
        <v>540</v>
      </c>
      <c r="I181" s="192">
        <v>41</v>
      </c>
    </row>
    <row r="182" spans="1:9" x14ac:dyDescent="0.65">
      <c r="A182" s="188">
        <v>40737</v>
      </c>
      <c r="B182" s="35" t="s">
        <v>1336</v>
      </c>
      <c r="C182" t="s">
        <v>1337</v>
      </c>
      <c r="D182" t="s">
        <v>18</v>
      </c>
      <c r="E182" s="141">
        <v>2</v>
      </c>
      <c r="F182" s="141">
        <v>95</v>
      </c>
      <c r="G182" s="142"/>
      <c r="H182" s="142">
        <v>190</v>
      </c>
      <c r="I182" s="192">
        <v>41</v>
      </c>
    </row>
    <row r="183" spans="1:9" x14ac:dyDescent="0.65">
      <c r="A183" s="188">
        <v>40737</v>
      </c>
      <c r="B183" s="35" t="s">
        <v>7</v>
      </c>
      <c r="C183" t="s">
        <v>7</v>
      </c>
      <c r="D183" t="s">
        <v>18</v>
      </c>
      <c r="E183" s="141">
        <v>5</v>
      </c>
      <c r="F183" s="141">
        <v>39.39</v>
      </c>
      <c r="G183" s="142"/>
      <c r="H183" s="142">
        <v>196.95</v>
      </c>
      <c r="I183" s="192">
        <v>41</v>
      </c>
    </row>
    <row r="184" spans="1:9" x14ac:dyDescent="0.65">
      <c r="A184" s="188">
        <v>40738</v>
      </c>
      <c r="B184" s="35" t="s">
        <v>7</v>
      </c>
      <c r="C184" t="s">
        <v>7</v>
      </c>
      <c r="D184" t="s">
        <v>18</v>
      </c>
      <c r="E184" s="141">
        <v>5</v>
      </c>
      <c r="F184" s="141">
        <v>39.39</v>
      </c>
      <c r="G184" s="142"/>
      <c r="H184" s="142">
        <v>196.95</v>
      </c>
      <c r="I184" s="192">
        <v>41</v>
      </c>
    </row>
    <row r="185" spans="1:9" x14ac:dyDescent="0.65">
      <c r="A185" s="188">
        <v>40738</v>
      </c>
      <c r="B185" s="35" t="s">
        <v>1336</v>
      </c>
      <c r="C185" t="s">
        <v>1342</v>
      </c>
      <c r="D185" t="s">
        <v>18</v>
      </c>
      <c r="E185" s="141">
        <v>3.5</v>
      </c>
      <c r="F185" s="141">
        <v>90</v>
      </c>
      <c r="G185" s="142"/>
      <c r="H185" s="142">
        <v>315</v>
      </c>
      <c r="I185" s="192">
        <v>41</v>
      </c>
    </row>
    <row r="186" spans="1:9" x14ac:dyDescent="0.65">
      <c r="A186" s="188">
        <v>40738</v>
      </c>
      <c r="B186" s="35" t="s">
        <v>1336</v>
      </c>
      <c r="C186" t="s">
        <v>1337</v>
      </c>
      <c r="D186" t="s">
        <v>18</v>
      </c>
      <c r="E186" s="141">
        <v>3</v>
      </c>
      <c r="F186" s="141">
        <v>95</v>
      </c>
      <c r="G186" s="142"/>
      <c r="H186" s="142">
        <v>285</v>
      </c>
      <c r="I186" s="192">
        <v>41</v>
      </c>
    </row>
    <row r="187" spans="1:9" x14ac:dyDescent="0.65">
      <c r="A187" s="188">
        <v>40738</v>
      </c>
      <c r="B187" s="35" t="s">
        <v>1334</v>
      </c>
      <c r="C187" t="s">
        <v>1335</v>
      </c>
      <c r="D187" t="s">
        <v>18</v>
      </c>
      <c r="E187" s="141">
        <v>4</v>
      </c>
      <c r="F187" s="141">
        <v>135</v>
      </c>
      <c r="G187" s="142"/>
      <c r="H187" s="142">
        <v>540</v>
      </c>
      <c r="I187" s="192">
        <v>41</v>
      </c>
    </row>
    <row r="188" spans="1:9" x14ac:dyDescent="0.65">
      <c r="A188" s="188">
        <v>40738</v>
      </c>
      <c r="B188" s="35" t="s">
        <v>7</v>
      </c>
      <c r="C188" t="s">
        <v>7</v>
      </c>
      <c r="D188" t="s">
        <v>18</v>
      </c>
      <c r="E188" s="141">
        <v>3</v>
      </c>
      <c r="F188" s="141">
        <v>39.39</v>
      </c>
      <c r="G188" s="142"/>
      <c r="H188" s="142">
        <v>118.17</v>
      </c>
      <c r="I188" s="192">
        <v>41</v>
      </c>
    </row>
    <row r="189" spans="1:9" x14ac:dyDescent="0.65">
      <c r="A189" s="188">
        <v>40746</v>
      </c>
      <c r="B189" s="35" t="s">
        <v>1336</v>
      </c>
      <c r="C189" t="s">
        <v>1342</v>
      </c>
      <c r="D189" t="s">
        <v>18</v>
      </c>
      <c r="E189" s="141">
        <v>6</v>
      </c>
      <c r="F189" s="141">
        <v>90</v>
      </c>
      <c r="G189" s="142"/>
      <c r="H189" s="142">
        <v>540</v>
      </c>
      <c r="I189" s="192">
        <v>41</v>
      </c>
    </row>
    <row r="190" spans="1:9" x14ac:dyDescent="0.65">
      <c r="A190" s="188">
        <v>40746</v>
      </c>
      <c r="B190" s="35" t="s">
        <v>1334</v>
      </c>
      <c r="C190" t="s">
        <v>1335</v>
      </c>
      <c r="D190" t="s">
        <v>18</v>
      </c>
      <c r="E190" s="141">
        <v>6</v>
      </c>
      <c r="F190" s="141">
        <v>135</v>
      </c>
      <c r="G190" s="142"/>
      <c r="H190" s="142">
        <v>810</v>
      </c>
      <c r="I190" s="192">
        <v>41</v>
      </c>
    </row>
    <row r="191" spans="1:9" x14ac:dyDescent="0.65">
      <c r="A191" s="188">
        <v>40746</v>
      </c>
      <c r="B191" s="35" t="s">
        <v>7</v>
      </c>
      <c r="C191" t="s">
        <v>7</v>
      </c>
      <c r="D191" t="s">
        <v>18</v>
      </c>
      <c r="E191" s="141">
        <v>6.5</v>
      </c>
      <c r="F191" s="141">
        <v>39.39</v>
      </c>
      <c r="G191" s="142"/>
      <c r="H191" s="142">
        <v>256.03500000000003</v>
      </c>
      <c r="I191" s="192">
        <v>41</v>
      </c>
    </row>
    <row r="192" spans="1:9" x14ac:dyDescent="0.65">
      <c r="A192" s="188">
        <v>40747</v>
      </c>
      <c r="B192" s="35" t="s">
        <v>1336</v>
      </c>
      <c r="C192" t="s">
        <v>7</v>
      </c>
      <c r="D192" t="s">
        <v>18</v>
      </c>
      <c r="E192" s="141">
        <v>5</v>
      </c>
      <c r="F192" s="141">
        <v>95</v>
      </c>
      <c r="G192" s="142"/>
      <c r="H192" s="142">
        <v>475</v>
      </c>
      <c r="I192" s="192">
        <v>41</v>
      </c>
    </row>
    <row r="193" spans="1:9" x14ac:dyDescent="0.65">
      <c r="A193" s="188">
        <v>40747</v>
      </c>
      <c r="B193" s="35" t="s">
        <v>7</v>
      </c>
      <c r="C193" t="s">
        <v>7</v>
      </c>
      <c r="D193" t="s">
        <v>18</v>
      </c>
      <c r="E193" s="141">
        <v>6</v>
      </c>
      <c r="F193" s="141">
        <v>39.39</v>
      </c>
      <c r="G193" s="142"/>
      <c r="H193" s="142">
        <v>236.34</v>
      </c>
      <c r="I193" s="192">
        <v>41</v>
      </c>
    </row>
    <row r="194" spans="1:9" x14ac:dyDescent="0.65">
      <c r="A194" s="188">
        <v>40747</v>
      </c>
      <c r="B194" s="35" t="s">
        <v>1334</v>
      </c>
      <c r="C194" t="s">
        <v>1335</v>
      </c>
      <c r="D194" t="s">
        <v>18</v>
      </c>
      <c r="E194" s="141">
        <v>5</v>
      </c>
      <c r="F194" s="141">
        <v>135</v>
      </c>
      <c r="G194" s="142"/>
      <c r="H194" s="142">
        <v>675</v>
      </c>
      <c r="I194" s="192">
        <v>41</v>
      </c>
    </row>
    <row r="195" spans="1:9" x14ac:dyDescent="0.65">
      <c r="A195" s="188">
        <v>40785</v>
      </c>
      <c r="B195" s="35" t="s">
        <v>7</v>
      </c>
      <c r="C195" t="s">
        <v>7</v>
      </c>
      <c r="D195" t="s">
        <v>18</v>
      </c>
      <c r="E195" s="141">
        <v>3</v>
      </c>
      <c r="F195" s="141">
        <v>32.200000000000003</v>
      </c>
      <c r="G195" s="142"/>
      <c r="H195" s="142">
        <v>96.6</v>
      </c>
      <c r="I195" s="192">
        <v>41</v>
      </c>
    </row>
    <row r="196" spans="1:9" x14ac:dyDescent="0.65">
      <c r="A196" s="188">
        <v>40785</v>
      </c>
      <c r="B196" s="35" t="s">
        <v>7</v>
      </c>
      <c r="C196" t="s">
        <v>7</v>
      </c>
      <c r="D196" t="s">
        <v>18</v>
      </c>
      <c r="E196" s="141">
        <v>3</v>
      </c>
      <c r="F196" s="141">
        <v>39.39</v>
      </c>
      <c r="G196" s="142"/>
      <c r="H196" s="142">
        <v>118.17</v>
      </c>
      <c r="I196" s="192">
        <v>41</v>
      </c>
    </row>
    <row r="197" spans="1:9" x14ac:dyDescent="0.65">
      <c r="A197" s="188">
        <v>40785</v>
      </c>
      <c r="B197" s="35" t="s">
        <v>1347</v>
      </c>
      <c r="C197" t="s">
        <v>1348</v>
      </c>
      <c r="D197" t="s">
        <v>18</v>
      </c>
      <c r="E197" s="141">
        <v>2</v>
      </c>
      <c r="F197" s="141">
        <v>90</v>
      </c>
      <c r="G197" s="142"/>
      <c r="H197" s="142">
        <v>180</v>
      </c>
      <c r="I197" s="192">
        <v>41</v>
      </c>
    </row>
    <row r="198" spans="1:9" x14ac:dyDescent="0.65">
      <c r="A198" s="188">
        <v>40785</v>
      </c>
      <c r="B198" s="35" t="s">
        <v>1334</v>
      </c>
      <c r="C198" t="s">
        <v>1335</v>
      </c>
      <c r="D198" t="s">
        <v>18</v>
      </c>
      <c r="E198" s="141">
        <v>2</v>
      </c>
      <c r="F198" s="141">
        <v>135</v>
      </c>
      <c r="G198" s="142"/>
      <c r="H198" s="142">
        <v>270</v>
      </c>
      <c r="I198" s="192">
        <v>41</v>
      </c>
    </row>
    <row r="199" spans="1:9" x14ac:dyDescent="0.65">
      <c r="A199" s="188">
        <v>40785</v>
      </c>
      <c r="B199" s="35" t="s">
        <v>7</v>
      </c>
      <c r="C199" t="s">
        <v>7</v>
      </c>
      <c r="D199" t="s">
        <v>18</v>
      </c>
      <c r="E199" s="141">
        <v>3</v>
      </c>
      <c r="F199" s="141">
        <v>39.39</v>
      </c>
      <c r="G199" s="142"/>
      <c r="H199" s="142">
        <v>118.17</v>
      </c>
      <c r="I199" s="192">
        <v>41</v>
      </c>
    </row>
    <row r="200" spans="1:9" x14ac:dyDescent="0.65">
      <c r="A200" s="188">
        <v>40799</v>
      </c>
      <c r="B200" s="35" t="s">
        <v>1336</v>
      </c>
      <c r="C200" t="s">
        <v>1351</v>
      </c>
      <c r="D200" t="s">
        <v>451</v>
      </c>
      <c r="E200" s="141">
        <v>10.5</v>
      </c>
      <c r="F200" s="141">
        <v>125</v>
      </c>
      <c r="G200" s="142"/>
      <c r="H200" s="142">
        <v>1312.5</v>
      </c>
      <c r="I200" s="192">
        <v>41</v>
      </c>
    </row>
    <row r="201" spans="1:9" x14ac:dyDescent="0.65">
      <c r="A201" s="188">
        <v>40799</v>
      </c>
      <c r="B201" s="35" t="s">
        <v>1352</v>
      </c>
      <c r="C201" t="s">
        <v>1351</v>
      </c>
      <c r="D201" t="s">
        <v>451</v>
      </c>
      <c r="E201" s="141">
        <v>10.75</v>
      </c>
      <c r="F201" s="141">
        <v>125</v>
      </c>
      <c r="G201" s="142"/>
      <c r="H201" s="142">
        <v>1343.75</v>
      </c>
      <c r="I201" s="192">
        <v>41</v>
      </c>
    </row>
    <row r="202" spans="1:9" x14ac:dyDescent="0.65">
      <c r="A202" s="188">
        <v>40799</v>
      </c>
      <c r="B202" s="35" t="s">
        <v>1334</v>
      </c>
      <c r="C202" t="s">
        <v>1335</v>
      </c>
      <c r="D202" t="s">
        <v>18</v>
      </c>
      <c r="E202" s="141">
        <v>8.5</v>
      </c>
      <c r="F202" s="141">
        <v>135</v>
      </c>
      <c r="G202" s="142"/>
      <c r="H202" s="142">
        <v>1147.5</v>
      </c>
      <c r="I202" s="192">
        <v>41</v>
      </c>
    </row>
    <row r="203" spans="1:9" x14ac:dyDescent="0.65">
      <c r="A203" s="188">
        <v>40800</v>
      </c>
      <c r="B203" s="35" t="s">
        <v>1334</v>
      </c>
      <c r="C203" t="s">
        <v>1335</v>
      </c>
      <c r="D203" t="s">
        <v>18</v>
      </c>
      <c r="E203" s="141">
        <v>2.5</v>
      </c>
      <c r="F203" s="141">
        <v>135</v>
      </c>
      <c r="G203" s="142"/>
      <c r="H203" s="142">
        <v>337.5</v>
      </c>
      <c r="I203" s="192">
        <v>41</v>
      </c>
    </row>
    <row r="204" spans="1:9" x14ac:dyDescent="0.65">
      <c r="A204" s="188">
        <v>40800</v>
      </c>
      <c r="B204" s="35" t="s">
        <v>1352</v>
      </c>
      <c r="C204" t="s">
        <v>1351</v>
      </c>
      <c r="D204" t="s">
        <v>451</v>
      </c>
      <c r="E204" s="141">
        <v>1.75</v>
      </c>
      <c r="F204" s="141">
        <v>125</v>
      </c>
      <c r="G204" s="142"/>
      <c r="H204" s="142">
        <v>218.75</v>
      </c>
      <c r="I204" s="192">
        <v>41</v>
      </c>
    </row>
    <row r="205" spans="1:9" x14ac:dyDescent="0.65">
      <c r="A205" s="188">
        <v>40800</v>
      </c>
      <c r="B205" s="35" t="s">
        <v>1336</v>
      </c>
      <c r="C205" t="s">
        <v>1351</v>
      </c>
      <c r="D205" t="s">
        <v>451</v>
      </c>
      <c r="E205" s="141">
        <v>4</v>
      </c>
      <c r="F205" s="141">
        <v>125</v>
      </c>
      <c r="G205" s="142"/>
      <c r="H205" s="142">
        <v>500</v>
      </c>
      <c r="I205" s="192">
        <v>41</v>
      </c>
    </row>
    <row r="206" spans="1:9" x14ac:dyDescent="0.65">
      <c r="A206" s="189" t="s">
        <v>448</v>
      </c>
      <c r="B206" s="183" t="s">
        <v>1353</v>
      </c>
      <c r="C206" s="184" t="s">
        <v>448</v>
      </c>
      <c r="D206" s="184" t="s">
        <v>448</v>
      </c>
      <c r="E206" s="185"/>
      <c r="F206" s="185"/>
      <c r="G206" s="186"/>
      <c r="H206" s="186">
        <v>13910.674999999999</v>
      </c>
      <c r="I206" s="193" t="s">
        <v>1767</v>
      </c>
    </row>
    <row r="207" spans="1:9" x14ac:dyDescent="0.65">
      <c r="A207" s="188" t="s">
        <v>448</v>
      </c>
      <c r="B207" s="35" t="s">
        <v>448</v>
      </c>
      <c r="C207" t="s">
        <v>448</v>
      </c>
      <c r="D207" t="s">
        <v>448</v>
      </c>
      <c r="E207" s="141"/>
      <c r="F207" s="141"/>
      <c r="G207" s="142"/>
      <c r="H207" s="142"/>
      <c r="I207" s="191" t="s">
        <v>1767</v>
      </c>
    </row>
    <row r="208" spans="1:9" x14ac:dyDescent="0.65">
      <c r="A208" s="187" t="s">
        <v>448</v>
      </c>
      <c r="B208" s="29" t="s">
        <v>1816</v>
      </c>
      <c r="C208" s="27" t="s">
        <v>448</v>
      </c>
      <c r="D208" s="27" t="s">
        <v>448</v>
      </c>
      <c r="E208" s="181"/>
      <c r="F208" s="181"/>
      <c r="G208" s="182"/>
      <c r="H208" s="182"/>
      <c r="I208" s="140" t="s">
        <v>1767</v>
      </c>
    </row>
    <row r="209" spans="1:9" x14ac:dyDescent="0.65">
      <c r="A209" s="188">
        <v>40687</v>
      </c>
      <c r="B209" s="35" t="s">
        <v>1334</v>
      </c>
      <c r="C209" t="s">
        <v>1335</v>
      </c>
      <c r="D209" t="s">
        <v>18</v>
      </c>
      <c r="E209" s="141">
        <v>6</v>
      </c>
      <c r="F209" s="141">
        <v>135</v>
      </c>
      <c r="G209" s="142"/>
      <c r="H209" s="142">
        <v>810</v>
      </c>
      <c r="I209" s="192">
        <v>51</v>
      </c>
    </row>
    <row r="210" spans="1:9" x14ac:dyDescent="0.65">
      <c r="A210" s="188">
        <v>40687</v>
      </c>
      <c r="B210" s="35" t="s">
        <v>7</v>
      </c>
      <c r="C210" t="s">
        <v>7</v>
      </c>
      <c r="D210" t="s">
        <v>18</v>
      </c>
      <c r="E210" s="141">
        <v>6.5</v>
      </c>
      <c r="F210" s="141">
        <v>39.39</v>
      </c>
      <c r="G210" s="142"/>
      <c r="H210" s="142">
        <v>256.03500000000003</v>
      </c>
      <c r="I210" s="192">
        <v>51</v>
      </c>
    </row>
    <row r="211" spans="1:9" x14ac:dyDescent="0.65">
      <c r="A211" s="188">
        <v>40687</v>
      </c>
      <c r="B211" s="35" t="s">
        <v>1336</v>
      </c>
      <c r="C211" t="s">
        <v>1338</v>
      </c>
      <c r="D211" t="s">
        <v>18</v>
      </c>
      <c r="E211" s="141">
        <v>6</v>
      </c>
      <c r="F211" s="141">
        <v>95</v>
      </c>
      <c r="G211" s="142"/>
      <c r="H211" s="142">
        <v>570</v>
      </c>
      <c r="I211" s="192">
        <v>51</v>
      </c>
    </row>
    <row r="212" spans="1:9" x14ac:dyDescent="0.65">
      <c r="A212" s="188">
        <v>40687</v>
      </c>
      <c r="B212" s="35" t="s">
        <v>1354</v>
      </c>
      <c r="C212" t="s">
        <v>1355</v>
      </c>
      <c r="D212" t="s">
        <v>98</v>
      </c>
      <c r="E212" s="141">
        <v>1</v>
      </c>
      <c r="F212" s="141">
        <v>365</v>
      </c>
      <c r="G212" s="142"/>
      <c r="H212" s="142">
        <v>365</v>
      </c>
      <c r="I212" s="192">
        <v>51</v>
      </c>
    </row>
    <row r="213" spans="1:9" x14ac:dyDescent="0.65">
      <c r="A213" s="188">
        <v>40687</v>
      </c>
      <c r="B213" s="35" t="s">
        <v>1344</v>
      </c>
      <c r="C213" t="s">
        <v>1345</v>
      </c>
      <c r="D213" t="s">
        <v>18</v>
      </c>
      <c r="E213" s="141">
        <v>2</v>
      </c>
      <c r="F213" s="141">
        <v>80</v>
      </c>
      <c r="G213" s="142"/>
      <c r="H213" s="142">
        <v>160</v>
      </c>
      <c r="I213" s="192">
        <v>51</v>
      </c>
    </row>
    <row r="214" spans="1:9" x14ac:dyDescent="0.65">
      <c r="A214" s="188">
        <v>40688</v>
      </c>
      <c r="B214" s="35" t="s">
        <v>1344</v>
      </c>
      <c r="C214" t="s">
        <v>1345</v>
      </c>
      <c r="D214" t="s">
        <v>18</v>
      </c>
      <c r="E214" s="141">
        <v>2</v>
      </c>
      <c r="F214" s="141">
        <v>80</v>
      </c>
      <c r="G214" s="142"/>
      <c r="H214" s="142">
        <v>160</v>
      </c>
      <c r="I214" s="192">
        <v>51</v>
      </c>
    </row>
    <row r="215" spans="1:9" x14ac:dyDescent="0.65">
      <c r="A215" s="188">
        <v>40688</v>
      </c>
      <c r="B215" s="35" t="s">
        <v>1354</v>
      </c>
      <c r="C215" t="s">
        <v>1355</v>
      </c>
      <c r="D215" t="s">
        <v>98</v>
      </c>
      <c r="E215" s="141">
        <v>1</v>
      </c>
      <c r="F215" s="141">
        <v>365</v>
      </c>
      <c r="G215" s="142"/>
      <c r="H215" s="142">
        <v>365</v>
      </c>
      <c r="I215" s="192">
        <v>51</v>
      </c>
    </row>
    <row r="216" spans="1:9" x14ac:dyDescent="0.65">
      <c r="A216" s="188">
        <v>40689</v>
      </c>
      <c r="B216" s="35" t="s">
        <v>7</v>
      </c>
      <c r="C216" t="s">
        <v>7</v>
      </c>
      <c r="D216" t="s">
        <v>18</v>
      </c>
      <c r="E216" s="141">
        <v>3.5</v>
      </c>
      <c r="F216" s="141">
        <v>39.39</v>
      </c>
      <c r="G216" s="142"/>
      <c r="H216" s="142">
        <v>137.86500000000001</v>
      </c>
      <c r="I216" s="192">
        <v>51</v>
      </c>
    </row>
    <row r="217" spans="1:9" x14ac:dyDescent="0.65">
      <c r="A217" s="188">
        <v>40736</v>
      </c>
      <c r="B217" s="35" t="s">
        <v>1336</v>
      </c>
      <c r="C217" t="s">
        <v>1346</v>
      </c>
      <c r="D217" t="s">
        <v>18</v>
      </c>
      <c r="E217" s="141">
        <v>4</v>
      </c>
      <c r="F217" s="141">
        <v>95</v>
      </c>
      <c r="G217" s="142"/>
      <c r="H217" s="142">
        <v>380</v>
      </c>
      <c r="I217" s="192">
        <v>51</v>
      </c>
    </row>
    <row r="218" spans="1:9" x14ac:dyDescent="0.65">
      <c r="A218" s="188">
        <v>40736</v>
      </c>
      <c r="B218" s="35" t="s">
        <v>1336</v>
      </c>
      <c r="C218" t="s">
        <v>1342</v>
      </c>
      <c r="D218" t="s">
        <v>18</v>
      </c>
      <c r="E218" s="141">
        <v>4</v>
      </c>
      <c r="F218" s="141">
        <v>90</v>
      </c>
      <c r="G218" s="142"/>
      <c r="H218" s="142">
        <v>360</v>
      </c>
      <c r="I218" s="192">
        <v>51</v>
      </c>
    </row>
    <row r="219" spans="1:9" x14ac:dyDescent="0.65">
      <c r="A219" s="188">
        <v>40736</v>
      </c>
      <c r="B219" s="35" t="s">
        <v>1344</v>
      </c>
      <c r="C219" t="s">
        <v>1345</v>
      </c>
      <c r="D219" t="s">
        <v>18</v>
      </c>
      <c r="E219" s="141">
        <v>3</v>
      </c>
      <c r="F219" s="141">
        <v>80</v>
      </c>
      <c r="G219" s="142"/>
      <c r="H219" s="142">
        <v>240</v>
      </c>
      <c r="I219" s="192">
        <v>51</v>
      </c>
    </row>
    <row r="220" spans="1:9" x14ac:dyDescent="0.65">
      <c r="A220" s="188">
        <v>40736</v>
      </c>
      <c r="B220" s="35" t="s">
        <v>1334</v>
      </c>
      <c r="C220" t="s">
        <v>1335</v>
      </c>
      <c r="D220" t="s">
        <v>18</v>
      </c>
      <c r="E220" s="141">
        <v>4</v>
      </c>
      <c r="F220" s="141">
        <v>135</v>
      </c>
      <c r="G220" s="142"/>
      <c r="H220" s="142">
        <v>540</v>
      </c>
      <c r="I220" s="192">
        <v>51</v>
      </c>
    </row>
    <row r="221" spans="1:9" x14ac:dyDescent="0.65">
      <c r="A221" s="188">
        <v>40736</v>
      </c>
      <c r="B221" s="35" t="s">
        <v>7</v>
      </c>
      <c r="C221" t="s">
        <v>7</v>
      </c>
      <c r="D221" t="s">
        <v>18</v>
      </c>
      <c r="E221" s="141">
        <v>7</v>
      </c>
      <c r="F221" s="141">
        <v>39.39</v>
      </c>
      <c r="G221" s="142"/>
      <c r="H221" s="142">
        <v>275.73</v>
      </c>
      <c r="I221" s="192">
        <v>51</v>
      </c>
    </row>
    <row r="222" spans="1:9" x14ac:dyDescent="0.65">
      <c r="A222" s="188">
        <v>40736</v>
      </c>
      <c r="B222" s="35" t="s">
        <v>1336</v>
      </c>
      <c r="C222" t="s">
        <v>1337</v>
      </c>
      <c r="D222" t="s">
        <v>18</v>
      </c>
      <c r="E222" s="141">
        <v>4</v>
      </c>
      <c r="F222" s="141">
        <v>95</v>
      </c>
      <c r="G222" s="142"/>
      <c r="H222" s="142">
        <v>380</v>
      </c>
      <c r="I222" s="192">
        <v>51</v>
      </c>
    </row>
    <row r="223" spans="1:9" x14ac:dyDescent="0.65">
      <c r="A223" s="188">
        <v>40736</v>
      </c>
      <c r="B223" s="35" t="s">
        <v>7</v>
      </c>
      <c r="C223" t="s">
        <v>7</v>
      </c>
      <c r="D223" t="s">
        <v>18</v>
      </c>
      <c r="E223" s="141">
        <v>7</v>
      </c>
      <c r="F223" s="141">
        <v>39.39</v>
      </c>
      <c r="G223" s="142"/>
      <c r="H223" s="142">
        <v>275.73</v>
      </c>
      <c r="I223" s="192">
        <v>51</v>
      </c>
    </row>
    <row r="224" spans="1:9" x14ac:dyDescent="0.65">
      <c r="A224" s="188">
        <v>40737</v>
      </c>
      <c r="B224" s="35" t="s">
        <v>1354</v>
      </c>
      <c r="C224" t="s">
        <v>1355</v>
      </c>
      <c r="D224" t="s">
        <v>98</v>
      </c>
      <c r="E224" s="141">
        <v>1</v>
      </c>
      <c r="F224" s="141">
        <v>365</v>
      </c>
      <c r="G224" s="142"/>
      <c r="H224" s="142">
        <v>365</v>
      </c>
      <c r="I224" s="192">
        <v>51</v>
      </c>
    </row>
    <row r="225" spans="1:9" x14ac:dyDescent="0.65">
      <c r="A225" s="188">
        <v>40737</v>
      </c>
      <c r="B225" s="35" t="s">
        <v>7</v>
      </c>
      <c r="C225" t="s">
        <v>7</v>
      </c>
      <c r="D225" t="s">
        <v>18</v>
      </c>
      <c r="E225" s="141">
        <v>3.5</v>
      </c>
      <c r="F225" s="141">
        <v>39.39</v>
      </c>
      <c r="G225" s="142"/>
      <c r="H225" s="142">
        <v>137.86500000000001</v>
      </c>
      <c r="I225" s="192">
        <v>51</v>
      </c>
    </row>
    <row r="226" spans="1:9" x14ac:dyDescent="0.65">
      <c r="A226" s="188">
        <v>40737</v>
      </c>
      <c r="B226" s="35" t="s">
        <v>1334</v>
      </c>
      <c r="C226" t="s">
        <v>1335</v>
      </c>
      <c r="D226" t="s">
        <v>18</v>
      </c>
      <c r="E226" s="141">
        <v>3.5</v>
      </c>
      <c r="F226" s="141">
        <v>135</v>
      </c>
      <c r="G226" s="142"/>
      <c r="H226" s="142">
        <v>472.5</v>
      </c>
      <c r="I226" s="192">
        <v>51</v>
      </c>
    </row>
    <row r="227" spans="1:9" x14ac:dyDescent="0.65">
      <c r="A227" s="188">
        <v>40737</v>
      </c>
      <c r="B227" s="35" t="s">
        <v>1336</v>
      </c>
      <c r="C227" t="s">
        <v>1342</v>
      </c>
      <c r="D227" t="s">
        <v>18</v>
      </c>
      <c r="E227" s="141">
        <v>3</v>
      </c>
      <c r="F227" s="141">
        <v>90</v>
      </c>
      <c r="G227" s="142"/>
      <c r="H227" s="142">
        <v>270</v>
      </c>
      <c r="I227" s="192">
        <v>51</v>
      </c>
    </row>
    <row r="228" spans="1:9" x14ac:dyDescent="0.65">
      <c r="A228" s="188">
        <v>40737</v>
      </c>
      <c r="B228" s="35" t="s">
        <v>1356</v>
      </c>
      <c r="C228" t="s">
        <v>1357</v>
      </c>
      <c r="D228" t="s">
        <v>98</v>
      </c>
      <c r="E228" s="141">
        <v>1</v>
      </c>
      <c r="F228" s="141">
        <v>365</v>
      </c>
      <c r="G228" s="142"/>
      <c r="H228" s="142">
        <v>365</v>
      </c>
      <c r="I228" s="192">
        <v>51</v>
      </c>
    </row>
    <row r="229" spans="1:9" x14ac:dyDescent="0.65">
      <c r="A229" s="188">
        <v>40737</v>
      </c>
      <c r="B229" s="35" t="s">
        <v>1336</v>
      </c>
      <c r="C229" t="s">
        <v>1337</v>
      </c>
      <c r="D229" t="s">
        <v>18</v>
      </c>
      <c r="E229" s="141">
        <v>7</v>
      </c>
      <c r="F229" s="141">
        <v>95</v>
      </c>
      <c r="G229" s="142"/>
      <c r="H229" s="142">
        <v>665</v>
      </c>
      <c r="I229" s="192">
        <v>51</v>
      </c>
    </row>
    <row r="230" spans="1:9" x14ac:dyDescent="0.65">
      <c r="A230" s="188">
        <v>40738</v>
      </c>
      <c r="B230" s="35" t="s">
        <v>1336</v>
      </c>
      <c r="C230" t="s">
        <v>1342</v>
      </c>
      <c r="D230" t="s">
        <v>18</v>
      </c>
      <c r="E230" s="141">
        <v>2</v>
      </c>
      <c r="F230" s="141">
        <v>90</v>
      </c>
      <c r="G230" s="142"/>
      <c r="H230" s="142">
        <v>180</v>
      </c>
      <c r="I230" s="192">
        <v>51</v>
      </c>
    </row>
    <row r="231" spans="1:9" x14ac:dyDescent="0.65">
      <c r="A231" s="188">
        <v>40738</v>
      </c>
      <c r="B231" s="35" t="s">
        <v>1356</v>
      </c>
      <c r="C231" t="s">
        <v>1357</v>
      </c>
      <c r="D231" t="s">
        <v>98</v>
      </c>
      <c r="E231" s="141">
        <v>1</v>
      </c>
      <c r="F231" s="141">
        <v>365</v>
      </c>
      <c r="G231" s="142"/>
      <c r="H231" s="142">
        <v>365</v>
      </c>
      <c r="I231" s="192">
        <v>51</v>
      </c>
    </row>
    <row r="232" spans="1:9" x14ac:dyDescent="0.65">
      <c r="A232" s="188">
        <v>40738</v>
      </c>
      <c r="B232" s="35" t="s">
        <v>1354</v>
      </c>
      <c r="C232" t="s">
        <v>1355</v>
      </c>
      <c r="D232" t="s">
        <v>98</v>
      </c>
      <c r="E232" s="141">
        <v>1</v>
      </c>
      <c r="F232" s="141">
        <v>365</v>
      </c>
      <c r="G232" s="142"/>
      <c r="H232" s="142">
        <v>365</v>
      </c>
      <c r="I232" s="192">
        <v>51</v>
      </c>
    </row>
    <row r="233" spans="1:9" x14ac:dyDescent="0.65">
      <c r="A233" s="188">
        <v>40738</v>
      </c>
      <c r="B233" s="35" t="s">
        <v>7</v>
      </c>
      <c r="C233" t="s">
        <v>7</v>
      </c>
      <c r="D233" t="s">
        <v>18</v>
      </c>
      <c r="E233" s="141">
        <v>2</v>
      </c>
      <c r="F233" s="141">
        <v>39.39</v>
      </c>
      <c r="G233" s="142"/>
      <c r="H233" s="142">
        <v>78.78</v>
      </c>
      <c r="I233" s="192">
        <v>51</v>
      </c>
    </row>
    <row r="234" spans="1:9" x14ac:dyDescent="0.65">
      <c r="A234" s="188">
        <v>40738</v>
      </c>
      <c r="B234" s="35" t="s">
        <v>1334</v>
      </c>
      <c r="C234" t="s">
        <v>1335</v>
      </c>
      <c r="D234" t="s">
        <v>18</v>
      </c>
      <c r="E234" s="141">
        <v>2.5</v>
      </c>
      <c r="F234" s="141">
        <v>135</v>
      </c>
      <c r="G234" s="142"/>
      <c r="H234" s="142">
        <v>337.5</v>
      </c>
      <c r="I234" s="192">
        <v>51</v>
      </c>
    </row>
    <row r="235" spans="1:9" x14ac:dyDescent="0.65">
      <c r="A235" s="188">
        <v>40738</v>
      </c>
      <c r="B235" s="35" t="s">
        <v>1336</v>
      </c>
      <c r="C235" t="s">
        <v>1337</v>
      </c>
      <c r="D235" t="s">
        <v>18</v>
      </c>
      <c r="E235" s="141">
        <v>2</v>
      </c>
      <c r="F235" s="141">
        <v>95</v>
      </c>
      <c r="G235" s="142"/>
      <c r="H235" s="142">
        <v>190</v>
      </c>
      <c r="I235" s="192">
        <v>51</v>
      </c>
    </row>
    <row r="236" spans="1:9" x14ac:dyDescent="0.65">
      <c r="A236" s="188">
        <v>40751</v>
      </c>
      <c r="B236" s="35" t="s">
        <v>1336</v>
      </c>
      <c r="C236" t="s">
        <v>1342</v>
      </c>
      <c r="D236" t="s">
        <v>18</v>
      </c>
      <c r="E236" s="141">
        <v>6.5</v>
      </c>
      <c r="F236" s="141">
        <v>90</v>
      </c>
      <c r="G236" s="142"/>
      <c r="H236" s="142">
        <v>585</v>
      </c>
      <c r="I236" s="192">
        <v>51</v>
      </c>
    </row>
    <row r="237" spans="1:9" x14ac:dyDescent="0.65">
      <c r="A237" s="188">
        <v>40751</v>
      </c>
      <c r="B237" s="35" t="s">
        <v>1336</v>
      </c>
      <c r="C237" t="s">
        <v>7</v>
      </c>
      <c r="D237" t="s">
        <v>18</v>
      </c>
      <c r="E237" s="141">
        <v>4</v>
      </c>
      <c r="F237" s="141">
        <v>95</v>
      </c>
      <c r="G237" s="142"/>
      <c r="H237" s="142">
        <v>380</v>
      </c>
      <c r="I237" s="192">
        <v>51</v>
      </c>
    </row>
    <row r="238" spans="1:9" x14ac:dyDescent="0.65">
      <c r="A238" s="188">
        <v>40751</v>
      </c>
      <c r="B238" s="35" t="s">
        <v>7</v>
      </c>
      <c r="C238" t="s">
        <v>7</v>
      </c>
      <c r="D238" t="s">
        <v>18</v>
      </c>
      <c r="E238" s="141">
        <v>9.5</v>
      </c>
      <c r="F238" s="141">
        <v>39.39</v>
      </c>
      <c r="G238" s="142"/>
      <c r="H238" s="142">
        <v>374.20499999999998</v>
      </c>
      <c r="I238" s="192">
        <v>51</v>
      </c>
    </row>
    <row r="239" spans="1:9" x14ac:dyDescent="0.65">
      <c r="A239" s="188">
        <v>40751</v>
      </c>
      <c r="B239" s="35" t="s">
        <v>1347</v>
      </c>
      <c r="C239" t="s">
        <v>1348</v>
      </c>
      <c r="D239" t="s">
        <v>18</v>
      </c>
      <c r="E239" s="141">
        <v>9</v>
      </c>
      <c r="F239" s="141">
        <v>90</v>
      </c>
      <c r="G239" s="142"/>
      <c r="H239" s="142">
        <v>810</v>
      </c>
      <c r="I239" s="192">
        <v>51</v>
      </c>
    </row>
    <row r="240" spans="1:9" x14ac:dyDescent="0.65">
      <c r="A240" s="188">
        <v>40751</v>
      </c>
      <c r="B240" s="35" t="s">
        <v>1344</v>
      </c>
      <c r="C240" t="s">
        <v>1345</v>
      </c>
      <c r="D240" t="s">
        <v>18</v>
      </c>
      <c r="E240" s="141">
        <v>4</v>
      </c>
      <c r="F240" s="141">
        <v>80</v>
      </c>
      <c r="G240" s="142"/>
      <c r="H240" s="142">
        <v>320</v>
      </c>
      <c r="I240" s="192">
        <v>51</v>
      </c>
    </row>
    <row r="241" spans="1:9" x14ac:dyDescent="0.65">
      <c r="A241" s="188">
        <v>40751</v>
      </c>
      <c r="B241" s="35" t="s">
        <v>1358</v>
      </c>
      <c r="C241" t="s">
        <v>1359</v>
      </c>
      <c r="D241" t="s">
        <v>98</v>
      </c>
      <c r="E241" s="141">
        <v>1</v>
      </c>
      <c r="F241" s="141">
        <v>365</v>
      </c>
      <c r="G241" s="142"/>
      <c r="H241" s="142">
        <v>365</v>
      </c>
      <c r="I241" s="192">
        <v>51</v>
      </c>
    </row>
    <row r="242" spans="1:9" x14ac:dyDescent="0.65">
      <c r="A242" s="188">
        <v>40751</v>
      </c>
      <c r="B242" s="35" t="s">
        <v>1360</v>
      </c>
      <c r="C242" t="s">
        <v>1355</v>
      </c>
      <c r="D242" t="s">
        <v>98</v>
      </c>
      <c r="E242" s="141">
        <v>1</v>
      </c>
      <c r="F242" s="141">
        <v>365</v>
      </c>
      <c r="G242" s="142"/>
      <c r="H242" s="142">
        <v>365</v>
      </c>
      <c r="I242" s="192">
        <v>51</v>
      </c>
    </row>
    <row r="243" spans="1:9" x14ac:dyDescent="0.65">
      <c r="A243" s="188">
        <v>40752</v>
      </c>
      <c r="B243" s="35" t="s">
        <v>7</v>
      </c>
      <c r="C243" t="s">
        <v>7</v>
      </c>
      <c r="D243" t="s">
        <v>18</v>
      </c>
      <c r="E243" s="141">
        <v>4</v>
      </c>
      <c r="F243" s="141">
        <v>32.200000000000003</v>
      </c>
      <c r="G243" s="142"/>
      <c r="H243" s="142">
        <v>128.80000000000001</v>
      </c>
      <c r="I243" s="192">
        <v>51</v>
      </c>
    </row>
    <row r="244" spans="1:9" x14ac:dyDescent="0.65">
      <c r="A244" s="188">
        <v>40752</v>
      </c>
      <c r="B244" s="35" t="s">
        <v>7</v>
      </c>
      <c r="C244" t="s">
        <v>7</v>
      </c>
      <c r="D244" t="s">
        <v>18</v>
      </c>
      <c r="E244" s="141">
        <v>2</v>
      </c>
      <c r="F244" s="141">
        <v>39.39</v>
      </c>
      <c r="G244" s="142"/>
      <c r="H244" s="142">
        <v>78.78</v>
      </c>
      <c r="I244" s="192">
        <v>51</v>
      </c>
    </row>
    <row r="245" spans="1:9" x14ac:dyDescent="0.65">
      <c r="A245" s="188">
        <v>40752</v>
      </c>
      <c r="B245" s="35" t="s">
        <v>7</v>
      </c>
      <c r="C245" t="s">
        <v>7</v>
      </c>
      <c r="D245" t="s">
        <v>18</v>
      </c>
      <c r="E245" s="141">
        <v>2</v>
      </c>
      <c r="F245" s="141">
        <v>39.39</v>
      </c>
      <c r="G245" s="142"/>
      <c r="H245" s="142">
        <v>78.78</v>
      </c>
      <c r="I245" s="192">
        <v>51</v>
      </c>
    </row>
    <row r="246" spans="1:9" x14ac:dyDescent="0.65">
      <c r="A246" s="188">
        <v>40752</v>
      </c>
      <c r="B246" s="35" t="s">
        <v>1360</v>
      </c>
      <c r="C246" t="s">
        <v>1355</v>
      </c>
      <c r="D246" t="s">
        <v>98</v>
      </c>
      <c r="E246" s="141">
        <v>1</v>
      </c>
      <c r="F246" s="141">
        <v>365</v>
      </c>
      <c r="G246" s="142"/>
      <c r="H246" s="142">
        <v>365</v>
      </c>
      <c r="I246" s="192">
        <v>51</v>
      </c>
    </row>
    <row r="247" spans="1:9" x14ac:dyDescent="0.65">
      <c r="A247" s="188">
        <v>40752</v>
      </c>
      <c r="B247" s="35" t="s">
        <v>1336</v>
      </c>
      <c r="C247" t="s">
        <v>1342</v>
      </c>
      <c r="D247" t="s">
        <v>18</v>
      </c>
      <c r="E247" s="141">
        <v>6</v>
      </c>
      <c r="F247" s="141">
        <v>90</v>
      </c>
      <c r="G247" s="142"/>
      <c r="H247" s="142">
        <v>540</v>
      </c>
      <c r="I247" s="192">
        <v>51</v>
      </c>
    </row>
    <row r="248" spans="1:9" x14ac:dyDescent="0.65">
      <c r="A248" s="188">
        <v>40752</v>
      </c>
      <c r="B248" s="35" t="s">
        <v>1334</v>
      </c>
      <c r="C248" t="s">
        <v>1335</v>
      </c>
      <c r="D248" t="s">
        <v>18</v>
      </c>
      <c r="E248" s="141">
        <v>5.5</v>
      </c>
      <c r="F248" s="141">
        <v>135</v>
      </c>
      <c r="G248" s="142"/>
      <c r="H248" s="142">
        <v>742.5</v>
      </c>
      <c r="I248" s="192">
        <v>51</v>
      </c>
    </row>
    <row r="249" spans="1:9" x14ac:dyDescent="0.65">
      <c r="A249" s="188">
        <v>40753</v>
      </c>
      <c r="B249" s="35" t="s">
        <v>1347</v>
      </c>
      <c r="C249" t="s">
        <v>1348</v>
      </c>
      <c r="D249" t="s">
        <v>18</v>
      </c>
      <c r="E249" s="141">
        <v>2</v>
      </c>
      <c r="F249" s="141">
        <v>90</v>
      </c>
      <c r="G249" s="142"/>
      <c r="H249" s="142">
        <v>180</v>
      </c>
      <c r="I249" s="192">
        <v>51</v>
      </c>
    </row>
    <row r="250" spans="1:9" x14ac:dyDescent="0.65">
      <c r="A250" s="188">
        <v>40753</v>
      </c>
      <c r="B250" s="35" t="s">
        <v>1360</v>
      </c>
      <c r="C250" t="s">
        <v>1355</v>
      </c>
      <c r="D250" t="s">
        <v>98</v>
      </c>
      <c r="E250" s="141">
        <v>1</v>
      </c>
      <c r="F250" s="141">
        <v>365</v>
      </c>
      <c r="G250" s="142"/>
      <c r="H250" s="142">
        <v>365</v>
      </c>
      <c r="I250" s="192">
        <v>51</v>
      </c>
    </row>
    <row r="251" spans="1:9" x14ac:dyDescent="0.65">
      <c r="A251" s="188">
        <v>40753</v>
      </c>
      <c r="B251" s="35" t="s">
        <v>1344</v>
      </c>
      <c r="C251" t="s">
        <v>1345</v>
      </c>
      <c r="D251" t="s">
        <v>18</v>
      </c>
      <c r="E251" s="141">
        <v>1</v>
      </c>
      <c r="F251" s="141">
        <v>80</v>
      </c>
      <c r="G251" s="142"/>
      <c r="H251" s="142">
        <v>80</v>
      </c>
      <c r="I251" s="192">
        <v>51</v>
      </c>
    </row>
    <row r="252" spans="1:9" x14ac:dyDescent="0.65">
      <c r="A252" s="188">
        <v>40753</v>
      </c>
      <c r="B252" s="35" t="s">
        <v>7</v>
      </c>
      <c r="C252" t="s">
        <v>7</v>
      </c>
      <c r="D252" t="s">
        <v>18</v>
      </c>
      <c r="E252" s="141">
        <v>4</v>
      </c>
      <c r="F252" s="141">
        <v>32.200000000000003</v>
      </c>
      <c r="G252" s="142"/>
      <c r="H252" s="142">
        <v>128.80000000000001</v>
      </c>
      <c r="I252" s="192">
        <v>51</v>
      </c>
    </row>
    <row r="253" spans="1:9" x14ac:dyDescent="0.65">
      <c r="A253" s="188">
        <v>40753</v>
      </c>
      <c r="B253" s="35" t="s">
        <v>1334</v>
      </c>
      <c r="C253" t="s">
        <v>1335</v>
      </c>
      <c r="D253" t="s">
        <v>18</v>
      </c>
      <c r="E253" s="141">
        <v>4</v>
      </c>
      <c r="F253" s="141">
        <v>135</v>
      </c>
      <c r="G253" s="142"/>
      <c r="H253" s="142">
        <v>540</v>
      </c>
      <c r="I253" s="192">
        <v>51</v>
      </c>
    </row>
    <row r="254" spans="1:9" x14ac:dyDescent="0.65">
      <c r="A254" s="188">
        <v>40753</v>
      </c>
      <c r="B254" s="35" t="s">
        <v>1336</v>
      </c>
      <c r="C254" t="s">
        <v>7</v>
      </c>
      <c r="D254" t="s">
        <v>18</v>
      </c>
      <c r="E254" s="141">
        <v>2</v>
      </c>
      <c r="F254" s="141">
        <v>95</v>
      </c>
      <c r="G254" s="142"/>
      <c r="H254" s="142">
        <v>190</v>
      </c>
      <c r="I254" s="192">
        <v>51</v>
      </c>
    </row>
    <row r="255" spans="1:9" x14ac:dyDescent="0.65">
      <c r="A255" s="188">
        <v>40754</v>
      </c>
      <c r="B255" s="35" t="s">
        <v>1334</v>
      </c>
      <c r="C255" t="s">
        <v>1335</v>
      </c>
      <c r="D255" t="s">
        <v>18</v>
      </c>
      <c r="E255" s="141">
        <v>6</v>
      </c>
      <c r="F255" s="141">
        <v>135</v>
      </c>
      <c r="G255" s="142"/>
      <c r="H255" s="142">
        <v>810</v>
      </c>
      <c r="I255" s="192">
        <v>51</v>
      </c>
    </row>
    <row r="256" spans="1:9" x14ac:dyDescent="0.65">
      <c r="A256" s="188">
        <v>40754</v>
      </c>
      <c r="B256" s="35" t="s">
        <v>1336</v>
      </c>
      <c r="C256" t="s">
        <v>7</v>
      </c>
      <c r="D256" t="s">
        <v>18</v>
      </c>
      <c r="E256" s="141">
        <v>6</v>
      </c>
      <c r="F256" s="141">
        <v>95</v>
      </c>
      <c r="G256" s="142"/>
      <c r="H256" s="142">
        <v>570</v>
      </c>
      <c r="I256" s="192">
        <v>51</v>
      </c>
    </row>
    <row r="257" spans="1:9" x14ac:dyDescent="0.65">
      <c r="A257" s="188">
        <v>40754</v>
      </c>
      <c r="B257" s="35" t="s">
        <v>1344</v>
      </c>
      <c r="C257" t="s">
        <v>1345</v>
      </c>
      <c r="D257" t="s">
        <v>18</v>
      </c>
      <c r="E257" s="141">
        <v>5</v>
      </c>
      <c r="F257" s="141">
        <v>80</v>
      </c>
      <c r="G257" s="142"/>
      <c r="H257" s="142">
        <v>400</v>
      </c>
      <c r="I257" s="192">
        <v>51</v>
      </c>
    </row>
    <row r="258" spans="1:9" x14ac:dyDescent="0.65">
      <c r="A258" s="188">
        <v>40754</v>
      </c>
      <c r="B258" s="35" t="s">
        <v>7</v>
      </c>
      <c r="C258" t="s">
        <v>7</v>
      </c>
      <c r="D258" t="s">
        <v>18</v>
      </c>
      <c r="E258" s="141">
        <v>2.5</v>
      </c>
      <c r="F258" s="141">
        <v>39.39</v>
      </c>
      <c r="G258" s="142"/>
      <c r="H258" s="142">
        <v>98.474999999999994</v>
      </c>
      <c r="I258" s="192">
        <v>51</v>
      </c>
    </row>
    <row r="259" spans="1:9" x14ac:dyDescent="0.65">
      <c r="A259" s="188">
        <v>40754</v>
      </c>
      <c r="B259" s="35" t="s">
        <v>7</v>
      </c>
      <c r="C259" t="s">
        <v>7</v>
      </c>
      <c r="D259" t="s">
        <v>18</v>
      </c>
      <c r="E259" s="141">
        <v>6.5</v>
      </c>
      <c r="F259" s="141">
        <v>32.200000000000003</v>
      </c>
      <c r="G259" s="142"/>
      <c r="H259" s="142">
        <v>209.3</v>
      </c>
      <c r="I259" s="192">
        <v>51</v>
      </c>
    </row>
    <row r="260" spans="1:9" x14ac:dyDescent="0.65">
      <c r="A260" s="188">
        <v>40754</v>
      </c>
      <c r="B260" s="35" t="s">
        <v>1336</v>
      </c>
      <c r="C260" t="s">
        <v>1342</v>
      </c>
      <c r="D260" t="s">
        <v>18</v>
      </c>
      <c r="E260" s="141">
        <v>6</v>
      </c>
      <c r="F260" s="141">
        <v>90</v>
      </c>
      <c r="G260" s="142"/>
      <c r="H260" s="142">
        <v>540</v>
      </c>
      <c r="I260" s="192">
        <v>51</v>
      </c>
    </row>
    <row r="261" spans="1:9" x14ac:dyDescent="0.65">
      <c r="A261" s="188">
        <v>40754</v>
      </c>
      <c r="B261" s="35" t="s">
        <v>1361</v>
      </c>
      <c r="C261" t="s">
        <v>1357</v>
      </c>
      <c r="D261" t="s">
        <v>98</v>
      </c>
      <c r="E261" s="141">
        <v>1</v>
      </c>
      <c r="F261" s="141">
        <v>365</v>
      </c>
      <c r="G261" s="142"/>
      <c r="H261" s="142">
        <v>365</v>
      </c>
      <c r="I261" s="192">
        <v>51</v>
      </c>
    </row>
    <row r="262" spans="1:9" x14ac:dyDescent="0.65">
      <c r="A262" s="188">
        <v>40754</v>
      </c>
      <c r="B262" s="35" t="s">
        <v>1360</v>
      </c>
      <c r="C262" t="s">
        <v>1355</v>
      </c>
      <c r="D262" t="s">
        <v>98</v>
      </c>
      <c r="E262" s="141">
        <v>1</v>
      </c>
      <c r="F262" s="141">
        <v>365</v>
      </c>
      <c r="G262" s="142"/>
      <c r="H262" s="142">
        <v>365</v>
      </c>
      <c r="I262" s="192">
        <v>51</v>
      </c>
    </row>
    <row r="263" spans="1:9" x14ac:dyDescent="0.65">
      <c r="A263" s="188">
        <v>40754</v>
      </c>
      <c r="B263" s="35" t="s">
        <v>1347</v>
      </c>
      <c r="C263" t="s">
        <v>1348</v>
      </c>
      <c r="D263" t="s">
        <v>18</v>
      </c>
      <c r="E263" s="141">
        <v>4</v>
      </c>
      <c r="F263" s="141">
        <v>90</v>
      </c>
      <c r="G263" s="142"/>
      <c r="H263" s="142">
        <v>360</v>
      </c>
      <c r="I263" s="192">
        <v>51</v>
      </c>
    </row>
    <row r="264" spans="1:9" x14ac:dyDescent="0.65">
      <c r="A264" s="188">
        <v>40754</v>
      </c>
      <c r="B264" s="35" t="s">
        <v>1336</v>
      </c>
      <c r="C264" t="s">
        <v>1341</v>
      </c>
      <c r="D264" t="s">
        <v>18</v>
      </c>
      <c r="E264" s="141">
        <v>6</v>
      </c>
      <c r="F264" s="141">
        <v>95</v>
      </c>
      <c r="G264" s="142"/>
      <c r="H264" s="142">
        <v>570</v>
      </c>
      <c r="I264" s="192">
        <v>51</v>
      </c>
    </row>
    <row r="265" spans="1:9" x14ac:dyDescent="0.65">
      <c r="A265" s="188">
        <v>40756</v>
      </c>
      <c r="B265" s="35" t="s">
        <v>1334</v>
      </c>
      <c r="C265" t="s">
        <v>1335</v>
      </c>
      <c r="D265" t="s">
        <v>18</v>
      </c>
      <c r="E265" s="141">
        <v>9.5</v>
      </c>
      <c r="F265" s="141">
        <v>135</v>
      </c>
      <c r="G265" s="142"/>
      <c r="H265" s="142">
        <v>1282.5</v>
      </c>
      <c r="I265" s="192">
        <v>51</v>
      </c>
    </row>
    <row r="266" spans="1:9" x14ac:dyDescent="0.65">
      <c r="A266" s="188">
        <v>40756</v>
      </c>
      <c r="B266" s="35" t="s">
        <v>7</v>
      </c>
      <c r="C266" t="s">
        <v>7</v>
      </c>
      <c r="D266" t="s">
        <v>18</v>
      </c>
      <c r="E266" s="141">
        <v>9.5</v>
      </c>
      <c r="F266" s="141">
        <v>39.39</v>
      </c>
      <c r="G266" s="142"/>
      <c r="H266" s="142">
        <v>374.20499999999998</v>
      </c>
      <c r="I266" s="192">
        <v>51</v>
      </c>
    </row>
    <row r="267" spans="1:9" x14ac:dyDescent="0.65">
      <c r="A267" s="188">
        <v>40756</v>
      </c>
      <c r="B267" s="35" t="s">
        <v>1336</v>
      </c>
      <c r="C267" t="s">
        <v>7</v>
      </c>
      <c r="D267" t="s">
        <v>18</v>
      </c>
      <c r="E267" s="141">
        <v>9.5</v>
      </c>
      <c r="F267" s="141">
        <v>95</v>
      </c>
      <c r="G267" s="142"/>
      <c r="H267" s="142">
        <v>902.5</v>
      </c>
      <c r="I267" s="192">
        <v>51</v>
      </c>
    </row>
    <row r="268" spans="1:9" x14ac:dyDescent="0.65">
      <c r="A268" s="188">
        <v>40756</v>
      </c>
      <c r="B268" s="35" t="s">
        <v>1347</v>
      </c>
      <c r="C268" t="s">
        <v>1348</v>
      </c>
      <c r="D268" t="s">
        <v>18</v>
      </c>
      <c r="E268" s="141">
        <v>3</v>
      </c>
      <c r="F268" s="141">
        <v>90</v>
      </c>
      <c r="G268" s="142"/>
      <c r="H268" s="142">
        <v>270</v>
      </c>
      <c r="I268" s="192">
        <v>51</v>
      </c>
    </row>
    <row r="269" spans="1:9" x14ac:dyDescent="0.65">
      <c r="A269" s="188">
        <v>40756</v>
      </c>
      <c r="B269" s="35" t="s">
        <v>1336</v>
      </c>
      <c r="C269" t="s">
        <v>1342</v>
      </c>
      <c r="D269" t="s">
        <v>18</v>
      </c>
      <c r="E269" s="141">
        <v>9.5</v>
      </c>
      <c r="F269" s="141">
        <v>90</v>
      </c>
      <c r="G269" s="142"/>
      <c r="H269" s="142">
        <v>855</v>
      </c>
      <c r="I269" s="192">
        <v>51</v>
      </c>
    </row>
    <row r="270" spans="1:9" x14ac:dyDescent="0.65">
      <c r="A270" s="188">
        <v>40756</v>
      </c>
      <c r="B270" s="35" t="s">
        <v>7</v>
      </c>
      <c r="C270" t="s">
        <v>7</v>
      </c>
      <c r="D270" t="s">
        <v>18</v>
      </c>
      <c r="E270" s="141">
        <v>9.5</v>
      </c>
      <c r="F270" s="141">
        <v>32.200000000000003</v>
      </c>
      <c r="G270" s="142"/>
      <c r="H270" s="142">
        <v>305.89999999999998</v>
      </c>
      <c r="I270" s="192">
        <v>51</v>
      </c>
    </row>
    <row r="271" spans="1:9" x14ac:dyDescent="0.65">
      <c r="A271" s="188">
        <v>40756</v>
      </c>
      <c r="B271" s="35" t="s">
        <v>7</v>
      </c>
      <c r="C271" t="s">
        <v>7</v>
      </c>
      <c r="D271" t="s">
        <v>18</v>
      </c>
      <c r="E271" s="141">
        <v>2</v>
      </c>
      <c r="F271" s="141">
        <v>39.39</v>
      </c>
      <c r="G271" s="142"/>
      <c r="H271" s="142">
        <v>78.78</v>
      </c>
      <c r="I271" s="192">
        <v>51</v>
      </c>
    </row>
    <row r="272" spans="1:9" x14ac:dyDescent="0.65">
      <c r="A272" s="188">
        <v>40756</v>
      </c>
      <c r="B272" s="35" t="s">
        <v>1361</v>
      </c>
      <c r="C272" t="s">
        <v>1357</v>
      </c>
      <c r="D272" t="s">
        <v>98</v>
      </c>
      <c r="E272" s="141">
        <v>1</v>
      </c>
      <c r="F272" s="141">
        <v>365</v>
      </c>
      <c r="G272" s="142"/>
      <c r="H272" s="142">
        <v>365</v>
      </c>
      <c r="I272" s="192">
        <v>51</v>
      </c>
    </row>
    <row r="273" spans="1:9" x14ac:dyDescent="0.65">
      <c r="A273" s="188">
        <v>40756</v>
      </c>
      <c r="B273" s="35" t="s">
        <v>1344</v>
      </c>
      <c r="C273" t="s">
        <v>1345</v>
      </c>
      <c r="D273" t="s">
        <v>18</v>
      </c>
      <c r="E273" s="141">
        <v>7</v>
      </c>
      <c r="F273" s="141">
        <v>80</v>
      </c>
      <c r="G273" s="142"/>
      <c r="H273" s="142">
        <v>560</v>
      </c>
      <c r="I273" s="192">
        <v>51</v>
      </c>
    </row>
    <row r="274" spans="1:9" x14ac:dyDescent="0.65">
      <c r="A274" s="188">
        <v>40756</v>
      </c>
      <c r="B274" s="35" t="s">
        <v>1360</v>
      </c>
      <c r="C274" t="s">
        <v>1355</v>
      </c>
      <c r="D274" t="s">
        <v>98</v>
      </c>
      <c r="E274" s="141">
        <v>1</v>
      </c>
      <c r="F274" s="141">
        <v>365</v>
      </c>
      <c r="G274" s="142"/>
      <c r="H274" s="142">
        <v>365</v>
      </c>
      <c r="I274" s="192">
        <v>51</v>
      </c>
    </row>
    <row r="275" spans="1:9" x14ac:dyDescent="0.65">
      <c r="A275" s="188">
        <v>40757</v>
      </c>
      <c r="B275" s="35" t="s">
        <v>7</v>
      </c>
      <c r="C275" t="s">
        <v>7</v>
      </c>
      <c r="D275" t="s">
        <v>18</v>
      </c>
      <c r="E275" s="141">
        <v>9.5</v>
      </c>
      <c r="F275" s="141">
        <v>32.200000000000003</v>
      </c>
      <c r="G275" s="142"/>
      <c r="H275" s="142">
        <v>305.89999999999998</v>
      </c>
      <c r="I275" s="192">
        <v>51</v>
      </c>
    </row>
    <row r="276" spans="1:9" x14ac:dyDescent="0.65">
      <c r="A276" s="188">
        <v>40757</v>
      </c>
      <c r="B276" s="35" t="s">
        <v>1336</v>
      </c>
      <c r="C276" t="s">
        <v>1342</v>
      </c>
      <c r="D276" t="s">
        <v>18</v>
      </c>
      <c r="E276" s="141">
        <v>5</v>
      </c>
      <c r="F276" s="141">
        <v>90</v>
      </c>
      <c r="G276" s="142"/>
      <c r="H276" s="142">
        <v>450</v>
      </c>
      <c r="I276" s="192">
        <v>51</v>
      </c>
    </row>
    <row r="277" spans="1:9" x14ac:dyDescent="0.65">
      <c r="A277" s="188">
        <v>40757</v>
      </c>
      <c r="B277" s="35" t="s">
        <v>7</v>
      </c>
      <c r="C277" t="s">
        <v>7</v>
      </c>
      <c r="D277" t="s">
        <v>18</v>
      </c>
      <c r="E277" s="141">
        <v>9.5</v>
      </c>
      <c r="F277" s="141">
        <v>39.39</v>
      </c>
      <c r="G277" s="142"/>
      <c r="H277" s="142">
        <v>374.20499999999998</v>
      </c>
      <c r="I277" s="192">
        <v>51</v>
      </c>
    </row>
    <row r="278" spans="1:9" x14ac:dyDescent="0.65">
      <c r="A278" s="188">
        <v>40757</v>
      </c>
      <c r="B278" s="35" t="s">
        <v>1347</v>
      </c>
      <c r="C278" t="s">
        <v>1348</v>
      </c>
      <c r="D278" t="s">
        <v>18</v>
      </c>
      <c r="E278" s="141">
        <v>3</v>
      </c>
      <c r="F278" s="141">
        <v>90</v>
      </c>
      <c r="G278" s="142"/>
      <c r="H278" s="142">
        <v>270</v>
      </c>
      <c r="I278" s="192">
        <v>51</v>
      </c>
    </row>
    <row r="279" spans="1:9" x14ac:dyDescent="0.65">
      <c r="A279" s="188">
        <v>40757</v>
      </c>
      <c r="B279" s="35" t="s">
        <v>1360</v>
      </c>
      <c r="C279" t="s">
        <v>1355</v>
      </c>
      <c r="D279" t="s">
        <v>98</v>
      </c>
      <c r="E279" s="141">
        <v>1</v>
      </c>
      <c r="F279" s="141">
        <v>365</v>
      </c>
      <c r="G279" s="142"/>
      <c r="H279" s="142">
        <v>365</v>
      </c>
      <c r="I279" s="192">
        <v>51</v>
      </c>
    </row>
    <row r="280" spans="1:9" x14ac:dyDescent="0.65">
      <c r="A280" s="188">
        <v>40757</v>
      </c>
      <c r="B280" s="35" t="s">
        <v>1344</v>
      </c>
      <c r="C280" t="s">
        <v>1345</v>
      </c>
      <c r="D280" t="s">
        <v>18</v>
      </c>
      <c r="E280" s="141">
        <v>2</v>
      </c>
      <c r="F280" s="141">
        <v>80</v>
      </c>
      <c r="G280" s="142"/>
      <c r="H280" s="142">
        <v>160</v>
      </c>
      <c r="I280" s="192">
        <v>51</v>
      </c>
    </row>
    <row r="281" spans="1:9" x14ac:dyDescent="0.65">
      <c r="A281" s="188">
        <v>40757</v>
      </c>
      <c r="B281" s="35" t="s">
        <v>7</v>
      </c>
      <c r="C281" t="s">
        <v>7</v>
      </c>
      <c r="D281" t="s">
        <v>18</v>
      </c>
      <c r="E281" s="141">
        <v>3</v>
      </c>
      <c r="F281" s="141">
        <v>39.39</v>
      </c>
      <c r="G281" s="142"/>
      <c r="H281" s="142">
        <v>118.17</v>
      </c>
      <c r="I281" s="192">
        <v>51</v>
      </c>
    </row>
    <row r="282" spans="1:9" x14ac:dyDescent="0.65">
      <c r="A282" s="188">
        <v>40757</v>
      </c>
      <c r="B282" s="35" t="s">
        <v>1334</v>
      </c>
      <c r="C282" t="s">
        <v>1335</v>
      </c>
      <c r="D282" t="s">
        <v>451</v>
      </c>
      <c r="E282" s="141">
        <v>6</v>
      </c>
      <c r="F282" s="141">
        <v>135</v>
      </c>
      <c r="G282" s="142"/>
      <c r="H282" s="142">
        <v>810</v>
      </c>
      <c r="I282" s="192">
        <v>51</v>
      </c>
    </row>
    <row r="283" spans="1:9" x14ac:dyDescent="0.65">
      <c r="A283" s="188">
        <v>40757</v>
      </c>
      <c r="B283" s="35" t="s">
        <v>7</v>
      </c>
      <c r="C283" t="s">
        <v>7</v>
      </c>
      <c r="D283" t="s">
        <v>18</v>
      </c>
      <c r="E283" s="141">
        <v>3.5</v>
      </c>
      <c r="F283" s="141">
        <v>39.39</v>
      </c>
      <c r="G283" s="142"/>
      <c r="H283" s="142">
        <v>137.86500000000001</v>
      </c>
      <c r="I283" s="192">
        <v>51</v>
      </c>
    </row>
    <row r="284" spans="1:9" x14ac:dyDescent="0.65">
      <c r="A284" s="188">
        <v>40757</v>
      </c>
      <c r="B284" s="35" t="s">
        <v>1336</v>
      </c>
      <c r="C284" t="s">
        <v>7</v>
      </c>
      <c r="D284" t="s">
        <v>18</v>
      </c>
      <c r="E284" s="141">
        <v>7</v>
      </c>
      <c r="F284" s="141">
        <v>95</v>
      </c>
      <c r="G284" s="142"/>
      <c r="H284" s="142">
        <v>665</v>
      </c>
      <c r="I284" s="192">
        <v>51</v>
      </c>
    </row>
    <row r="285" spans="1:9" x14ac:dyDescent="0.65">
      <c r="A285" s="188">
        <v>40758</v>
      </c>
      <c r="B285" s="35" t="s">
        <v>1347</v>
      </c>
      <c r="C285" t="s">
        <v>1348</v>
      </c>
      <c r="D285" t="s">
        <v>18</v>
      </c>
      <c r="E285" s="141">
        <v>4</v>
      </c>
      <c r="F285" s="141">
        <v>90</v>
      </c>
      <c r="G285" s="142"/>
      <c r="H285" s="142">
        <v>360</v>
      </c>
      <c r="I285" s="192">
        <v>51</v>
      </c>
    </row>
    <row r="286" spans="1:9" x14ac:dyDescent="0.65">
      <c r="A286" s="188">
        <v>40777</v>
      </c>
      <c r="B286" s="35" t="s">
        <v>398</v>
      </c>
      <c r="C286" t="s">
        <v>1355</v>
      </c>
      <c r="D286" t="s">
        <v>98</v>
      </c>
      <c r="E286" s="141">
        <v>1</v>
      </c>
      <c r="F286" s="141">
        <v>365</v>
      </c>
      <c r="G286" s="142"/>
      <c r="H286" s="142">
        <v>365</v>
      </c>
      <c r="I286" s="192">
        <v>51</v>
      </c>
    </row>
    <row r="287" spans="1:9" x14ac:dyDescent="0.65">
      <c r="A287" s="188">
        <v>40778</v>
      </c>
      <c r="B287" s="35" t="s">
        <v>398</v>
      </c>
      <c r="C287" t="s">
        <v>1355</v>
      </c>
      <c r="D287" t="s">
        <v>98</v>
      </c>
      <c r="E287" s="141">
        <v>1</v>
      </c>
      <c r="F287" s="141">
        <v>365</v>
      </c>
      <c r="G287" s="142"/>
      <c r="H287" s="142">
        <v>365</v>
      </c>
      <c r="I287" s="192">
        <v>51</v>
      </c>
    </row>
    <row r="288" spans="1:9" x14ac:dyDescent="0.65">
      <c r="A288" s="188">
        <v>40779</v>
      </c>
      <c r="B288" s="35" t="s">
        <v>398</v>
      </c>
      <c r="C288" t="s">
        <v>1355</v>
      </c>
      <c r="D288" t="s">
        <v>98</v>
      </c>
      <c r="E288" s="141">
        <v>1</v>
      </c>
      <c r="F288" s="141">
        <v>365</v>
      </c>
      <c r="G288" s="142"/>
      <c r="H288" s="142">
        <v>365</v>
      </c>
      <c r="I288" s="192">
        <v>51</v>
      </c>
    </row>
    <row r="289" spans="1:9" x14ac:dyDescent="0.65">
      <c r="A289" s="188">
        <v>40780</v>
      </c>
      <c r="B289" s="35" t="s">
        <v>398</v>
      </c>
      <c r="C289" t="s">
        <v>1355</v>
      </c>
      <c r="D289" t="s">
        <v>98</v>
      </c>
      <c r="E289" s="141">
        <v>1</v>
      </c>
      <c r="F289" s="141">
        <v>365</v>
      </c>
      <c r="G289" s="142"/>
      <c r="H289" s="142">
        <v>365</v>
      </c>
      <c r="I289" s="192">
        <v>51</v>
      </c>
    </row>
    <row r="290" spans="1:9" x14ac:dyDescent="0.65">
      <c r="A290" s="188">
        <v>40781</v>
      </c>
      <c r="B290" s="35" t="s">
        <v>1360</v>
      </c>
      <c r="C290" t="s">
        <v>1355</v>
      </c>
      <c r="D290" t="s">
        <v>98</v>
      </c>
      <c r="E290" s="141">
        <v>1</v>
      </c>
      <c r="F290" s="141">
        <v>365</v>
      </c>
      <c r="G290" s="142"/>
      <c r="H290" s="142">
        <v>365</v>
      </c>
      <c r="I290" s="192">
        <v>51</v>
      </c>
    </row>
    <row r="291" spans="1:9" x14ac:dyDescent="0.65">
      <c r="A291" s="188">
        <v>40785</v>
      </c>
      <c r="B291" s="35" t="s">
        <v>7</v>
      </c>
      <c r="C291" t="s">
        <v>7</v>
      </c>
      <c r="D291" t="s">
        <v>18</v>
      </c>
      <c r="E291" s="141">
        <v>7</v>
      </c>
      <c r="F291" s="141">
        <v>32.200000000000003</v>
      </c>
      <c r="G291" s="142"/>
      <c r="H291" s="142">
        <v>225.4</v>
      </c>
      <c r="I291" s="192">
        <v>51</v>
      </c>
    </row>
    <row r="292" spans="1:9" x14ac:dyDescent="0.65">
      <c r="A292" s="188">
        <v>40785</v>
      </c>
      <c r="B292" s="35" t="s">
        <v>7</v>
      </c>
      <c r="C292" t="s">
        <v>7</v>
      </c>
      <c r="D292" t="s">
        <v>18</v>
      </c>
      <c r="E292" s="141">
        <v>7</v>
      </c>
      <c r="F292" s="141">
        <v>39.39</v>
      </c>
      <c r="G292" s="142"/>
      <c r="H292" s="142">
        <v>275.73</v>
      </c>
      <c r="I292" s="192">
        <v>51</v>
      </c>
    </row>
    <row r="293" spans="1:9" x14ac:dyDescent="0.65">
      <c r="A293" s="188">
        <v>40785</v>
      </c>
      <c r="B293" s="35" t="s">
        <v>7</v>
      </c>
      <c r="C293" t="s">
        <v>7</v>
      </c>
      <c r="D293" t="s">
        <v>18</v>
      </c>
      <c r="E293" s="141">
        <v>7</v>
      </c>
      <c r="F293" s="141">
        <v>39.39</v>
      </c>
      <c r="G293" s="142"/>
      <c r="H293" s="142">
        <v>275.73</v>
      </c>
      <c r="I293" s="192">
        <v>51</v>
      </c>
    </row>
    <row r="294" spans="1:9" x14ac:dyDescent="0.65">
      <c r="A294" s="188">
        <v>40786</v>
      </c>
      <c r="B294" s="35" t="s">
        <v>401</v>
      </c>
      <c r="C294" t="s">
        <v>1357</v>
      </c>
      <c r="D294" t="s">
        <v>98</v>
      </c>
      <c r="E294" s="141">
        <v>1</v>
      </c>
      <c r="F294" s="141">
        <v>365</v>
      </c>
      <c r="G294" s="142"/>
      <c r="H294" s="142">
        <v>365</v>
      </c>
      <c r="I294" s="192">
        <v>51</v>
      </c>
    </row>
    <row r="295" spans="1:9" x14ac:dyDescent="0.65">
      <c r="A295" s="188">
        <v>40786</v>
      </c>
      <c r="B295" s="35" t="s">
        <v>1336</v>
      </c>
      <c r="C295" t="s">
        <v>1341</v>
      </c>
      <c r="D295" t="s">
        <v>18</v>
      </c>
      <c r="E295" s="141">
        <v>5</v>
      </c>
      <c r="F295" s="141">
        <v>95</v>
      </c>
      <c r="G295" s="142"/>
      <c r="H295" s="142">
        <v>475</v>
      </c>
      <c r="I295" s="192">
        <v>51</v>
      </c>
    </row>
    <row r="296" spans="1:9" x14ac:dyDescent="0.65">
      <c r="A296" s="188">
        <v>40786</v>
      </c>
      <c r="B296" s="35" t="s">
        <v>1360</v>
      </c>
      <c r="C296" t="s">
        <v>1355</v>
      </c>
      <c r="D296" t="s">
        <v>98</v>
      </c>
      <c r="E296" s="141">
        <v>1</v>
      </c>
      <c r="F296" s="141">
        <v>365</v>
      </c>
      <c r="G296" s="142"/>
      <c r="H296" s="142">
        <v>365</v>
      </c>
      <c r="I296" s="192">
        <v>51</v>
      </c>
    </row>
    <row r="297" spans="1:9" x14ac:dyDescent="0.65">
      <c r="A297" s="188">
        <v>40786</v>
      </c>
      <c r="B297" s="35" t="s">
        <v>1358</v>
      </c>
      <c r="C297" t="s">
        <v>1359</v>
      </c>
      <c r="D297" t="s">
        <v>98</v>
      </c>
      <c r="E297" s="141">
        <v>1</v>
      </c>
      <c r="F297" s="141">
        <v>365</v>
      </c>
      <c r="G297" s="142"/>
      <c r="H297" s="142">
        <v>365</v>
      </c>
      <c r="I297" s="192">
        <v>51</v>
      </c>
    </row>
    <row r="298" spans="1:9" x14ac:dyDescent="0.65">
      <c r="A298" s="188">
        <v>40786</v>
      </c>
      <c r="B298" s="35" t="s">
        <v>1344</v>
      </c>
      <c r="C298" t="s">
        <v>1345</v>
      </c>
      <c r="D298" t="s">
        <v>18</v>
      </c>
      <c r="E298" s="141">
        <v>2</v>
      </c>
      <c r="F298" s="141">
        <v>80</v>
      </c>
      <c r="G298" s="142"/>
      <c r="H298" s="142">
        <v>160</v>
      </c>
      <c r="I298" s="192">
        <v>51</v>
      </c>
    </row>
    <row r="299" spans="1:9" x14ac:dyDescent="0.65">
      <c r="A299" s="188">
        <v>40786</v>
      </c>
      <c r="B299" s="35" t="s">
        <v>7</v>
      </c>
      <c r="C299" t="s">
        <v>7</v>
      </c>
      <c r="D299" t="s">
        <v>18</v>
      </c>
      <c r="E299" s="141">
        <v>5.5</v>
      </c>
      <c r="F299" s="141">
        <v>32.200000000000003</v>
      </c>
      <c r="G299" s="142"/>
      <c r="H299" s="142">
        <v>177.1</v>
      </c>
      <c r="I299" s="192">
        <v>51</v>
      </c>
    </row>
    <row r="300" spans="1:9" x14ac:dyDescent="0.65">
      <c r="A300" s="188">
        <v>40786</v>
      </c>
      <c r="B300" s="35" t="s">
        <v>1347</v>
      </c>
      <c r="C300" t="s">
        <v>1348</v>
      </c>
      <c r="D300" t="s">
        <v>18</v>
      </c>
      <c r="E300" s="141">
        <v>2.75</v>
      </c>
      <c r="F300" s="141">
        <v>90</v>
      </c>
      <c r="G300" s="142"/>
      <c r="H300" s="142">
        <v>247.5</v>
      </c>
      <c r="I300" s="192">
        <v>51</v>
      </c>
    </row>
    <row r="301" spans="1:9" x14ac:dyDescent="0.65">
      <c r="A301" s="188">
        <v>40786</v>
      </c>
      <c r="B301" s="35" t="s">
        <v>1336</v>
      </c>
      <c r="C301" t="s">
        <v>1342</v>
      </c>
      <c r="D301" t="s">
        <v>18</v>
      </c>
      <c r="E301" s="141">
        <v>10</v>
      </c>
      <c r="F301" s="141">
        <v>90</v>
      </c>
      <c r="G301" s="142"/>
      <c r="H301" s="142">
        <v>900</v>
      </c>
      <c r="I301" s="192">
        <v>51</v>
      </c>
    </row>
    <row r="302" spans="1:9" x14ac:dyDescent="0.65">
      <c r="A302" s="188">
        <v>40786</v>
      </c>
      <c r="B302" s="35" t="s">
        <v>7</v>
      </c>
      <c r="C302" t="s">
        <v>7</v>
      </c>
      <c r="D302" t="s">
        <v>18</v>
      </c>
      <c r="E302" s="141">
        <v>5</v>
      </c>
      <c r="F302" s="141">
        <v>39.39</v>
      </c>
      <c r="G302" s="142"/>
      <c r="H302" s="142">
        <v>196.95</v>
      </c>
      <c r="I302" s="192">
        <v>51</v>
      </c>
    </row>
    <row r="303" spans="1:9" x14ac:dyDescent="0.65">
      <c r="A303" s="188">
        <v>40786</v>
      </c>
      <c r="B303" s="35" t="s">
        <v>1334</v>
      </c>
      <c r="C303" t="s">
        <v>1335</v>
      </c>
      <c r="D303" t="s">
        <v>18</v>
      </c>
      <c r="E303" s="141">
        <v>9.5</v>
      </c>
      <c r="F303" s="141">
        <v>135</v>
      </c>
      <c r="G303" s="142"/>
      <c r="H303" s="142">
        <v>1282.5</v>
      </c>
      <c r="I303" s="192">
        <v>51</v>
      </c>
    </row>
    <row r="304" spans="1:9" x14ac:dyDescent="0.65">
      <c r="A304" s="188">
        <v>40786</v>
      </c>
      <c r="B304" s="35" t="s">
        <v>7</v>
      </c>
      <c r="C304" t="s">
        <v>7</v>
      </c>
      <c r="D304" t="s">
        <v>18</v>
      </c>
      <c r="E304" s="141">
        <v>10.5</v>
      </c>
      <c r="F304" s="141">
        <v>39.39</v>
      </c>
      <c r="G304" s="142"/>
      <c r="H304" s="142">
        <v>413.59500000000003</v>
      </c>
      <c r="I304" s="192">
        <v>51</v>
      </c>
    </row>
    <row r="305" spans="1:9" x14ac:dyDescent="0.65">
      <c r="A305" s="188">
        <v>40787</v>
      </c>
      <c r="B305" s="35" t="s">
        <v>7</v>
      </c>
      <c r="C305" t="s">
        <v>7</v>
      </c>
      <c r="D305" t="s">
        <v>18</v>
      </c>
      <c r="E305" s="141">
        <v>5</v>
      </c>
      <c r="F305" s="141">
        <v>39.39</v>
      </c>
      <c r="G305" s="142"/>
      <c r="H305" s="142">
        <v>196.95</v>
      </c>
      <c r="I305" s="192">
        <v>51</v>
      </c>
    </row>
    <row r="306" spans="1:9" x14ac:dyDescent="0.65">
      <c r="A306" s="188">
        <v>40787</v>
      </c>
      <c r="B306" s="35" t="s">
        <v>1344</v>
      </c>
      <c r="C306" t="s">
        <v>1345</v>
      </c>
      <c r="D306" t="s">
        <v>18</v>
      </c>
      <c r="E306" s="141">
        <v>1</v>
      </c>
      <c r="F306" s="141">
        <v>80</v>
      </c>
      <c r="G306" s="142"/>
      <c r="H306" s="142">
        <v>80</v>
      </c>
      <c r="I306" s="192">
        <v>51</v>
      </c>
    </row>
    <row r="307" spans="1:9" x14ac:dyDescent="0.65">
      <c r="A307" s="188">
        <v>40787</v>
      </c>
      <c r="B307" s="35" t="s">
        <v>1336</v>
      </c>
      <c r="C307" t="s">
        <v>1341</v>
      </c>
      <c r="D307" t="s">
        <v>18</v>
      </c>
      <c r="E307" s="141">
        <v>3</v>
      </c>
      <c r="F307" s="141">
        <v>95</v>
      </c>
      <c r="G307" s="142"/>
      <c r="H307" s="142">
        <v>285</v>
      </c>
      <c r="I307" s="192">
        <v>51</v>
      </c>
    </row>
    <row r="308" spans="1:9" x14ac:dyDescent="0.65">
      <c r="A308" s="188">
        <v>40787</v>
      </c>
      <c r="B308" s="35" t="s">
        <v>1336</v>
      </c>
      <c r="C308" t="s">
        <v>1342</v>
      </c>
      <c r="D308" t="s">
        <v>18</v>
      </c>
      <c r="E308" s="141">
        <v>2.5</v>
      </c>
      <c r="F308" s="141">
        <v>90</v>
      </c>
      <c r="G308" s="142"/>
      <c r="H308" s="142">
        <v>225</v>
      </c>
      <c r="I308" s="192">
        <v>51</v>
      </c>
    </row>
    <row r="309" spans="1:9" x14ac:dyDescent="0.65">
      <c r="A309" s="188">
        <v>40787</v>
      </c>
      <c r="B309" s="35" t="s">
        <v>1358</v>
      </c>
      <c r="C309" t="s">
        <v>1359</v>
      </c>
      <c r="D309" t="s">
        <v>98</v>
      </c>
      <c r="E309" s="141">
        <v>1</v>
      </c>
      <c r="F309" s="141">
        <v>365</v>
      </c>
      <c r="G309" s="142"/>
      <c r="H309" s="142">
        <v>365</v>
      </c>
      <c r="I309" s="192">
        <v>51</v>
      </c>
    </row>
    <row r="310" spans="1:9" x14ac:dyDescent="0.65">
      <c r="A310" s="188">
        <v>40787</v>
      </c>
      <c r="B310" s="35" t="s">
        <v>1347</v>
      </c>
      <c r="C310" t="s">
        <v>1348</v>
      </c>
      <c r="D310" t="s">
        <v>18</v>
      </c>
      <c r="E310" s="141">
        <v>2.5</v>
      </c>
      <c r="F310" s="141">
        <v>90</v>
      </c>
      <c r="G310" s="142"/>
      <c r="H310" s="142">
        <v>225</v>
      </c>
      <c r="I310" s="192">
        <v>51</v>
      </c>
    </row>
    <row r="311" spans="1:9" x14ac:dyDescent="0.65">
      <c r="A311" s="188">
        <v>40787</v>
      </c>
      <c r="B311" s="35" t="s">
        <v>7</v>
      </c>
      <c r="C311" t="s">
        <v>7</v>
      </c>
      <c r="D311" t="s">
        <v>18</v>
      </c>
      <c r="E311" s="141">
        <v>5.5</v>
      </c>
      <c r="F311" s="141">
        <v>32.200000000000003</v>
      </c>
      <c r="G311" s="142"/>
      <c r="H311" s="142">
        <v>177.1</v>
      </c>
      <c r="I311" s="192">
        <v>51</v>
      </c>
    </row>
    <row r="312" spans="1:9" x14ac:dyDescent="0.65">
      <c r="A312" s="188">
        <v>40787</v>
      </c>
      <c r="B312" s="35" t="s">
        <v>7</v>
      </c>
      <c r="C312" t="s">
        <v>7</v>
      </c>
      <c r="D312" t="s">
        <v>18</v>
      </c>
      <c r="E312" s="141">
        <v>10.5</v>
      </c>
      <c r="F312" s="141">
        <v>39.39</v>
      </c>
      <c r="G312" s="142"/>
      <c r="H312" s="142">
        <v>413.59500000000003</v>
      </c>
      <c r="I312" s="192">
        <v>51</v>
      </c>
    </row>
    <row r="313" spans="1:9" x14ac:dyDescent="0.65">
      <c r="A313" s="188">
        <v>40787</v>
      </c>
      <c r="B313" s="35" t="s">
        <v>1336</v>
      </c>
      <c r="C313" t="s">
        <v>7</v>
      </c>
      <c r="D313" t="s">
        <v>18</v>
      </c>
      <c r="E313" s="141">
        <v>5.5</v>
      </c>
      <c r="F313" s="141">
        <v>95</v>
      </c>
      <c r="G313" s="142"/>
      <c r="H313" s="142">
        <v>522.5</v>
      </c>
      <c r="I313" s="192">
        <v>51</v>
      </c>
    </row>
    <row r="314" spans="1:9" x14ac:dyDescent="0.65">
      <c r="A314" s="188">
        <v>40787</v>
      </c>
      <c r="B314" s="35" t="s">
        <v>1334</v>
      </c>
      <c r="C314" t="s">
        <v>1335</v>
      </c>
      <c r="D314" t="s">
        <v>18</v>
      </c>
      <c r="E314" s="141">
        <v>9.5</v>
      </c>
      <c r="F314" s="141">
        <v>135</v>
      </c>
      <c r="G314" s="142"/>
      <c r="H314" s="142">
        <v>1282.5</v>
      </c>
      <c r="I314" s="192">
        <v>51</v>
      </c>
    </row>
    <row r="315" spans="1:9" x14ac:dyDescent="0.65">
      <c r="A315" s="188">
        <v>40788</v>
      </c>
      <c r="B315" s="35" t="s">
        <v>1347</v>
      </c>
      <c r="C315" t="s">
        <v>1348</v>
      </c>
      <c r="D315" t="s">
        <v>18</v>
      </c>
      <c r="E315" s="141">
        <v>3</v>
      </c>
      <c r="F315" s="141">
        <v>90</v>
      </c>
      <c r="G315" s="142"/>
      <c r="H315" s="142">
        <v>270</v>
      </c>
      <c r="I315" s="192">
        <v>51</v>
      </c>
    </row>
    <row r="316" spans="1:9" x14ac:dyDescent="0.65">
      <c r="A316" s="188">
        <v>40788</v>
      </c>
      <c r="B316" s="35" t="s">
        <v>7</v>
      </c>
      <c r="C316" t="s">
        <v>7</v>
      </c>
      <c r="D316" t="s">
        <v>18</v>
      </c>
      <c r="E316" s="141">
        <v>6.5</v>
      </c>
      <c r="F316" s="141">
        <v>39.39</v>
      </c>
      <c r="G316" s="142"/>
      <c r="H316" s="142">
        <v>256.03500000000003</v>
      </c>
      <c r="I316" s="192">
        <v>51</v>
      </c>
    </row>
    <row r="317" spans="1:9" x14ac:dyDescent="0.65">
      <c r="A317" s="188">
        <v>40788</v>
      </c>
      <c r="B317" s="35" t="s">
        <v>1358</v>
      </c>
      <c r="C317" t="s">
        <v>1359</v>
      </c>
      <c r="D317" t="s">
        <v>98</v>
      </c>
      <c r="E317" s="141">
        <v>1</v>
      </c>
      <c r="F317" s="141">
        <v>365</v>
      </c>
      <c r="G317" s="142"/>
      <c r="H317" s="142">
        <v>365</v>
      </c>
      <c r="I317" s="192">
        <v>51</v>
      </c>
    </row>
    <row r="318" spans="1:9" x14ac:dyDescent="0.65">
      <c r="A318" s="188">
        <v>40788</v>
      </c>
      <c r="B318" s="35" t="s">
        <v>1344</v>
      </c>
      <c r="C318" t="s">
        <v>1345</v>
      </c>
      <c r="D318" t="s">
        <v>18</v>
      </c>
      <c r="E318" s="141">
        <v>1</v>
      </c>
      <c r="F318" s="141">
        <v>80</v>
      </c>
      <c r="G318" s="142"/>
      <c r="H318" s="142">
        <v>80</v>
      </c>
      <c r="I318" s="192">
        <v>51</v>
      </c>
    </row>
    <row r="319" spans="1:9" x14ac:dyDescent="0.65">
      <c r="A319" s="188">
        <v>40788</v>
      </c>
      <c r="B319" s="35" t="s">
        <v>1334</v>
      </c>
      <c r="C319" t="s">
        <v>1335</v>
      </c>
      <c r="D319" t="s">
        <v>18</v>
      </c>
      <c r="E319" s="141">
        <v>4.5</v>
      </c>
      <c r="F319" s="141">
        <v>135</v>
      </c>
      <c r="G319" s="142"/>
      <c r="H319" s="142">
        <v>607.5</v>
      </c>
      <c r="I319" s="192">
        <v>51</v>
      </c>
    </row>
    <row r="320" spans="1:9" x14ac:dyDescent="0.65">
      <c r="A320" s="188">
        <v>40788</v>
      </c>
      <c r="B320" s="35" t="s">
        <v>1336</v>
      </c>
      <c r="C320" t="s">
        <v>7</v>
      </c>
      <c r="D320" t="s">
        <v>18</v>
      </c>
      <c r="E320" s="141">
        <v>7</v>
      </c>
      <c r="F320" s="141">
        <v>95</v>
      </c>
      <c r="G320" s="142"/>
      <c r="H320" s="142">
        <v>665</v>
      </c>
      <c r="I320" s="192">
        <v>51</v>
      </c>
    </row>
    <row r="321" spans="1:9" x14ac:dyDescent="0.65">
      <c r="A321" s="188">
        <v>40788</v>
      </c>
      <c r="B321" s="35" t="s">
        <v>7</v>
      </c>
      <c r="C321" t="s">
        <v>7</v>
      </c>
      <c r="D321" t="s">
        <v>18</v>
      </c>
      <c r="E321" s="141">
        <v>6</v>
      </c>
      <c r="F321" s="141">
        <v>39.39</v>
      </c>
      <c r="G321" s="142"/>
      <c r="H321" s="142">
        <v>236.34</v>
      </c>
      <c r="I321" s="192">
        <v>51</v>
      </c>
    </row>
    <row r="322" spans="1:9" x14ac:dyDescent="0.65">
      <c r="A322" s="188">
        <v>40788</v>
      </c>
      <c r="B322" s="35" t="s">
        <v>7</v>
      </c>
      <c r="C322" t="s">
        <v>7</v>
      </c>
      <c r="D322" t="s">
        <v>18</v>
      </c>
      <c r="E322" s="141">
        <v>3.5</v>
      </c>
      <c r="F322" s="141">
        <v>32.200000000000003</v>
      </c>
      <c r="G322" s="142"/>
      <c r="H322" s="142">
        <v>112.7</v>
      </c>
      <c r="I322" s="192">
        <v>51</v>
      </c>
    </row>
    <row r="323" spans="1:9" x14ac:dyDescent="0.65">
      <c r="A323" s="188">
        <v>40788</v>
      </c>
      <c r="B323" s="35" t="s">
        <v>1336</v>
      </c>
      <c r="C323" t="s">
        <v>1342</v>
      </c>
      <c r="D323" t="s">
        <v>18</v>
      </c>
      <c r="E323" s="141">
        <v>3</v>
      </c>
      <c r="F323" s="141">
        <v>90</v>
      </c>
      <c r="G323" s="142"/>
      <c r="H323" s="142">
        <v>270</v>
      </c>
      <c r="I323" s="192">
        <v>51</v>
      </c>
    </row>
    <row r="324" spans="1:9" x14ac:dyDescent="0.65">
      <c r="A324" s="188">
        <v>40795</v>
      </c>
      <c r="B324" s="35" t="s">
        <v>1362</v>
      </c>
      <c r="C324" t="s">
        <v>1355</v>
      </c>
      <c r="D324" t="s">
        <v>451</v>
      </c>
      <c r="E324" s="141">
        <v>1</v>
      </c>
      <c r="F324" s="141">
        <v>2197.2539999999999</v>
      </c>
      <c r="G324" s="142"/>
      <c r="H324" s="142">
        <v>2197.2539999999999</v>
      </c>
      <c r="I324" s="192">
        <v>51</v>
      </c>
    </row>
    <row r="325" spans="1:9" x14ac:dyDescent="0.65">
      <c r="A325" s="188">
        <v>40800</v>
      </c>
      <c r="B325" s="35" t="s">
        <v>1347</v>
      </c>
      <c r="C325" t="s">
        <v>1348</v>
      </c>
      <c r="D325" t="s">
        <v>18</v>
      </c>
      <c r="E325" s="141">
        <v>13.5</v>
      </c>
      <c r="F325" s="141">
        <v>90</v>
      </c>
      <c r="G325" s="142"/>
      <c r="H325" s="142">
        <v>1215</v>
      </c>
      <c r="I325" s="192">
        <v>51</v>
      </c>
    </row>
    <row r="326" spans="1:9" x14ac:dyDescent="0.65">
      <c r="A326" s="188">
        <v>40802</v>
      </c>
      <c r="B326" s="35" t="s">
        <v>1358</v>
      </c>
      <c r="C326" t="s">
        <v>1359</v>
      </c>
      <c r="D326" t="s">
        <v>98</v>
      </c>
      <c r="E326" s="141">
        <v>1</v>
      </c>
      <c r="F326" s="141">
        <v>365</v>
      </c>
      <c r="G326" s="142"/>
      <c r="H326" s="142">
        <v>365</v>
      </c>
      <c r="I326" s="192">
        <v>51</v>
      </c>
    </row>
    <row r="327" spans="1:9" x14ac:dyDescent="0.65">
      <c r="A327" s="188">
        <v>40802</v>
      </c>
      <c r="B327" s="35" t="s">
        <v>7</v>
      </c>
      <c r="C327" t="s">
        <v>7</v>
      </c>
      <c r="D327" t="s">
        <v>18</v>
      </c>
      <c r="E327" s="141">
        <v>3</v>
      </c>
      <c r="F327" s="141">
        <v>35.35</v>
      </c>
      <c r="G327" s="142"/>
      <c r="H327" s="142">
        <v>106.05</v>
      </c>
      <c r="I327" s="192">
        <v>51</v>
      </c>
    </row>
    <row r="328" spans="1:9" x14ac:dyDescent="0.65">
      <c r="A328" s="188">
        <v>40802</v>
      </c>
      <c r="B328" s="35" t="s">
        <v>1344</v>
      </c>
      <c r="C328" t="s">
        <v>1345</v>
      </c>
      <c r="D328" t="s">
        <v>18</v>
      </c>
      <c r="E328" s="141">
        <v>3</v>
      </c>
      <c r="F328" s="141">
        <v>80</v>
      </c>
      <c r="G328" s="142"/>
      <c r="H328" s="142">
        <v>240</v>
      </c>
      <c r="I328" s="192">
        <v>51</v>
      </c>
    </row>
    <row r="329" spans="1:9" x14ac:dyDescent="0.65">
      <c r="A329" s="188">
        <v>40807</v>
      </c>
      <c r="B329" s="35" t="s">
        <v>1347</v>
      </c>
      <c r="C329" t="s">
        <v>1348</v>
      </c>
      <c r="D329" t="s">
        <v>18</v>
      </c>
      <c r="E329" s="141">
        <v>9</v>
      </c>
      <c r="F329" s="141">
        <v>90</v>
      </c>
      <c r="G329" s="142"/>
      <c r="H329" s="142">
        <v>810</v>
      </c>
      <c r="I329" s="192">
        <v>51</v>
      </c>
    </row>
    <row r="330" spans="1:9" x14ac:dyDescent="0.65">
      <c r="A330" s="188">
        <v>40807</v>
      </c>
      <c r="B330" s="35" t="s">
        <v>7</v>
      </c>
      <c r="C330" t="s">
        <v>7</v>
      </c>
      <c r="D330" t="s">
        <v>18</v>
      </c>
      <c r="E330" s="141">
        <v>9.5</v>
      </c>
      <c r="F330" s="141">
        <v>35.35</v>
      </c>
      <c r="G330" s="142"/>
      <c r="H330" s="142">
        <v>335.82499999999999</v>
      </c>
      <c r="I330" s="192">
        <v>51</v>
      </c>
    </row>
    <row r="331" spans="1:9" x14ac:dyDescent="0.65">
      <c r="A331" s="188">
        <v>40807</v>
      </c>
      <c r="B331" s="35" t="s">
        <v>7</v>
      </c>
      <c r="C331" t="s">
        <v>7</v>
      </c>
      <c r="D331" t="s">
        <v>18</v>
      </c>
      <c r="E331" s="141">
        <v>9.5</v>
      </c>
      <c r="F331" s="141">
        <v>35.35</v>
      </c>
      <c r="G331" s="142"/>
      <c r="H331" s="142">
        <v>335.82499999999999</v>
      </c>
      <c r="I331" s="192">
        <v>51</v>
      </c>
    </row>
    <row r="332" spans="1:9" x14ac:dyDescent="0.65">
      <c r="A332" s="189" t="s">
        <v>448</v>
      </c>
      <c r="B332" s="183" t="s">
        <v>1363</v>
      </c>
      <c r="C332" s="184" t="s">
        <v>448</v>
      </c>
      <c r="D332" s="184" t="s">
        <v>448</v>
      </c>
      <c r="E332" s="185"/>
      <c r="F332" s="185"/>
      <c r="G332" s="186"/>
      <c r="H332" s="186">
        <v>49136.349000000002</v>
      </c>
      <c r="I332" s="193" t="s">
        <v>1767</v>
      </c>
    </row>
    <row r="333" spans="1:9" x14ac:dyDescent="0.65">
      <c r="A333" s="188" t="s">
        <v>448</v>
      </c>
      <c r="B333" s="35" t="s">
        <v>448</v>
      </c>
      <c r="C333" t="s">
        <v>448</v>
      </c>
      <c r="D333" t="s">
        <v>448</v>
      </c>
      <c r="E333" s="141"/>
      <c r="F333" s="141"/>
      <c r="G333" s="142"/>
      <c r="H333" s="142"/>
      <c r="I333" s="191" t="s">
        <v>1767</v>
      </c>
    </row>
    <row r="334" spans="1:9" x14ac:dyDescent="0.65">
      <c r="A334" s="187" t="s">
        <v>448</v>
      </c>
      <c r="B334" s="29" t="s">
        <v>1817</v>
      </c>
      <c r="C334" s="27" t="s">
        <v>448</v>
      </c>
      <c r="D334" s="27" t="s">
        <v>448</v>
      </c>
      <c r="E334" s="181"/>
      <c r="F334" s="181"/>
      <c r="G334" s="182"/>
      <c r="H334" s="182"/>
      <c r="I334" s="140" t="s">
        <v>1767</v>
      </c>
    </row>
    <row r="335" spans="1:9" x14ac:dyDescent="0.65">
      <c r="A335" s="188">
        <v>40680</v>
      </c>
      <c r="B335" s="35" t="s">
        <v>1364</v>
      </c>
      <c r="C335" t="s">
        <v>1330</v>
      </c>
      <c r="D335" t="s">
        <v>18</v>
      </c>
      <c r="E335" s="141">
        <v>1.5</v>
      </c>
      <c r="F335" s="141">
        <v>130</v>
      </c>
      <c r="G335" s="142"/>
      <c r="H335" s="142">
        <v>195</v>
      </c>
      <c r="I335" s="192">
        <v>52</v>
      </c>
    </row>
    <row r="336" spans="1:9" x14ac:dyDescent="0.65">
      <c r="A336" s="188">
        <v>40680</v>
      </c>
      <c r="B336" s="35" t="s">
        <v>1365</v>
      </c>
      <c r="C336" t="s">
        <v>1330</v>
      </c>
      <c r="D336" t="s">
        <v>451</v>
      </c>
      <c r="E336" s="141">
        <v>1.5</v>
      </c>
      <c r="F336" s="141">
        <v>130</v>
      </c>
      <c r="G336" s="142"/>
      <c r="H336" s="142">
        <v>195</v>
      </c>
      <c r="I336" s="192">
        <v>52</v>
      </c>
    </row>
    <row r="337" spans="1:9" x14ac:dyDescent="0.65">
      <c r="A337" s="188">
        <v>40694</v>
      </c>
      <c r="B337" s="35" t="s">
        <v>1366</v>
      </c>
      <c r="C337" t="s">
        <v>1367</v>
      </c>
      <c r="D337" t="s">
        <v>451</v>
      </c>
      <c r="E337" s="141">
        <v>1</v>
      </c>
      <c r="F337" s="141">
        <v>80</v>
      </c>
      <c r="G337" s="142"/>
      <c r="H337" s="142">
        <v>80</v>
      </c>
      <c r="I337" s="192">
        <v>52</v>
      </c>
    </row>
    <row r="338" spans="1:9" x14ac:dyDescent="0.65">
      <c r="A338" s="188">
        <v>40694</v>
      </c>
      <c r="B338" s="35" t="s">
        <v>1368</v>
      </c>
      <c r="C338" t="s">
        <v>1367</v>
      </c>
      <c r="D338" t="s">
        <v>451</v>
      </c>
      <c r="E338" s="141">
        <v>6</v>
      </c>
      <c r="F338" s="141">
        <v>169</v>
      </c>
      <c r="G338" s="142"/>
      <c r="H338" s="142">
        <v>1014</v>
      </c>
      <c r="I338" s="192">
        <v>52</v>
      </c>
    </row>
    <row r="339" spans="1:9" x14ac:dyDescent="0.65">
      <c r="A339" s="188">
        <v>40695</v>
      </c>
      <c r="B339" s="35" t="s">
        <v>1354</v>
      </c>
      <c r="C339" t="s">
        <v>1355</v>
      </c>
      <c r="D339" t="s">
        <v>98</v>
      </c>
      <c r="E339" s="141">
        <v>1</v>
      </c>
      <c r="F339" s="141">
        <v>365</v>
      </c>
      <c r="G339" s="142"/>
      <c r="H339" s="142">
        <v>365</v>
      </c>
      <c r="I339" s="192">
        <v>52</v>
      </c>
    </row>
    <row r="340" spans="1:9" x14ac:dyDescent="0.65">
      <c r="A340" s="188">
        <v>40695</v>
      </c>
      <c r="B340" s="35" t="s">
        <v>1369</v>
      </c>
      <c r="C340" t="s">
        <v>1367</v>
      </c>
      <c r="D340" t="s">
        <v>20</v>
      </c>
      <c r="E340" s="141">
        <v>1</v>
      </c>
      <c r="F340" s="141">
        <v>169</v>
      </c>
      <c r="G340" s="142"/>
      <c r="H340" s="142">
        <v>169</v>
      </c>
      <c r="I340" s="192">
        <v>52</v>
      </c>
    </row>
    <row r="341" spans="1:9" x14ac:dyDescent="0.65">
      <c r="A341" s="188">
        <v>40695</v>
      </c>
      <c r="B341" s="35" t="s">
        <v>7</v>
      </c>
      <c r="C341" t="s">
        <v>7</v>
      </c>
      <c r="D341" t="s">
        <v>18</v>
      </c>
      <c r="E341" s="141">
        <v>9.5</v>
      </c>
      <c r="F341" s="141">
        <v>39.39</v>
      </c>
      <c r="G341" s="142"/>
      <c r="H341" s="142">
        <v>374.20499999999998</v>
      </c>
      <c r="I341" s="192">
        <v>52</v>
      </c>
    </row>
    <row r="342" spans="1:9" x14ac:dyDescent="0.65">
      <c r="A342" s="188">
        <v>40695</v>
      </c>
      <c r="B342" s="35" t="s">
        <v>1334</v>
      </c>
      <c r="C342" t="s">
        <v>1335</v>
      </c>
      <c r="D342" t="s">
        <v>18</v>
      </c>
      <c r="E342" s="141">
        <v>9.5</v>
      </c>
      <c r="F342" s="141">
        <v>135</v>
      </c>
      <c r="G342" s="142"/>
      <c r="H342" s="142">
        <v>1282.5</v>
      </c>
      <c r="I342" s="192">
        <v>52</v>
      </c>
    </row>
    <row r="343" spans="1:9" x14ac:dyDescent="0.65">
      <c r="A343" s="188">
        <v>40695</v>
      </c>
      <c r="B343" s="35" t="s">
        <v>1344</v>
      </c>
      <c r="C343" t="s">
        <v>1345</v>
      </c>
      <c r="D343" t="s">
        <v>18</v>
      </c>
      <c r="E343" s="141">
        <v>6</v>
      </c>
      <c r="F343" s="141">
        <v>80</v>
      </c>
      <c r="G343" s="142"/>
      <c r="H343" s="142">
        <v>480</v>
      </c>
      <c r="I343" s="192">
        <v>52</v>
      </c>
    </row>
    <row r="344" spans="1:9" x14ac:dyDescent="0.65">
      <c r="A344" s="188">
        <v>40695</v>
      </c>
      <c r="B344" s="35" t="s">
        <v>7</v>
      </c>
      <c r="C344" t="s">
        <v>7</v>
      </c>
      <c r="D344" t="s">
        <v>18</v>
      </c>
      <c r="E344" s="141">
        <v>9.5</v>
      </c>
      <c r="F344" s="141">
        <v>39.39</v>
      </c>
      <c r="G344" s="142"/>
      <c r="H344" s="142">
        <v>374.20499999999998</v>
      </c>
      <c r="I344" s="192">
        <v>52</v>
      </c>
    </row>
    <row r="345" spans="1:9" x14ac:dyDescent="0.65">
      <c r="A345" s="188">
        <v>40695</v>
      </c>
      <c r="B345" s="35" t="s">
        <v>1336</v>
      </c>
      <c r="C345" t="s">
        <v>1341</v>
      </c>
      <c r="D345" t="s">
        <v>18</v>
      </c>
      <c r="E345" s="141">
        <v>8</v>
      </c>
      <c r="F345" s="141">
        <v>95</v>
      </c>
      <c r="G345" s="142"/>
      <c r="H345" s="142">
        <v>760</v>
      </c>
      <c r="I345" s="192">
        <v>52</v>
      </c>
    </row>
    <row r="346" spans="1:9" x14ac:dyDescent="0.65">
      <c r="A346" s="188">
        <v>40695</v>
      </c>
      <c r="B346" s="35" t="s">
        <v>1336</v>
      </c>
      <c r="C346" t="s">
        <v>1337</v>
      </c>
      <c r="D346" t="s">
        <v>18</v>
      </c>
      <c r="E346" s="141">
        <v>10</v>
      </c>
      <c r="F346" s="141">
        <v>95</v>
      </c>
      <c r="G346" s="142"/>
      <c r="H346" s="142">
        <v>950</v>
      </c>
      <c r="I346" s="192">
        <v>52</v>
      </c>
    </row>
    <row r="347" spans="1:9" x14ac:dyDescent="0.65">
      <c r="A347" s="188">
        <v>40696</v>
      </c>
      <c r="B347" s="35" t="s">
        <v>1354</v>
      </c>
      <c r="C347" t="s">
        <v>1355</v>
      </c>
      <c r="D347" t="s">
        <v>98</v>
      </c>
      <c r="E347" s="141">
        <v>1</v>
      </c>
      <c r="F347" s="141">
        <v>365</v>
      </c>
      <c r="G347" s="142"/>
      <c r="H347" s="142">
        <v>365</v>
      </c>
      <c r="I347" s="192">
        <v>52</v>
      </c>
    </row>
    <row r="348" spans="1:9" x14ac:dyDescent="0.65">
      <c r="A348" s="188">
        <v>40696</v>
      </c>
      <c r="B348" s="35" t="s">
        <v>1369</v>
      </c>
      <c r="C348" t="s">
        <v>1367</v>
      </c>
      <c r="D348" t="s">
        <v>20</v>
      </c>
      <c r="E348" s="141">
        <v>1</v>
      </c>
      <c r="F348" s="141">
        <v>169</v>
      </c>
      <c r="G348" s="142"/>
      <c r="H348" s="142">
        <v>169</v>
      </c>
      <c r="I348" s="192">
        <v>52</v>
      </c>
    </row>
    <row r="349" spans="1:9" x14ac:dyDescent="0.65">
      <c r="A349" s="188">
        <v>40696</v>
      </c>
      <c r="B349" s="35" t="s">
        <v>1344</v>
      </c>
      <c r="C349" t="s">
        <v>1345</v>
      </c>
      <c r="D349" t="s">
        <v>18</v>
      </c>
      <c r="E349" s="141">
        <v>3</v>
      </c>
      <c r="F349" s="141">
        <v>80</v>
      </c>
      <c r="G349" s="142"/>
      <c r="H349" s="142">
        <v>240</v>
      </c>
      <c r="I349" s="192">
        <v>52</v>
      </c>
    </row>
    <row r="350" spans="1:9" x14ac:dyDescent="0.65">
      <c r="A350" s="188">
        <v>40696</v>
      </c>
      <c r="B350" s="35" t="s">
        <v>7</v>
      </c>
      <c r="C350" t="s">
        <v>7</v>
      </c>
      <c r="D350" t="s">
        <v>18</v>
      </c>
      <c r="E350" s="141">
        <v>4</v>
      </c>
      <c r="F350" s="141">
        <v>39.39</v>
      </c>
      <c r="G350" s="142"/>
      <c r="H350" s="142">
        <v>157.56</v>
      </c>
      <c r="I350" s="192">
        <v>52</v>
      </c>
    </row>
    <row r="351" spans="1:9" x14ac:dyDescent="0.65">
      <c r="A351" s="188">
        <v>40696</v>
      </c>
      <c r="B351" s="35" t="s">
        <v>1334</v>
      </c>
      <c r="C351" t="s">
        <v>1335</v>
      </c>
      <c r="D351" t="s">
        <v>18</v>
      </c>
      <c r="E351" s="141">
        <v>9</v>
      </c>
      <c r="F351" s="141">
        <v>135</v>
      </c>
      <c r="G351" s="142"/>
      <c r="H351" s="142">
        <v>1215</v>
      </c>
      <c r="I351" s="192">
        <v>52</v>
      </c>
    </row>
    <row r="352" spans="1:9" x14ac:dyDescent="0.65">
      <c r="A352" s="188">
        <v>40697</v>
      </c>
      <c r="B352" s="35" t="s">
        <v>1344</v>
      </c>
      <c r="C352" t="s">
        <v>1345</v>
      </c>
      <c r="D352" t="s">
        <v>18</v>
      </c>
      <c r="E352" s="141">
        <v>2</v>
      </c>
      <c r="F352" s="141">
        <v>80</v>
      </c>
      <c r="G352" s="142"/>
      <c r="H352" s="142">
        <v>160</v>
      </c>
      <c r="I352" s="192">
        <v>52</v>
      </c>
    </row>
    <row r="353" spans="1:9" x14ac:dyDescent="0.65">
      <c r="A353" s="188">
        <v>40697</v>
      </c>
      <c r="B353" s="35" t="s">
        <v>1334</v>
      </c>
      <c r="C353" t="s">
        <v>1335</v>
      </c>
      <c r="D353" t="s">
        <v>18</v>
      </c>
      <c r="E353" s="141">
        <v>9</v>
      </c>
      <c r="F353" s="141">
        <v>135</v>
      </c>
      <c r="G353" s="142"/>
      <c r="H353" s="142">
        <v>1215</v>
      </c>
      <c r="I353" s="192">
        <v>52</v>
      </c>
    </row>
    <row r="354" spans="1:9" x14ac:dyDescent="0.65">
      <c r="A354" s="188">
        <v>40697</v>
      </c>
      <c r="B354" s="35" t="s">
        <v>7</v>
      </c>
      <c r="C354" t="s">
        <v>7</v>
      </c>
      <c r="D354" t="s">
        <v>18</v>
      </c>
      <c r="E354" s="141">
        <v>3</v>
      </c>
      <c r="F354" s="141">
        <v>39.39</v>
      </c>
      <c r="G354" s="142"/>
      <c r="H354" s="142">
        <v>118.17</v>
      </c>
      <c r="I354" s="192">
        <v>52</v>
      </c>
    </row>
    <row r="355" spans="1:9" x14ac:dyDescent="0.65">
      <c r="A355" s="188">
        <v>40697</v>
      </c>
      <c r="B355" s="35" t="s">
        <v>1354</v>
      </c>
      <c r="C355" t="s">
        <v>1355</v>
      </c>
      <c r="D355" t="s">
        <v>98</v>
      </c>
      <c r="E355" s="141">
        <v>1</v>
      </c>
      <c r="F355" s="141">
        <v>365</v>
      </c>
      <c r="G355" s="142"/>
      <c r="H355" s="142">
        <v>365</v>
      </c>
      <c r="I355" s="192">
        <v>52</v>
      </c>
    </row>
    <row r="356" spans="1:9" x14ac:dyDescent="0.65">
      <c r="A356" s="188">
        <v>40697</v>
      </c>
      <c r="B356" s="35" t="s">
        <v>1369</v>
      </c>
      <c r="C356" t="s">
        <v>1367</v>
      </c>
      <c r="D356" t="s">
        <v>20</v>
      </c>
      <c r="E356" s="141">
        <v>1</v>
      </c>
      <c r="F356" s="141">
        <v>169</v>
      </c>
      <c r="G356" s="142"/>
      <c r="H356" s="142">
        <v>169</v>
      </c>
      <c r="I356" s="192">
        <v>52</v>
      </c>
    </row>
    <row r="357" spans="1:9" x14ac:dyDescent="0.65">
      <c r="A357" s="188">
        <v>40698</v>
      </c>
      <c r="B357" s="35" t="s">
        <v>1334</v>
      </c>
      <c r="C357" t="s">
        <v>1335</v>
      </c>
      <c r="D357" t="s">
        <v>18</v>
      </c>
      <c r="E357" s="141">
        <v>6.5</v>
      </c>
      <c r="F357" s="141">
        <v>135</v>
      </c>
      <c r="G357" s="142"/>
      <c r="H357" s="142">
        <v>877.5</v>
      </c>
      <c r="I357" s="192">
        <v>52</v>
      </c>
    </row>
    <row r="358" spans="1:9" x14ac:dyDescent="0.65">
      <c r="A358" s="188">
        <v>40698</v>
      </c>
      <c r="B358" s="35" t="s">
        <v>1370</v>
      </c>
      <c r="C358" t="s">
        <v>7</v>
      </c>
      <c r="D358" t="s">
        <v>18</v>
      </c>
      <c r="E358" s="141">
        <v>6.5</v>
      </c>
      <c r="F358" s="141">
        <v>39.18</v>
      </c>
      <c r="G358" s="142"/>
      <c r="H358" s="142">
        <v>254.67</v>
      </c>
      <c r="I358" s="192">
        <v>52</v>
      </c>
    </row>
    <row r="359" spans="1:9" x14ac:dyDescent="0.65">
      <c r="A359" s="188">
        <v>40698</v>
      </c>
      <c r="B359" s="35" t="s">
        <v>7</v>
      </c>
      <c r="C359" t="s">
        <v>7</v>
      </c>
      <c r="D359" t="s">
        <v>18</v>
      </c>
      <c r="E359" s="141">
        <v>7</v>
      </c>
      <c r="F359" s="141">
        <v>39.39</v>
      </c>
      <c r="G359" s="142"/>
      <c r="H359" s="142">
        <v>275.73</v>
      </c>
      <c r="I359" s="192">
        <v>52</v>
      </c>
    </row>
    <row r="360" spans="1:9" x14ac:dyDescent="0.65">
      <c r="A360" s="188">
        <v>40698</v>
      </c>
      <c r="B360" s="35" t="s">
        <v>1344</v>
      </c>
      <c r="C360" t="s">
        <v>1345</v>
      </c>
      <c r="D360" t="s">
        <v>18</v>
      </c>
      <c r="E360" s="141">
        <v>6</v>
      </c>
      <c r="F360" s="141">
        <v>80</v>
      </c>
      <c r="G360" s="142"/>
      <c r="H360" s="142">
        <v>480</v>
      </c>
      <c r="I360" s="192">
        <v>52</v>
      </c>
    </row>
    <row r="361" spans="1:9" x14ac:dyDescent="0.65">
      <c r="A361" s="188">
        <v>40698</v>
      </c>
      <c r="B361" s="35" t="s">
        <v>7</v>
      </c>
      <c r="C361" t="s">
        <v>7</v>
      </c>
      <c r="D361" t="s">
        <v>18</v>
      </c>
      <c r="E361" s="141">
        <v>7</v>
      </c>
      <c r="F361" s="141">
        <v>39.39</v>
      </c>
      <c r="G361" s="142"/>
      <c r="H361" s="142">
        <v>275.73</v>
      </c>
      <c r="I361" s="192">
        <v>52</v>
      </c>
    </row>
    <row r="362" spans="1:9" x14ac:dyDescent="0.65">
      <c r="A362" s="188">
        <v>40698</v>
      </c>
      <c r="B362" s="35" t="s">
        <v>1336</v>
      </c>
      <c r="C362" t="s">
        <v>1371</v>
      </c>
      <c r="D362" t="s">
        <v>18</v>
      </c>
      <c r="E362" s="141">
        <v>6.5</v>
      </c>
      <c r="F362" s="141">
        <v>65</v>
      </c>
      <c r="G362" s="142"/>
      <c r="H362" s="142">
        <v>422.5</v>
      </c>
      <c r="I362" s="192">
        <v>52</v>
      </c>
    </row>
    <row r="363" spans="1:9" x14ac:dyDescent="0.65">
      <c r="A363" s="188">
        <v>40698</v>
      </c>
      <c r="B363" s="35" t="s">
        <v>1336</v>
      </c>
      <c r="C363" t="s">
        <v>1372</v>
      </c>
      <c r="D363" t="s">
        <v>18</v>
      </c>
      <c r="E363" s="141">
        <v>6</v>
      </c>
      <c r="F363" s="141">
        <v>95</v>
      </c>
      <c r="G363" s="142"/>
      <c r="H363" s="142">
        <v>570</v>
      </c>
      <c r="I363" s="192">
        <v>52</v>
      </c>
    </row>
    <row r="364" spans="1:9" x14ac:dyDescent="0.65">
      <c r="A364" s="188">
        <v>40698</v>
      </c>
      <c r="B364" s="35" t="s">
        <v>1354</v>
      </c>
      <c r="C364" t="s">
        <v>1355</v>
      </c>
      <c r="D364" t="s">
        <v>98</v>
      </c>
      <c r="E364" s="141">
        <v>1</v>
      </c>
      <c r="F364" s="141">
        <v>365</v>
      </c>
      <c r="G364" s="142"/>
      <c r="H364" s="142">
        <v>365</v>
      </c>
      <c r="I364" s="192">
        <v>52</v>
      </c>
    </row>
    <row r="365" spans="1:9" x14ac:dyDescent="0.65">
      <c r="A365" s="188">
        <v>40698</v>
      </c>
      <c r="B365" s="35" t="s">
        <v>1369</v>
      </c>
      <c r="C365" t="s">
        <v>1367</v>
      </c>
      <c r="D365" t="s">
        <v>20</v>
      </c>
      <c r="E365" s="141">
        <v>1</v>
      </c>
      <c r="F365" s="141">
        <v>169</v>
      </c>
      <c r="G365" s="142"/>
      <c r="H365" s="142">
        <v>169</v>
      </c>
      <c r="I365" s="192">
        <v>52</v>
      </c>
    </row>
    <row r="366" spans="1:9" x14ac:dyDescent="0.65">
      <c r="A366" s="188">
        <v>40698</v>
      </c>
      <c r="B366" s="35" t="s">
        <v>1336</v>
      </c>
      <c r="C366" t="s">
        <v>1337</v>
      </c>
      <c r="D366" t="s">
        <v>18</v>
      </c>
      <c r="E366" s="141">
        <v>7.5</v>
      </c>
      <c r="F366" s="141">
        <v>95</v>
      </c>
      <c r="G366" s="142"/>
      <c r="H366" s="142">
        <v>712.5</v>
      </c>
      <c r="I366" s="192">
        <v>52</v>
      </c>
    </row>
    <row r="367" spans="1:9" x14ac:dyDescent="0.65">
      <c r="A367" s="188">
        <v>40698</v>
      </c>
      <c r="B367" s="35" t="s">
        <v>1336</v>
      </c>
      <c r="C367" t="s">
        <v>1341</v>
      </c>
      <c r="D367" t="s">
        <v>18</v>
      </c>
      <c r="E367" s="141">
        <v>7</v>
      </c>
      <c r="F367" s="141">
        <v>95</v>
      </c>
      <c r="G367" s="142"/>
      <c r="H367" s="142">
        <v>665</v>
      </c>
      <c r="I367" s="192">
        <v>52</v>
      </c>
    </row>
    <row r="368" spans="1:9" x14ac:dyDescent="0.65">
      <c r="A368" s="188">
        <v>40698</v>
      </c>
      <c r="B368" s="35" t="s">
        <v>1336</v>
      </c>
      <c r="C368" t="s">
        <v>1341</v>
      </c>
      <c r="D368" t="s">
        <v>18</v>
      </c>
      <c r="E368" s="141">
        <v>7</v>
      </c>
      <c r="F368" s="141">
        <v>95</v>
      </c>
      <c r="G368" s="142"/>
      <c r="H368" s="142">
        <v>665</v>
      </c>
      <c r="I368" s="192">
        <v>52</v>
      </c>
    </row>
    <row r="369" spans="1:9" x14ac:dyDescent="0.65">
      <c r="A369" s="188">
        <v>40700</v>
      </c>
      <c r="B369" s="35" t="s">
        <v>1369</v>
      </c>
      <c r="C369" t="s">
        <v>1367</v>
      </c>
      <c r="D369" t="s">
        <v>20</v>
      </c>
      <c r="E369" s="141">
        <v>1</v>
      </c>
      <c r="F369" s="141">
        <v>169</v>
      </c>
      <c r="G369" s="142"/>
      <c r="H369" s="142">
        <v>169</v>
      </c>
      <c r="I369" s="192">
        <v>52</v>
      </c>
    </row>
    <row r="370" spans="1:9" x14ac:dyDescent="0.65">
      <c r="A370" s="188">
        <v>40700</v>
      </c>
      <c r="B370" s="35" t="s">
        <v>1334</v>
      </c>
      <c r="C370" t="s">
        <v>1335</v>
      </c>
      <c r="D370" t="s">
        <v>18</v>
      </c>
      <c r="E370" s="141">
        <v>9.5</v>
      </c>
      <c r="F370" s="141">
        <v>135</v>
      </c>
      <c r="G370" s="142"/>
      <c r="H370" s="142">
        <v>1282.5</v>
      </c>
      <c r="I370" s="192">
        <v>52</v>
      </c>
    </row>
    <row r="371" spans="1:9" x14ac:dyDescent="0.65">
      <c r="A371" s="188">
        <v>40701</v>
      </c>
      <c r="B371" s="35" t="s">
        <v>1354</v>
      </c>
      <c r="C371" t="s">
        <v>1355</v>
      </c>
      <c r="D371" t="s">
        <v>98</v>
      </c>
      <c r="E371" s="141">
        <v>1</v>
      </c>
      <c r="F371" s="141">
        <v>365</v>
      </c>
      <c r="G371" s="142"/>
      <c r="H371" s="142">
        <v>365</v>
      </c>
      <c r="I371" s="192">
        <v>52</v>
      </c>
    </row>
    <row r="372" spans="1:9" x14ac:dyDescent="0.65">
      <c r="A372" s="188">
        <v>40701</v>
      </c>
      <c r="B372" s="35" t="s">
        <v>1334</v>
      </c>
      <c r="C372" t="s">
        <v>1335</v>
      </c>
      <c r="D372" t="s">
        <v>18</v>
      </c>
      <c r="E372" s="141">
        <v>9.5</v>
      </c>
      <c r="F372" s="141">
        <v>135</v>
      </c>
      <c r="G372" s="142"/>
      <c r="H372" s="142">
        <v>1282.5</v>
      </c>
      <c r="I372" s="192">
        <v>52</v>
      </c>
    </row>
    <row r="373" spans="1:9" x14ac:dyDescent="0.65">
      <c r="A373" s="188">
        <v>40701</v>
      </c>
      <c r="B373" s="35" t="s">
        <v>1369</v>
      </c>
      <c r="C373" t="s">
        <v>1367</v>
      </c>
      <c r="D373" t="s">
        <v>20</v>
      </c>
      <c r="E373" s="141">
        <v>1</v>
      </c>
      <c r="F373" s="141">
        <v>169</v>
      </c>
      <c r="G373" s="142"/>
      <c r="H373" s="142">
        <v>169</v>
      </c>
      <c r="I373" s="192">
        <v>52</v>
      </c>
    </row>
    <row r="374" spans="1:9" x14ac:dyDescent="0.65">
      <c r="A374" s="188">
        <v>40701</v>
      </c>
      <c r="B374" s="35" t="s">
        <v>1344</v>
      </c>
      <c r="C374" t="s">
        <v>1345</v>
      </c>
      <c r="D374" t="s">
        <v>18</v>
      </c>
      <c r="E374" s="141">
        <v>5</v>
      </c>
      <c r="F374" s="141">
        <v>80</v>
      </c>
      <c r="G374" s="142"/>
      <c r="H374" s="142">
        <v>400</v>
      </c>
      <c r="I374" s="192">
        <v>52</v>
      </c>
    </row>
    <row r="375" spans="1:9" x14ac:dyDescent="0.65">
      <c r="A375" s="188">
        <v>40701</v>
      </c>
      <c r="B375" s="35" t="s">
        <v>7</v>
      </c>
      <c r="C375" t="s">
        <v>7</v>
      </c>
      <c r="D375" t="s">
        <v>18</v>
      </c>
      <c r="E375" s="141">
        <v>5</v>
      </c>
      <c r="F375" s="141">
        <v>39.39</v>
      </c>
      <c r="G375" s="142"/>
      <c r="H375" s="142">
        <v>196.95</v>
      </c>
      <c r="I375" s="192">
        <v>52</v>
      </c>
    </row>
    <row r="376" spans="1:9" x14ac:dyDescent="0.65">
      <c r="A376" s="188">
        <v>40701</v>
      </c>
      <c r="B376" s="35" t="s">
        <v>7</v>
      </c>
      <c r="C376" t="s">
        <v>7</v>
      </c>
      <c r="D376" t="s">
        <v>18</v>
      </c>
      <c r="E376" s="141">
        <v>5</v>
      </c>
      <c r="F376" s="141">
        <v>39.39</v>
      </c>
      <c r="G376" s="142"/>
      <c r="H376" s="142">
        <v>196.95</v>
      </c>
      <c r="I376" s="192">
        <v>52</v>
      </c>
    </row>
    <row r="377" spans="1:9" x14ac:dyDescent="0.65">
      <c r="A377" s="188">
        <v>40701</v>
      </c>
      <c r="B377" s="35" t="s">
        <v>1336</v>
      </c>
      <c r="C377" t="s">
        <v>1371</v>
      </c>
      <c r="D377" t="s">
        <v>18</v>
      </c>
      <c r="E377" s="141">
        <v>8</v>
      </c>
      <c r="F377" s="141">
        <v>65</v>
      </c>
      <c r="G377" s="142"/>
      <c r="H377" s="142">
        <v>520</v>
      </c>
      <c r="I377" s="192">
        <v>52</v>
      </c>
    </row>
    <row r="378" spans="1:9" x14ac:dyDescent="0.65">
      <c r="A378" s="188">
        <v>40701</v>
      </c>
      <c r="B378" s="35" t="s">
        <v>1370</v>
      </c>
      <c r="C378" t="s">
        <v>7</v>
      </c>
      <c r="D378" t="s">
        <v>18</v>
      </c>
      <c r="E378" s="141">
        <v>8</v>
      </c>
      <c r="F378" s="141">
        <v>39.18</v>
      </c>
      <c r="G378" s="142"/>
      <c r="H378" s="142">
        <v>313.44</v>
      </c>
      <c r="I378" s="192">
        <v>52</v>
      </c>
    </row>
    <row r="379" spans="1:9" x14ac:dyDescent="0.65">
      <c r="A379" s="188">
        <v>40702</v>
      </c>
      <c r="B379" s="35" t="s">
        <v>1344</v>
      </c>
      <c r="C379" t="s">
        <v>1345</v>
      </c>
      <c r="D379" t="s">
        <v>18</v>
      </c>
      <c r="E379" s="141">
        <v>9</v>
      </c>
      <c r="F379" s="141">
        <v>80</v>
      </c>
      <c r="G379" s="142"/>
      <c r="H379" s="142">
        <v>720</v>
      </c>
      <c r="I379" s="192">
        <v>52</v>
      </c>
    </row>
    <row r="380" spans="1:9" x14ac:dyDescent="0.65">
      <c r="A380" s="188">
        <v>40702</v>
      </c>
      <c r="B380" s="35" t="s">
        <v>1336</v>
      </c>
      <c r="C380" t="s">
        <v>1337</v>
      </c>
      <c r="D380" t="s">
        <v>18</v>
      </c>
      <c r="E380" s="141">
        <v>9</v>
      </c>
      <c r="F380" s="141">
        <v>95</v>
      </c>
      <c r="G380" s="142"/>
      <c r="H380" s="142">
        <v>855</v>
      </c>
      <c r="I380" s="192">
        <v>52</v>
      </c>
    </row>
    <row r="381" spans="1:9" x14ac:dyDescent="0.65">
      <c r="A381" s="188">
        <v>40702</v>
      </c>
      <c r="B381" s="35" t="s">
        <v>1369</v>
      </c>
      <c r="C381" t="s">
        <v>1367</v>
      </c>
      <c r="D381" t="s">
        <v>20</v>
      </c>
      <c r="E381" s="141">
        <v>1</v>
      </c>
      <c r="F381" s="141">
        <v>169</v>
      </c>
      <c r="G381" s="142"/>
      <c r="H381" s="142">
        <v>169</v>
      </c>
      <c r="I381" s="192">
        <v>52</v>
      </c>
    </row>
    <row r="382" spans="1:9" x14ac:dyDescent="0.65">
      <c r="A382" s="188">
        <v>40702</v>
      </c>
      <c r="B382" s="35" t="s">
        <v>1373</v>
      </c>
      <c r="C382" t="s">
        <v>1341</v>
      </c>
      <c r="D382" t="s">
        <v>18</v>
      </c>
      <c r="E382" s="141">
        <v>17</v>
      </c>
      <c r="F382" s="141">
        <v>95</v>
      </c>
      <c r="G382" s="142"/>
      <c r="H382" s="142">
        <v>1615</v>
      </c>
      <c r="I382" s="192">
        <v>52</v>
      </c>
    </row>
    <row r="383" spans="1:9" x14ac:dyDescent="0.65">
      <c r="A383" s="188">
        <v>40702</v>
      </c>
      <c r="B383" s="35" t="s">
        <v>1354</v>
      </c>
      <c r="C383" t="s">
        <v>1355</v>
      </c>
      <c r="D383" t="s">
        <v>98</v>
      </c>
      <c r="E383" s="141">
        <v>1</v>
      </c>
      <c r="F383" s="141">
        <v>365</v>
      </c>
      <c r="G383" s="142"/>
      <c r="H383" s="142">
        <v>365</v>
      </c>
      <c r="I383" s="192">
        <v>52</v>
      </c>
    </row>
    <row r="384" spans="1:9" x14ac:dyDescent="0.65">
      <c r="A384" s="188">
        <v>40702</v>
      </c>
      <c r="B384" s="35" t="s">
        <v>1370</v>
      </c>
      <c r="C384" t="s">
        <v>7</v>
      </c>
      <c r="D384" t="s">
        <v>18</v>
      </c>
      <c r="E384" s="141">
        <v>8.5</v>
      </c>
      <c r="F384" s="141">
        <v>39.18</v>
      </c>
      <c r="G384" s="142"/>
      <c r="H384" s="142">
        <v>333.03</v>
      </c>
      <c r="I384" s="192">
        <v>52</v>
      </c>
    </row>
    <row r="385" spans="1:9" x14ac:dyDescent="0.65">
      <c r="A385" s="188">
        <v>40702</v>
      </c>
      <c r="B385" s="35" t="s">
        <v>7</v>
      </c>
      <c r="C385" t="s">
        <v>7</v>
      </c>
      <c r="D385" t="s">
        <v>18</v>
      </c>
      <c r="E385" s="141">
        <v>9.5</v>
      </c>
      <c r="F385" s="141">
        <v>39.39</v>
      </c>
      <c r="G385" s="142"/>
      <c r="H385" s="142">
        <v>374.20499999999998</v>
      </c>
      <c r="I385" s="192">
        <v>52</v>
      </c>
    </row>
    <row r="386" spans="1:9" x14ac:dyDescent="0.65">
      <c r="A386" s="188">
        <v>40702</v>
      </c>
      <c r="B386" s="35" t="s">
        <v>7</v>
      </c>
      <c r="C386" t="s">
        <v>7</v>
      </c>
      <c r="D386" t="s">
        <v>18</v>
      </c>
      <c r="E386" s="141">
        <v>8</v>
      </c>
      <c r="F386" s="141">
        <v>39.39</v>
      </c>
      <c r="G386" s="142"/>
      <c r="H386" s="142">
        <v>315.12</v>
      </c>
      <c r="I386" s="192">
        <v>52</v>
      </c>
    </row>
    <row r="387" spans="1:9" x14ac:dyDescent="0.65">
      <c r="A387" s="188">
        <v>40702</v>
      </c>
      <c r="B387" s="35" t="s">
        <v>1336</v>
      </c>
      <c r="C387" t="s">
        <v>1371</v>
      </c>
      <c r="D387" t="s">
        <v>18</v>
      </c>
      <c r="E387" s="141">
        <v>8.5</v>
      </c>
      <c r="F387" s="141">
        <v>65</v>
      </c>
      <c r="G387" s="142"/>
      <c r="H387" s="142">
        <v>552.5</v>
      </c>
      <c r="I387" s="192">
        <v>52</v>
      </c>
    </row>
    <row r="388" spans="1:9" x14ac:dyDescent="0.65">
      <c r="A388" s="188">
        <v>40702</v>
      </c>
      <c r="B388" s="35" t="s">
        <v>1334</v>
      </c>
      <c r="C388" t="s">
        <v>1335</v>
      </c>
      <c r="D388" t="s">
        <v>18</v>
      </c>
      <c r="E388" s="141">
        <v>9.5</v>
      </c>
      <c r="F388" s="141">
        <v>135</v>
      </c>
      <c r="G388" s="142"/>
      <c r="H388" s="142">
        <v>1282.5</v>
      </c>
      <c r="I388" s="192">
        <v>52</v>
      </c>
    </row>
    <row r="389" spans="1:9" x14ac:dyDescent="0.65">
      <c r="A389" s="188">
        <v>40703</v>
      </c>
      <c r="B389" s="35" t="s">
        <v>1369</v>
      </c>
      <c r="C389" t="s">
        <v>1367</v>
      </c>
      <c r="D389" t="s">
        <v>20</v>
      </c>
      <c r="E389" s="141">
        <v>1</v>
      </c>
      <c r="F389" s="141">
        <v>169</v>
      </c>
      <c r="G389" s="142"/>
      <c r="H389" s="142">
        <v>169</v>
      </c>
      <c r="I389" s="192">
        <v>52</v>
      </c>
    </row>
    <row r="390" spans="1:9" x14ac:dyDescent="0.65">
      <c r="A390" s="188">
        <v>40703</v>
      </c>
      <c r="B390" s="35" t="s">
        <v>1334</v>
      </c>
      <c r="C390" t="s">
        <v>1335</v>
      </c>
      <c r="D390" t="s">
        <v>18</v>
      </c>
      <c r="E390" s="141">
        <v>7</v>
      </c>
      <c r="F390" s="141">
        <v>135</v>
      </c>
      <c r="G390" s="142"/>
      <c r="H390" s="142">
        <v>945</v>
      </c>
      <c r="I390" s="192">
        <v>52</v>
      </c>
    </row>
    <row r="391" spans="1:9" x14ac:dyDescent="0.65">
      <c r="A391" s="188">
        <v>40703</v>
      </c>
      <c r="B391" s="35" t="s">
        <v>1354</v>
      </c>
      <c r="C391" t="s">
        <v>1355</v>
      </c>
      <c r="D391" t="s">
        <v>98</v>
      </c>
      <c r="E391" s="141">
        <v>1</v>
      </c>
      <c r="F391" s="141">
        <v>365</v>
      </c>
      <c r="G391" s="142"/>
      <c r="H391" s="142">
        <v>365</v>
      </c>
      <c r="I391" s="192">
        <v>52</v>
      </c>
    </row>
    <row r="392" spans="1:9" x14ac:dyDescent="0.65">
      <c r="A392" s="188">
        <v>40703</v>
      </c>
      <c r="B392" s="35" t="s">
        <v>7</v>
      </c>
      <c r="C392" t="s">
        <v>7</v>
      </c>
      <c r="D392" t="s">
        <v>18</v>
      </c>
      <c r="E392" s="141">
        <v>5.5</v>
      </c>
      <c r="F392" s="141">
        <v>39.39</v>
      </c>
      <c r="G392" s="142"/>
      <c r="H392" s="142">
        <v>216.64500000000001</v>
      </c>
      <c r="I392" s="192">
        <v>52</v>
      </c>
    </row>
    <row r="393" spans="1:9" x14ac:dyDescent="0.65">
      <c r="A393" s="188">
        <v>40703</v>
      </c>
      <c r="B393" s="35" t="s">
        <v>1344</v>
      </c>
      <c r="C393" t="s">
        <v>1345</v>
      </c>
      <c r="D393" t="s">
        <v>18</v>
      </c>
      <c r="E393" s="141">
        <v>4</v>
      </c>
      <c r="F393" s="141">
        <v>80</v>
      </c>
      <c r="G393" s="142"/>
      <c r="H393" s="142">
        <v>320</v>
      </c>
      <c r="I393" s="192">
        <v>52</v>
      </c>
    </row>
    <row r="394" spans="1:9" x14ac:dyDescent="0.65">
      <c r="A394" s="188">
        <v>40703</v>
      </c>
      <c r="B394" s="35" t="s">
        <v>7</v>
      </c>
      <c r="C394" t="s">
        <v>7</v>
      </c>
      <c r="D394" t="s">
        <v>18</v>
      </c>
      <c r="E394" s="141">
        <v>2</v>
      </c>
      <c r="F394" s="141">
        <v>39.39</v>
      </c>
      <c r="G394" s="142"/>
      <c r="H394" s="142">
        <v>78.78</v>
      </c>
      <c r="I394" s="192">
        <v>52</v>
      </c>
    </row>
    <row r="395" spans="1:9" x14ac:dyDescent="0.65">
      <c r="A395" s="188">
        <v>40704</v>
      </c>
      <c r="B395" s="35" t="s">
        <v>1336</v>
      </c>
      <c r="C395" t="s">
        <v>1374</v>
      </c>
      <c r="D395" t="s">
        <v>18</v>
      </c>
      <c r="E395" s="141">
        <v>4</v>
      </c>
      <c r="F395" s="141">
        <v>90</v>
      </c>
      <c r="G395" s="142"/>
      <c r="H395" s="142">
        <v>360</v>
      </c>
      <c r="I395" s="192">
        <v>52</v>
      </c>
    </row>
    <row r="396" spans="1:9" x14ac:dyDescent="0.65">
      <c r="A396" s="188">
        <v>40704</v>
      </c>
      <c r="B396" s="35" t="s">
        <v>1354</v>
      </c>
      <c r="C396" t="s">
        <v>1355</v>
      </c>
      <c r="D396" t="s">
        <v>98</v>
      </c>
      <c r="E396" s="141">
        <v>1</v>
      </c>
      <c r="F396" s="141">
        <v>365</v>
      </c>
      <c r="G396" s="142"/>
      <c r="H396" s="142">
        <v>365</v>
      </c>
      <c r="I396" s="192">
        <v>52</v>
      </c>
    </row>
    <row r="397" spans="1:9" x14ac:dyDescent="0.65">
      <c r="A397" s="188">
        <v>40704</v>
      </c>
      <c r="B397" s="35" t="s">
        <v>1336</v>
      </c>
      <c r="C397" t="s">
        <v>1341</v>
      </c>
      <c r="D397" t="s">
        <v>18</v>
      </c>
      <c r="E397" s="141">
        <v>3</v>
      </c>
      <c r="F397" s="141">
        <v>95</v>
      </c>
      <c r="G397" s="142"/>
      <c r="H397" s="142">
        <v>285</v>
      </c>
      <c r="I397" s="192">
        <v>52</v>
      </c>
    </row>
    <row r="398" spans="1:9" x14ac:dyDescent="0.65">
      <c r="A398" s="188">
        <v>40704</v>
      </c>
      <c r="B398" s="35" t="s">
        <v>1336</v>
      </c>
      <c r="C398" t="s">
        <v>1372</v>
      </c>
      <c r="D398" t="s">
        <v>18</v>
      </c>
      <c r="E398" s="141">
        <v>4</v>
      </c>
      <c r="F398" s="141">
        <v>95</v>
      </c>
      <c r="G398" s="142"/>
      <c r="H398" s="142">
        <v>380</v>
      </c>
      <c r="I398" s="192">
        <v>52</v>
      </c>
    </row>
    <row r="399" spans="1:9" x14ac:dyDescent="0.65">
      <c r="A399" s="188">
        <v>40704</v>
      </c>
      <c r="B399" s="35" t="s">
        <v>1334</v>
      </c>
      <c r="C399" t="s">
        <v>1335</v>
      </c>
      <c r="D399" t="s">
        <v>18</v>
      </c>
      <c r="E399" s="141">
        <v>4</v>
      </c>
      <c r="F399" s="141">
        <v>135</v>
      </c>
      <c r="G399" s="142"/>
      <c r="H399" s="142">
        <v>540</v>
      </c>
      <c r="I399" s="192">
        <v>52</v>
      </c>
    </row>
    <row r="400" spans="1:9" x14ac:dyDescent="0.65">
      <c r="A400" s="188">
        <v>40704</v>
      </c>
      <c r="B400" s="35" t="s">
        <v>7</v>
      </c>
      <c r="C400" t="s">
        <v>7</v>
      </c>
      <c r="D400" t="s">
        <v>18</v>
      </c>
      <c r="E400" s="141">
        <v>4</v>
      </c>
      <c r="F400" s="141">
        <v>39.39</v>
      </c>
      <c r="G400" s="142"/>
      <c r="H400" s="142">
        <v>157.56</v>
      </c>
      <c r="I400" s="192">
        <v>52</v>
      </c>
    </row>
    <row r="401" spans="1:9" x14ac:dyDescent="0.65">
      <c r="A401" s="188">
        <v>40704</v>
      </c>
      <c r="B401" s="35" t="s">
        <v>1344</v>
      </c>
      <c r="C401" t="s">
        <v>1345</v>
      </c>
      <c r="D401" t="s">
        <v>18</v>
      </c>
      <c r="E401" s="141">
        <v>2</v>
      </c>
      <c r="F401" s="141">
        <v>80</v>
      </c>
      <c r="G401" s="142"/>
      <c r="H401" s="142">
        <v>160</v>
      </c>
      <c r="I401" s="192">
        <v>52</v>
      </c>
    </row>
    <row r="402" spans="1:9" x14ac:dyDescent="0.65">
      <c r="A402" s="188">
        <v>40704</v>
      </c>
      <c r="B402" s="35" t="s">
        <v>1369</v>
      </c>
      <c r="C402" t="s">
        <v>1367</v>
      </c>
      <c r="D402" t="s">
        <v>20</v>
      </c>
      <c r="E402" s="141">
        <v>1</v>
      </c>
      <c r="F402" s="141">
        <v>169</v>
      </c>
      <c r="G402" s="142"/>
      <c r="H402" s="142">
        <v>169</v>
      </c>
      <c r="I402" s="192">
        <v>52</v>
      </c>
    </row>
    <row r="403" spans="1:9" x14ac:dyDescent="0.65">
      <c r="A403" s="188">
        <v>40704</v>
      </c>
      <c r="B403" s="35" t="s">
        <v>7</v>
      </c>
      <c r="C403" t="s">
        <v>7</v>
      </c>
      <c r="D403" t="s">
        <v>18</v>
      </c>
      <c r="E403" s="141">
        <v>4</v>
      </c>
      <c r="F403" s="141">
        <v>39.39</v>
      </c>
      <c r="G403" s="142"/>
      <c r="H403" s="142">
        <v>157.56</v>
      </c>
      <c r="I403" s="192">
        <v>52</v>
      </c>
    </row>
    <row r="404" spans="1:9" x14ac:dyDescent="0.65">
      <c r="A404" s="188">
        <v>40708</v>
      </c>
      <c r="B404" s="35" t="s">
        <v>1336</v>
      </c>
      <c r="C404" t="s">
        <v>1371</v>
      </c>
      <c r="D404" t="s">
        <v>18</v>
      </c>
      <c r="E404" s="141">
        <v>10</v>
      </c>
      <c r="F404" s="141">
        <v>65</v>
      </c>
      <c r="G404" s="142"/>
      <c r="H404" s="142">
        <v>650</v>
      </c>
      <c r="I404" s="192">
        <v>52</v>
      </c>
    </row>
    <row r="405" spans="1:9" x14ac:dyDescent="0.65">
      <c r="A405" s="188">
        <v>40708</v>
      </c>
      <c r="B405" s="35" t="s">
        <v>1334</v>
      </c>
      <c r="C405" t="s">
        <v>1335</v>
      </c>
      <c r="D405" t="s">
        <v>18</v>
      </c>
      <c r="E405" s="141">
        <v>10</v>
      </c>
      <c r="F405" s="141">
        <v>135</v>
      </c>
      <c r="G405" s="142"/>
      <c r="H405" s="142">
        <v>1350</v>
      </c>
      <c r="I405" s="192">
        <v>52</v>
      </c>
    </row>
    <row r="406" spans="1:9" x14ac:dyDescent="0.65">
      <c r="A406" s="188">
        <v>40708</v>
      </c>
      <c r="B406" s="35" t="s">
        <v>1354</v>
      </c>
      <c r="C406" t="s">
        <v>1355</v>
      </c>
      <c r="D406" t="s">
        <v>98</v>
      </c>
      <c r="E406" s="141">
        <v>1</v>
      </c>
      <c r="F406" s="141">
        <v>365</v>
      </c>
      <c r="G406" s="142"/>
      <c r="H406" s="142">
        <v>365</v>
      </c>
      <c r="I406" s="192">
        <v>52</v>
      </c>
    </row>
    <row r="407" spans="1:9" x14ac:dyDescent="0.65">
      <c r="A407" s="188">
        <v>40708</v>
      </c>
      <c r="B407" s="35" t="s">
        <v>7</v>
      </c>
      <c r="C407" t="s">
        <v>7</v>
      </c>
      <c r="D407" t="s">
        <v>18</v>
      </c>
      <c r="E407" s="141">
        <v>10</v>
      </c>
      <c r="F407" s="141">
        <v>39.39</v>
      </c>
      <c r="G407" s="142"/>
      <c r="H407" s="142">
        <v>393.9</v>
      </c>
      <c r="I407" s="192">
        <v>52</v>
      </c>
    </row>
    <row r="408" spans="1:9" x14ac:dyDescent="0.65">
      <c r="A408" s="188">
        <v>40708</v>
      </c>
      <c r="B408" s="35" t="s">
        <v>7</v>
      </c>
      <c r="C408" t="s">
        <v>7</v>
      </c>
      <c r="D408" t="s">
        <v>18</v>
      </c>
      <c r="E408" s="141">
        <v>10</v>
      </c>
      <c r="F408" s="141">
        <v>39.39</v>
      </c>
      <c r="G408" s="142"/>
      <c r="H408" s="142">
        <v>393.9</v>
      </c>
      <c r="I408" s="192">
        <v>52</v>
      </c>
    </row>
    <row r="409" spans="1:9" x14ac:dyDescent="0.65">
      <c r="A409" s="188">
        <v>40708</v>
      </c>
      <c r="B409" s="35" t="s">
        <v>1370</v>
      </c>
      <c r="C409" t="s">
        <v>7</v>
      </c>
      <c r="D409" t="s">
        <v>18</v>
      </c>
      <c r="E409" s="141">
        <v>10</v>
      </c>
      <c r="F409" s="141">
        <v>39.18</v>
      </c>
      <c r="G409" s="142"/>
      <c r="H409" s="142">
        <v>391.8</v>
      </c>
      <c r="I409" s="192">
        <v>52</v>
      </c>
    </row>
    <row r="410" spans="1:9" x14ac:dyDescent="0.65">
      <c r="A410" s="188">
        <v>40708</v>
      </c>
      <c r="B410" s="35" t="s">
        <v>1375</v>
      </c>
      <c r="C410" t="s">
        <v>1376</v>
      </c>
      <c r="D410" t="s">
        <v>18</v>
      </c>
      <c r="E410" s="141">
        <v>2</v>
      </c>
      <c r="F410" s="141">
        <v>160</v>
      </c>
      <c r="G410" s="142"/>
      <c r="H410" s="142">
        <v>320</v>
      </c>
      <c r="I410" s="192">
        <v>52</v>
      </c>
    </row>
    <row r="411" spans="1:9" x14ac:dyDescent="0.65">
      <c r="A411" s="188">
        <v>40708</v>
      </c>
      <c r="B411" s="35" t="s">
        <v>1369</v>
      </c>
      <c r="C411" t="s">
        <v>1367</v>
      </c>
      <c r="D411" t="s">
        <v>20</v>
      </c>
      <c r="E411" s="141">
        <v>1</v>
      </c>
      <c r="F411" s="141">
        <v>169</v>
      </c>
      <c r="G411" s="142"/>
      <c r="H411" s="142">
        <v>169</v>
      </c>
      <c r="I411" s="192">
        <v>52</v>
      </c>
    </row>
    <row r="412" spans="1:9" x14ac:dyDescent="0.65">
      <c r="A412" s="188">
        <v>40708</v>
      </c>
      <c r="B412" s="35" t="s">
        <v>1344</v>
      </c>
      <c r="C412" t="s">
        <v>1345</v>
      </c>
      <c r="D412" t="s">
        <v>18</v>
      </c>
      <c r="E412" s="141">
        <v>7.5</v>
      </c>
      <c r="F412" s="141">
        <v>80</v>
      </c>
      <c r="G412" s="142"/>
      <c r="H412" s="142">
        <v>600</v>
      </c>
      <c r="I412" s="192">
        <v>52</v>
      </c>
    </row>
    <row r="413" spans="1:9" x14ac:dyDescent="0.65">
      <c r="A413" s="188">
        <v>40708</v>
      </c>
      <c r="B413" s="35" t="s">
        <v>1336</v>
      </c>
      <c r="C413" t="s">
        <v>1341</v>
      </c>
      <c r="D413" t="s">
        <v>18</v>
      </c>
      <c r="E413" s="141">
        <v>10.5</v>
      </c>
      <c r="F413" s="141">
        <v>95</v>
      </c>
      <c r="G413" s="142"/>
      <c r="H413" s="142">
        <v>997.5</v>
      </c>
      <c r="I413" s="192">
        <v>52</v>
      </c>
    </row>
    <row r="414" spans="1:9" x14ac:dyDescent="0.65">
      <c r="A414" s="188">
        <v>40708</v>
      </c>
      <c r="B414" s="35" t="s">
        <v>1336</v>
      </c>
      <c r="C414" t="s">
        <v>1337</v>
      </c>
      <c r="D414" t="s">
        <v>18</v>
      </c>
      <c r="E414" s="141">
        <v>9.5</v>
      </c>
      <c r="F414" s="141">
        <v>95</v>
      </c>
      <c r="G414" s="142"/>
      <c r="H414" s="142">
        <v>902.5</v>
      </c>
      <c r="I414" s="192">
        <v>52</v>
      </c>
    </row>
    <row r="415" spans="1:9" x14ac:dyDescent="0.65">
      <c r="A415" s="188">
        <v>40708</v>
      </c>
      <c r="B415" s="35" t="s">
        <v>1336</v>
      </c>
      <c r="C415" t="s">
        <v>1342</v>
      </c>
      <c r="D415" t="s">
        <v>18</v>
      </c>
      <c r="E415" s="141">
        <v>8</v>
      </c>
      <c r="F415" s="141">
        <v>90</v>
      </c>
      <c r="G415" s="142"/>
      <c r="H415" s="142">
        <v>720</v>
      </c>
      <c r="I415" s="192">
        <v>52</v>
      </c>
    </row>
    <row r="416" spans="1:9" x14ac:dyDescent="0.65">
      <c r="A416" s="188">
        <v>40709</v>
      </c>
      <c r="B416" s="35" t="s">
        <v>1336</v>
      </c>
      <c r="C416" t="s">
        <v>1341</v>
      </c>
      <c r="D416" t="s">
        <v>18</v>
      </c>
      <c r="E416" s="141">
        <v>9.5</v>
      </c>
      <c r="F416" s="141">
        <v>95</v>
      </c>
      <c r="G416" s="142"/>
      <c r="H416" s="142">
        <v>902.5</v>
      </c>
      <c r="I416" s="192">
        <v>52</v>
      </c>
    </row>
    <row r="417" spans="1:9" x14ac:dyDescent="0.65">
      <c r="A417" s="188">
        <v>40709</v>
      </c>
      <c r="B417" s="35" t="s">
        <v>1336</v>
      </c>
      <c r="C417" t="s">
        <v>1342</v>
      </c>
      <c r="D417" t="s">
        <v>18</v>
      </c>
      <c r="E417" s="141">
        <v>9.5</v>
      </c>
      <c r="F417" s="141">
        <v>90</v>
      </c>
      <c r="G417" s="142"/>
      <c r="H417" s="142">
        <v>855</v>
      </c>
      <c r="I417" s="192">
        <v>52</v>
      </c>
    </row>
    <row r="418" spans="1:9" x14ac:dyDescent="0.65">
      <c r="A418" s="188">
        <v>40709</v>
      </c>
      <c r="B418" s="35" t="s">
        <v>1336</v>
      </c>
      <c r="C418" t="s">
        <v>1337</v>
      </c>
      <c r="D418" t="s">
        <v>18</v>
      </c>
      <c r="E418" s="141">
        <v>9</v>
      </c>
      <c r="F418" s="141">
        <v>95</v>
      </c>
      <c r="G418" s="142"/>
      <c r="H418" s="142">
        <v>855</v>
      </c>
      <c r="I418" s="192">
        <v>52</v>
      </c>
    </row>
    <row r="419" spans="1:9" x14ac:dyDescent="0.65">
      <c r="A419" s="188">
        <v>40709</v>
      </c>
      <c r="B419" s="35" t="s">
        <v>1344</v>
      </c>
      <c r="C419" t="s">
        <v>1345</v>
      </c>
      <c r="D419" t="s">
        <v>18</v>
      </c>
      <c r="E419" s="141">
        <v>9.5</v>
      </c>
      <c r="F419" s="141">
        <v>80</v>
      </c>
      <c r="G419" s="142"/>
      <c r="H419" s="142">
        <v>760</v>
      </c>
      <c r="I419" s="192">
        <v>52</v>
      </c>
    </row>
    <row r="420" spans="1:9" x14ac:dyDescent="0.65">
      <c r="A420" s="188">
        <v>40709</v>
      </c>
      <c r="B420" s="35" t="s">
        <v>1354</v>
      </c>
      <c r="C420" t="s">
        <v>1355</v>
      </c>
      <c r="D420" t="s">
        <v>98</v>
      </c>
      <c r="E420" s="141">
        <v>1</v>
      </c>
      <c r="F420" s="141">
        <v>365</v>
      </c>
      <c r="G420" s="142"/>
      <c r="H420" s="142">
        <v>365</v>
      </c>
      <c r="I420" s="192">
        <v>52</v>
      </c>
    </row>
    <row r="421" spans="1:9" x14ac:dyDescent="0.65">
      <c r="A421" s="188">
        <v>40709</v>
      </c>
      <c r="B421" s="35" t="s">
        <v>1375</v>
      </c>
      <c r="C421" t="s">
        <v>1376</v>
      </c>
      <c r="D421" t="s">
        <v>18</v>
      </c>
      <c r="E421" s="141">
        <v>9.5</v>
      </c>
      <c r="F421" s="141">
        <v>160</v>
      </c>
      <c r="G421" s="142"/>
      <c r="H421" s="142">
        <v>1520</v>
      </c>
      <c r="I421" s="192">
        <v>52</v>
      </c>
    </row>
    <row r="422" spans="1:9" x14ac:dyDescent="0.65">
      <c r="A422" s="188">
        <v>40709</v>
      </c>
      <c r="B422" s="35" t="s">
        <v>1334</v>
      </c>
      <c r="C422" t="s">
        <v>1335</v>
      </c>
      <c r="D422" t="s">
        <v>18</v>
      </c>
      <c r="E422" s="141">
        <v>9</v>
      </c>
      <c r="F422" s="141">
        <v>135</v>
      </c>
      <c r="G422" s="142"/>
      <c r="H422" s="142">
        <v>1215</v>
      </c>
      <c r="I422" s="192">
        <v>52</v>
      </c>
    </row>
    <row r="423" spans="1:9" x14ac:dyDescent="0.65">
      <c r="A423" s="188">
        <v>40709</v>
      </c>
      <c r="B423" s="35" t="s">
        <v>7</v>
      </c>
      <c r="C423" t="s">
        <v>7</v>
      </c>
      <c r="D423" t="s">
        <v>18</v>
      </c>
      <c r="E423" s="141">
        <v>9.5</v>
      </c>
      <c r="F423" s="141">
        <v>39.39</v>
      </c>
      <c r="G423" s="142"/>
      <c r="H423" s="142">
        <v>374.20499999999998</v>
      </c>
      <c r="I423" s="192">
        <v>52</v>
      </c>
    </row>
    <row r="424" spans="1:9" x14ac:dyDescent="0.65">
      <c r="A424" s="188">
        <v>40709</v>
      </c>
      <c r="B424" s="35" t="s">
        <v>1369</v>
      </c>
      <c r="C424" t="s">
        <v>1367</v>
      </c>
      <c r="D424" t="s">
        <v>20</v>
      </c>
      <c r="E424" s="141">
        <v>1</v>
      </c>
      <c r="F424" s="141">
        <v>169</v>
      </c>
      <c r="G424" s="142"/>
      <c r="H424" s="142">
        <v>169</v>
      </c>
      <c r="I424" s="192">
        <v>52</v>
      </c>
    </row>
    <row r="425" spans="1:9" x14ac:dyDescent="0.65">
      <c r="A425" s="188">
        <v>40709</v>
      </c>
      <c r="B425" s="35" t="s">
        <v>1336</v>
      </c>
      <c r="C425" t="s">
        <v>1371</v>
      </c>
      <c r="D425" t="s">
        <v>18</v>
      </c>
      <c r="E425" s="141">
        <v>9.5</v>
      </c>
      <c r="F425" s="141">
        <v>65</v>
      </c>
      <c r="G425" s="142"/>
      <c r="H425" s="142">
        <v>617.5</v>
      </c>
      <c r="I425" s="192">
        <v>52</v>
      </c>
    </row>
    <row r="426" spans="1:9" x14ac:dyDescent="0.65">
      <c r="A426" s="188">
        <v>40709</v>
      </c>
      <c r="B426" s="35" t="s">
        <v>1370</v>
      </c>
      <c r="C426" t="s">
        <v>7</v>
      </c>
      <c r="D426" t="s">
        <v>18</v>
      </c>
      <c r="E426" s="141">
        <v>9.5</v>
      </c>
      <c r="F426" s="141">
        <v>39.18</v>
      </c>
      <c r="G426" s="142"/>
      <c r="H426" s="142">
        <v>372.21</v>
      </c>
      <c r="I426" s="192">
        <v>52</v>
      </c>
    </row>
    <row r="427" spans="1:9" x14ac:dyDescent="0.65">
      <c r="A427" s="188">
        <v>40710</v>
      </c>
      <c r="B427" s="35" t="s">
        <v>1334</v>
      </c>
      <c r="C427" t="s">
        <v>1335</v>
      </c>
      <c r="D427" t="s">
        <v>18</v>
      </c>
      <c r="E427" s="141">
        <v>9</v>
      </c>
      <c r="F427" s="141">
        <v>135</v>
      </c>
      <c r="G427" s="142"/>
      <c r="H427" s="142">
        <v>1215</v>
      </c>
      <c r="I427" s="192">
        <v>52</v>
      </c>
    </row>
    <row r="428" spans="1:9" x14ac:dyDescent="0.65">
      <c r="A428" s="188">
        <v>40710</v>
      </c>
      <c r="B428" s="35" t="s">
        <v>1354</v>
      </c>
      <c r="C428" t="s">
        <v>1355</v>
      </c>
      <c r="D428" t="s">
        <v>98</v>
      </c>
      <c r="E428" s="141">
        <v>1</v>
      </c>
      <c r="F428" s="141">
        <v>365</v>
      </c>
      <c r="G428" s="142"/>
      <c r="H428" s="142">
        <v>365</v>
      </c>
      <c r="I428" s="192">
        <v>52</v>
      </c>
    </row>
    <row r="429" spans="1:9" x14ac:dyDescent="0.65">
      <c r="A429" s="188">
        <v>40710</v>
      </c>
      <c r="B429" s="35" t="s">
        <v>1336</v>
      </c>
      <c r="C429" t="s">
        <v>1371</v>
      </c>
      <c r="D429" t="s">
        <v>18</v>
      </c>
      <c r="E429" s="141">
        <v>9.5</v>
      </c>
      <c r="F429" s="141">
        <v>65</v>
      </c>
      <c r="G429" s="142"/>
      <c r="H429" s="142">
        <v>617.5</v>
      </c>
      <c r="I429" s="192">
        <v>52</v>
      </c>
    </row>
    <row r="430" spans="1:9" x14ac:dyDescent="0.65">
      <c r="A430" s="188">
        <v>40710</v>
      </c>
      <c r="B430" s="35" t="s">
        <v>1336</v>
      </c>
      <c r="C430" t="s">
        <v>1341</v>
      </c>
      <c r="D430" t="s">
        <v>18</v>
      </c>
      <c r="E430" s="141">
        <v>9.5</v>
      </c>
      <c r="F430" s="141">
        <v>95</v>
      </c>
      <c r="G430" s="142"/>
      <c r="H430" s="142">
        <v>902.5</v>
      </c>
      <c r="I430" s="192">
        <v>52</v>
      </c>
    </row>
    <row r="431" spans="1:9" x14ac:dyDescent="0.65">
      <c r="A431" s="188">
        <v>40710</v>
      </c>
      <c r="B431" s="35" t="s">
        <v>1375</v>
      </c>
      <c r="C431" t="s">
        <v>1376</v>
      </c>
      <c r="D431" t="s">
        <v>18</v>
      </c>
      <c r="E431" s="141">
        <v>9</v>
      </c>
      <c r="F431" s="141">
        <v>160</v>
      </c>
      <c r="G431" s="142"/>
      <c r="H431" s="142">
        <v>1440</v>
      </c>
      <c r="I431" s="192">
        <v>52</v>
      </c>
    </row>
    <row r="432" spans="1:9" x14ac:dyDescent="0.65">
      <c r="A432" s="188">
        <v>40710</v>
      </c>
      <c r="B432" s="35" t="s">
        <v>1336</v>
      </c>
      <c r="C432" t="s">
        <v>1337</v>
      </c>
      <c r="D432" t="s">
        <v>18</v>
      </c>
      <c r="E432" s="141">
        <v>9.5</v>
      </c>
      <c r="F432" s="141">
        <v>95</v>
      </c>
      <c r="G432" s="142"/>
      <c r="H432" s="142">
        <v>902.5</v>
      </c>
      <c r="I432" s="192">
        <v>52</v>
      </c>
    </row>
    <row r="433" spans="1:9" x14ac:dyDescent="0.65">
      <c r="A433" s="188">
        <v>40710</v>
      </c>
      <c r="B433" s="35" t="s">
        <v>1336</v>
      </c>
      <c r="C433" t="s">
        <v>1342</v>
      </c>
      <c r="D433" t="s">
        <v>18</v>
      </c>
      <c r="E433" s="141">
        <v>8.5</v>
      </c>
      <c r="F433" s="141">
        <v>90</v>
      </c>
      <c r="G433" s="142"/>
      <c r="H433" s="142">
        <v>765</v>
      </c>
      <c r="I433" s="192">
        <v>52</v>
      </c>
    </row>
    <row r="434" spans="1:9" x14ac:dyDescent="0.65">
      <c r="A434" s="188">
        <v>40710</v>
      </c>
      <c r="B434" s="35" t="s">
        <v>1370</v>
      </c>
      <c r="C434" t="s">
        <v>7</v>
      </c>
      <c r="D434" t="s">
        <v>18</v>
      </c>
      <c r="E434" s="141">
        <v>10</v>
      </c>
      <c r="F434" s="141">
        <v>39.18</v>
      </c>
      <c r="G434" s="142"/>
      <c r="H434" s="142">
        <v>391.8</v>
      </c>
      <c r="I434" s="192">
        <v>52</v>
      </c>
    </row>
    <row r="435" spans="1:9" x14ac:dyDescent="0.65">
      <c r="A435" s="188">
        <v>40710</v>
      </c>
      <c r="B435" s="35" t="s">
        <v>7</v>
      </c>
      <c r="C435" t="s">
        <v>7</v>
      </c>
      <c r="D435" t="s">
        <v>18</v>
      </c>
      <c r="E435" s="141">
        <v>9.5</v>
      </c>
      <c r="F435" s="141">
        <v>39.39</v>
      </c>
      <c r="G435" s="142"/>
      <c r="H435" s="142">
        <v>374.20499999999998</v>
      </c>
      <c r="I435" s="192">
        <v>52</v>
      </c>
    </row>
    <row r="436" spans="1:9" x14ac:dyDescent="0.65">
      <c r="A436" s="188">
        <v>40710</v>
      </c>
      <c r="B436" s="35" t="s">
        <v>7</v>
      </c>
      <c r="C436" t="s">
        <v>7</v>
      </c>
      <c r="D436" t="s">
        <v>18</v>
      </c>
      <c r="E436" s="141">
        <v>9.5</v>
      </c>
      <c r="F436" s="141">
        <v>39.39</v>
      </c>
      <c r="G436" s="142"/>
      <c r="H436" s="142">
        <v>374.20499999999998</v>
      </c>
      <c r="I436" s="192">
        <v>52</v>
      </c>
    </row>
    <row r="437" spans="1:9" x14ac:dyDescent="0.65">
      <c r="A437" s="188">
        <v>40710</v>
      </c>
      <c r="B437" s="35" t="s">
        <v>1369</v>
      </c>
      <c r="C437" t="s">
        <v>1367</v>
      </c>
      <c r="D437" t="s">
        <v>20</v>
      </c>
      <c r="E437" s="141">
        <v>1</v>
      </c>
      <c r="F437" s="141">
        <v>169</v>
      </c>
      <c r="G437" s="142"/>
      <c r="H437" s="142">
        <v>169</v>
      </c>
      <c r="I437" s="192">
        <v>52</v>
      </c>
    </row>
    <row r="438" spans="1:9" x14ac:dyDescent="0.65">
      <c r="A438" s="188">
        <v>40710</v>
      </c>
      <c r="B438" s="35" t="s">
        <v>1344</v>
      </c>
      <c r="C438" t="s">
        <v>1345</v>
      </c>
      <c r="D438" t="s">
        <v>18</v>
      </c>
      <c r="E438" s="141">
        <v>9.5</v>
      </c>
      <c r="F438" s="141">
        <v>80</v>
      </c>
      <c r="G438" s="142"/>
      <c r="H438" s="142">
        <v>760</v>
      </c>
      <c r="I438" s="192">
        <v>52</v>
      </c>
    </row>
    <row r="439" spans="1:9" x14ac:dyDescent="0.65">
      <c r="A439" s="188">
        <v>40711</v>
      </c>
      <c r="B439" s="35" t="s">
        <v>1370</v>
      </c>
      <c r="C439" t="s">
        <v>7</v>
      </c>
      <c r="D439" t="s">
        <v>18</v>
      </c>
      <c r="E439" s="141">
        <v>10</v>
      </c>
      <c r="F439" s="141">
        <v>39.18</v>
      </c>
      <c r="G439" s="142"/>
      <c r="H439" s="142">
        <v>391.8</v>
      </c>
      <c r="I439" s="192">
        <v>52</v>
      </c>
    </row>
    <row r="440" spans="1:9" x14ac:dyDescent="0.65">
      <c r="A440" s="188">
        <v>40711</v>
      </c>
      <c r="B440" s="35" t="s">
        <v>1334</v>
      </c>
      <c r="C440" t="s">
        <v>1335</v>
      </c>
      <c r="D440" t="s">
        <v>18</v>
      </c>
      <c r="E440" s="141">
        <v>9</v>
      </c>
      <c r="F440" s="141">
        <v>135</v>
      </c>
      <c r="G440" s="142"/>
      <c r="H440" s="142">
        <v>1215</v>
      </c>
      <c r="I440" s="192">
        <v>52</v>
      </c>
    </row>
    <row r="441" spans="1:9" x14ac:dyDescent="0.65">
      <c r="A441" s="188">
        <v>40711</v>
      </c>
      <c r="B441" s="35" t="s">
        <v>1336</v>
      </c>
      <c r="C441" t="s">
        <v>1371</v>
      </c>
      <c r="D441" t="s">
        <v>18</v>
      </c>
      <c r="E441" s="141">
        <v>9.5</v>
      </c>
      <c r="F441" s="141">
        <v>65</v>
      </c>
      <c r="G441" s="142"/>
      <c r="H441" s="142">
        <v>617.5</v>
      </c>
      <c r="I441" s="192">
        <v>52</v>
      </c>
    </row>
    <row r="442" spans="1:9" x14ac:dyDescent="0.65">
      <c r="A442" s="188">
        <v>40711</v>
      </c>
      <c r="B442" s="35" t="s">
        <v>1336</v>
      </c>
      <c r="C442" t="s">
        <v>1337</v>
      </c>
      <c r="D442" t="s">
        <v>18</v>
      </c>
      <c r="E442" s="141">
        <v>9</v>
      </c>
      <c r="F442" s="141">
        <v>95</v>
      </c>
      <c r="G442" s="142"/>
      <c r="H442" s="142">
        <v>855</v>
      </c>
      <c r="I442" s="192">
        <v>52</v>
      </c>
    </row>
    <row r="443" spans="1:9" x14ac:dyDescent="0.65">
      <c r="A443" s="188">
        <v>40711</v>
      </c>
      <c r="B443" s="35" t="s">
        <v>1354</v>
      </c>
      <c r="C443" t="s">
        <v>1355</v>
      </c>
      <c r="D443" t="s">
        <v>98</v>
      </c>
      <c r="E443" s="141">
        <v>1</v>
      </c>
      <c r="F443" s="141">
        <v>365</v>
      </c>
      <c r="G443" s="142"/>
      <c r="H443" s="142">
        <v>365</v>
      </c>
      <c r="I443" s="192">
        <v>52</v>
      </c>
    </row>
    <row r="444" spans="1:9" x14ac:dyDescent="0.65">
      <c r="A444" s="188">
        <v>40711</v>
      </c>
      <c r="B444" s="35" t="s">
        <v>1369</v>
      </c>
      <c r="C444" t="s">
        <v>1367</v>
      </c>
      <c r="D444" t="s">
        <v>20</v>
      </c>
      <c r="E444" s="141">
        <v>1</v>
      </c>
      <c r="F444" s="141">
        <v>169</v>
      </c>
      <c r="G444" s="142"/>
      <c r="H444" s="142">
        <v>169</v>
      </c>
      <c r="I444" s="192">
        <v>52</v>
      </c>
    </row>
    <row r="445" spans="1:9" x14ac:dyDescent="0.65">
      <c r="A445" s="188">
        <v>40711</v>
      </c>
      <c r="B445" s="35" t="s">
        <v>1375</v>
      </c>
      <c r="C445" t="s">
        <v>1376</v>
      </c>
      <c r="D445" t="s">
        <v>18</v>
      </c>
      <c r="E445" s="141">
        <v>9</v>
      </c>
      <c r="F445" s="141">
        <v>160</v>
      </c>
      <c r="G445" s="142"/>
      <c r="H445" s="142">
        <v>1440</v>
      </c>
      <c r="I445" s="192">
        <v>52</v>
      </c>
    </row>
    <row r="446" spans="1:9" x14ac:dyDescent="0.65">
      <c r="A446" s="188">
        <v>40711</v>
      </c>
      <c r="B446" s="35" t="s">
        <v>1336</v>
      </c>
      <c r="C446" t="s">
        <v>1342</v>
      </c>
      <c r="D446" t="s">
        <v>18</v>
      </c>
      <c r="E446" s="141">
        <v>9.5</v>
      </c>
      <c r="F446" s="141">
        <v>90</v>
      </c>
      <c r="G446" s="142"/>
      <c r="H446" s="142">
        <v>855</v>
      </c>
      <c r="I446" s="192">
        <v>52</v>
      </c>
    </row>
    <row r="447" spans="1:9" x14ac:dyDescent="0.65">
      <c r="A447" s="188">
        <v>40711</v>
      </c>
      <c r="B447" s="35" t="s">
        <v>1336</v>
      </c>
      <c r="C447" t="s">
        <v>1341</v>
      </c>
      <c r="D447" t="s">
        <v>18</v>
      </c>
      <c r="E447" s="141">
        <v>9.5</v>
      </c>
      <c r="F447" s="141">
        <v>95</v>
      </c>
      <c r="G447" s="142"/>
      <c r="H447" s="142">
        <v>902.5</v>
      </c>
      <c r="I447" s="192">
        <v>52</v>
      </c>
    </row>
    <row r="448" spans="1:9" x14ac:dyDescent="0.65">
      <c r="A448" s="188">
        <v>40711</v>
      </c>
      <c r="B448" s="35" t="s">
        <v>7</v>
      </c>
      <c r="C448" t="s">
        <v>7</v>
      </c>
      <c r="D448" t="s">
        <v>18</v>
      </c>
      <c r="E448" s="141">
        <v>9.5</v>
      </c>
      <c r="F448" s="141">
        <v>39.39</v>
      </c>
      <c r="G448" s="142"/>
      <c r="H448" s="142">
        <v>374.20499999999998</v>
      </c>
      <c r="I448" s="192">
        <v>52</v>
      </c>
    </row>
    <row r="449" spans="1:9" x14ac:dyDescent="0.65">
      <c r="A449" s="188">
        <v>40711</v>
      </c>
      <c r="B449" s="35" t="s">
        <v>1344</v>
      </c>
      <c r="C449" t="s">
        <v>1345</v>
      </c>
      <c r="D449" t="s">
        <v>18</v>
      </c>
      <c r="E449" s="141">
        <v>9.5</v>
      </c>
      <c r="F449" s="141">
        <v>80</v>
      </c>
      <c r="G449" s="142"/>
      <c r="H449" s="142">
        <v>760</v>
      </c>
      <c r="I449" s="192">
        <v>52</v>
      </c>
    </row>
    <row r="450" spans="1:9" x14ac:dyDescent="0.65">
      <c r="A450" s="188">
        <v>40711</v>
      </c>
      <c r="B450" s="35" t="s">
        <v>7</v>
      </c>
      <c r="C450" t="s">
        <v>7</v>
      </c>
      <c r="D450" t="s">
        <v>18</v>
      </c>
      <c r="E450" s="141">
        <v>8.5</v>
      </c>
      <c r="F450" s="141">
        <v>39.39</v>
      </c>
      <c r="G450" s="142"/>
      <c r="H450" s="142">
        <v>334.815</v>
      </c>
      <c r="I450" s="192">
        <v>52</v>
      </c>
    </row>
    <row r="451" spans="1:9" x14ac:dyDescent="0.65">
      <c r="A451" s="188">
        <v>40712</v>
      </c>
      <c r="B451" s="35" t="s">
        <v>1336</v>
      </c>
      <c r="C451" t="s">
        <v>1337</v>
      </c>
      <c r="D451" t="s">
        <v>18</v>
      </c>
      <c r="E451" s="141">
        <v>8</v>
      </c>
      <c r="F451" s="141">
        <v>95</v>
      </c>
      <c r="G451" s="142"/>
      <c r="H451" s="142">
        <v>760</v>
      </c>
      <c r="I451" s="192">
        <v>52</v>
      </c>
    </row>
    <row r="452" spans="1:9" x14ac:dyDescent="0.65">
      <c r="A452" s="188">
        <v>40712</v>
      </c>
      <c r="B452" s="35" t="s">
        <v>7</v>
      </c>
      <c r="C452" t="s">
        <v>7</v>
      </c>
      <c r="D452" t="s">
        <v>18</v>
      </c>
      <c r="E452" s="141">
        <v>8</v>
      </c>
      <c r="F452" s="141">
        <v>39.39</v>
      </c>
      <c r="G452" s="142"/>
      <c r="H452" s="142">
        <v>315.12</v>
      </c>
      <c r="I452" s="192">
        <v>52</v>
      </c>
    </row>
    <row r="453" spans="1:9" x14ac:dyDescent="0.65">
      <c r="A453" s="188">
        <v>40712</v>
      </c>
      <c r="B453" s="35" t="s">
        <v>1370</v>
      </c>
      <c r="C453" t="s">
        <v>7</v>
      </c>
      <c r="D453" t="s">
        <v>18</v>
      </c>
      <c r="E453" s="141">
        <v>7.5</v>
      </c>
      <c r="F453" s="141">
        <v>39.18</v>
      </c>
      <c r="G453" s="142"/>
      <c r="H453" s="142">
        <v>293.85000000000002</v>
      </c>
      <c r="I453" s="192">
        <v>52</v>
      </c>
    </row>
    <row r="454" spans="1:9" x14ac:dyDescent="0.65">
      <c r="A454" s="188">
        <v>40712</v>
      </c>
      <c r="B454" s="35" t="s">
        <v>1369</v>
      </c>
      <c r="C454" t="s">
        <v>1367</v>
      </c>
      <c r="D454" t="s">
        <v>20</v>
      </c>
      <c r="E454" s="141">
        <v>1</v>
      </c>
      <c r="F454" s="141">
        <v>169</v>
      </c>
      <c r="G454" s="142"/>
      <c r="H454" s="142">
        <v>169</v>
      </c>
      <c r="I454" s="192">
        <v>52</v>
      </c>
    </row>
    <row r="455" spans="1:9" x14ac:dyDescent="0.65">
      <c r="A455" s="188">
        <v>40712</v>
      </c>
      <c r="B455" s="35" t="s">
        <v>1336</v>
      </c>
      <c r="C455" t="s">
        <v>1371</v>
      </c>
      <c r="D455" t="s">
        <v>18</v>
      </c>
      <c r="E455" s="141">
        <v>7</v>
      </c>
      <c r="F455" s="141">
        <v>65</v>
      </c>
      <c r="G455" s="142"/>
      <c r="H455" s="142">
        <v>455</v>
      </c>
      <c r="I455" s="192">
        <v>52</v>
      </c>
    </row>
    <row r="456" spans="1:9" x14ac:dyDescent="0.65">
      <c r="A456" s="188">
        <v>40712</v>
      </c>
      <c r="B456" s="35" t="s">
        <v>1334</v>
      </c>
      <c r="C456" t="s">
        <v>1335</v>
      </c>
      <c r="D456" t="s">
        <v>18</v>
      </c>
      <c r="E456" s="141">
        <v>7</v>
      </c>
      <c r="F456" s="141">
        <v>135</v>
      </c>
      <c r="G456" s="142"/>
      <c r="H456" s="142">
        <v>945</v>
      </c>
      <c r="I456" s="192">
        <v>52</v>
      </c>
    </row>
    <row r="457" spans="1:9" x14ac:dyDescent="0.65">
      <c r="A457" s="188">
        <v>40712</v>
      </c>
      <c r="B457" s="35" t="s">
        <v>7</v>
      </c>
      <c r="C457" t="s">
        <v>7</v>
      </c>
      <c r="D457" t="s">
        <v>18</v>
      </c>
      <c r="E457" s="141">
        <v>8</v>
      </c>
      <c r="F457" s="141">
        <v>39.39</v>
      </c>
      <c r="G457" s="142"/>
      <c r="H457" s="142">
        <v>315.12</v>
      </c>
      <c r="I457" s="192">
        <v>52</v>
      </c>
    </row>
    <row r="458" spans="1:9" x14ac:dyDescent="0.65">
      <c r="A458" s="188">
        <v>40712</v>
      </c>
      <c r="B458" s="35" t="s">
        <v>1354</v>
      </c>
      <c r="C458" t="s">
        <v>1355</v>
      </c>
      <c r="D458" t="s">
        <v>98</v>
      </c>
      <c r="E458" s="141">
        <v>1</v>
      </c>
      <c r="F458" s="141">
        <v>365</v>
      </c>
      <c r="G458" s="142"/>
      <c r="H458" s="142">
        <v>365</v>
      </c>
      <c r="I458" s="192">
        <v>52</v>
      </c>
    </row>
    <row r="459" spans="1:9" x14ac:dyDescent="0.65">
      <c r="A459" s="188">
        <v>40712</v>
      </c>
      <c r="B459" s="35" t="s">
        <v>1336</v>
      </c>
      <c r="C459" t="s">
        <v>1341</v>
      </c>
      <c r="D459" t="s">
        <v>18</v>
      </c>
      <c r="E459" s="141">
        <v>7.5</v>
      </c>
      <c r="F459" s="141">
        <v>95</v>
      </c>
      <c r="G459" s="142"/>
      <c r="H459" s="142">
        <v>712.5</v>
      </c>
      <c r="I459" s="192">
        <v>52</v>
      </c>
    </row>
    <row r="460" spans="1:9" x14ac:dyDescent="0.65">
      <c r="A460" s="188">
        <v>40712</v>
      </c>
      <c r="B460" s="35" t="s">
        <v>1375</v>
      </c>
      <c r="C460" t="s">
        <v>1376</v>
      </c>
      <c r="D460" t="s">
        <v>18</v>
      </c>
      <c r="E460" s="141">
        <v>7.5</v>
      </c>
      <c r="F460" s="141">
        <v>160</v>
      </c>
      <c r="G460" s="142"/>
      <c r="H460" s="142">
        <v>1200</v>
      </c>
      <c r="I460" s="192">
        <v>52</v>
      </c>
    </row>
    <row r="461" spans="1:9" x14ac:dyDescent="0.65">
      <c r="A461" s="188">
        <v>40712</v>
      </c>
      <c r="B461" s="35" t="s">
        <v>1344</v>
      </c>
      <c r="C461" t="s">
        <v>1345</v>
      </c>
      <c r="D461" t="s">
        <v>18</v>
      </c>
      <c r="E461" s="141">
        <v>8</v>
      </c>
      <c r="F461" s="141">
        <v>80</v>
      </c>
      <c r="G461" s="142"/>
      <c r="H461" s="142">
        <v>640</v>
      </c>
      <c r="I461" s="192">
        <v>52</v>
      </c>
    </row>
    <row r="462" spans="1:9" x14ac:dyDescent="0.65">
      <c r="A462" s="188">
        <v>40712</v>
      </c>
      <c r="B462" s="35" t="s">
        <v>1336</v>
      </c>
      <c r="C462" t="s">
        <v>1342</v>
      </c>
      <c r="D462" t="s">
        <v>18</v>
      </c>
      <c r="E462" s="141">
        <v>7.5</v>
      </c>
      <c r="F462" s="141">
        <v>90</v>
      </c>
      <c r="G462" s="142"/>
      <c r="H462" s="142">
        <v>675</v>
      </c>
      <c r="I462" s="192">
        <v>52</v>
      </c>
    </row>
    <row r="463" spans="1:9" x14ac:dyDescent="0.65">
      <c r="A463" s="188">
        <v>40714</v>
      </c>
      <c r="B463" s="35" t="s">
        <v>1354</v>
      </c>
      <c r="C463" t="s">
        <v>1355</v>
      </c>
      <c r="D463" t="s">
        <v>98</v>
      </c>
      <c r="E463" s="141">
        <v>1</v>
      </c>
      <c r="F463" s="141">
        <v>365</v>
      </c>
      <c r="G463" s="142"/>
      <c r="H463" s="142">
        <v>365</v>
      </c>
      <c r="I463" s="192">
        <v>52</v>
      </c>
    </row>
    <row r="464" spans="1:9" x14ac:dyDescent="0.65">
      <c r="A464" s="188">
        <v>40714</v>
      </c>
      <c r="B464" s="35" t="s">
        <v>1370</v>
      </c>
      <c r="C464" t="s">
        <v>7</v>
      </c>
      <c r="D464" t="s">
        <v>18</v>
      </c>
      <c r="E464" s="141">
        <v>9.5</v>
      </c>
      <c r="F464" s="141">
        <v>39.18</v>
      </c>
      <c r="G464" s="142"/>
      <c r="H464" s="142">
        <v>372.21</v>
      </c>
      <c r="I464" s="192">
        <v>52</v>
      </c>
    </row>
    <row r="465" spans="1:9" x14ac:dyDescent="0.65">
      <c r="A465" s="188">
        <v>40714</v>
      </c>
      <c r="B465" s="35" t="s">
        <v>7</v>
      </c>
      <c r="C465" t="s">
        <v>7</v>
      </c>
      <c r="D465" t="s">
        <v>18</v>
      </c>
      <c r="E465" s="141">
        <v>9.5</v>
      </c>
      <c r="F465" s="141">
        <v>39.39</v>
      </c>
      <c r="G465" s="142"/>
      <c r="H465" s="142">
        <v>374.20499999999998</v>
      </c>
      <c r="I465" s="192">
        <v>52</v>
      </c>
    </row>
    <row r="466" spans="1:9" x14ac:dyDescent="0.65">
      <c r="A466" s="188">
        <v>40714</v>
      </c>
      <c r="B466" s="35" t="s">
        <v>1375</v>
      </c>
      <c r="C466" t="s">
        <v>1376</v>
      </c>
      <c r="D466" t="s">
        <v>18</v>
      </c>
      <c r="E466" s="141">
        <v>9</v>
      </c>
      <c r="F466" s="141">
        <v>160</v>
      </c>
      <c r="G466" s="142"/>
      <c r="H466" s="142">
        <v>1440</v>
      </c>
      <c r="I466" s="192">
        <v>52</v>
      </c>
    </row>
    <row r="467" spans="1:9" x14ac:dyDescent="0.65">
      <c r="A467" s="188">
        <v>40714</v>
      </c>
      <c r="B467" s="35" t="s">
        <v>1336</v>
      </c>
      <c r="C467" t="s">
        <v>1337</v>
      </c>
      <c r="D467" t="s">
        <v>18</v>
      </c>
      <c r="E467" s="141">
        <v>9.5</v>
      </c>
      <c r="F467" s="141">
        <v>95</v>
      </c>
      <c r="G467" s="142"/>
      <c r="H467" s="142">
        <v>902.5</v>
      </c>
      <c r="I467" s="192">
        <v>52</v>
      </c>
    </row>
    <row r="468" spans="1:9" x14ac:dyDescent="0.65">
      <c r="A468" s="188">
        <v>40714</v>
      </c>
      <c r="B468" s="35" t="s">
        <v>1334</v>
      </c>
      <c r="C468" t="s">
        <v>1335</v>
      </c>
      <c r="D468" t="s">
        <v>18</v>
      </c>
      <c r="E468" s="141">
        <v>8</v>
      </c>
      <c r="F468" s="141">
        <v>135</v>
      </c>
      <c r="G468" s="142"/>
      <c r="H468" s="142">
        <v>1080</v>
      </c>
      <c r="I468" s="192">
        <v>52</v>
      </c>
    </row>
    <row r="469" spans="1:9" x14ac:dyDescent="0.65">
      <c r="A469" s="188">
        <v>40714</v>
      </c>
      <c r="B469" s="35" t="s">
        <v>1336</v>
      </c>
      <c r="C469" t="s">
        <v>1341</v>
      </c>
      <c r="D469" t="s">
        <v>18</v>
      </c>
      <c r="E469" s="141">
        <v>8</v>
      </c>
      <c r="F469" s="141">
        <v>95</v>
      </c>
      <c r="G469" s="142"/>
      <c r="H469" s="142">
        <v>760</v>
      </c>
      <c r="I469" s="192">
        <v>52</v>
      </c>
    </row>
    <row r="470" spans="1:9" x14ac:dyDescent="0.65">
      <c r="A470" s="188">
        <v>40714</v>
      </c>
      <c r="B470" s="35" t="s">
        <v>1336</v>
      </c>
      <c r="C470" t="s">
        <v>1342</v>
      </c>
      <c r="D470" t="s">
        <v>18</v>
      </c>
      <c r="E470" s="141">
        <v>9.5</v>
      </c>
      <c r="F470" s="141">
        <v>90</v>
      </c>
      <c r="G470" s="142"/>
      <c r="H470" s="142">
        <v>855</v>
      </c>
      <c r="I470" s="192">
        <v>52</v>
      </c>
    </row>
    <row r="471" spans="1:9" x14ac:dyDescent="0.65">
      <c r="A471" s="188">
        <v>40714</v>
      </c>
      <c r="B471" s="35" t="s">
        <v>1356</v>
      </c>
      <c r="C471" t="s">
        <v>1357</v>
      </c>
      <c r="D471" t="s">
        <v>98</v>
      </c>
      <c r="E471" s="141">
        <v>1</v>
      </c>
      <c r="F471" s="141">
        <v>365</v>
      </c>
      <c r="G471" s="142"/>
      <c r="H471" s="142">
        <v>365</v>
      </c>
      <c r="I471" s="192">
        <v>52</v>
      </c>
    </row>
    <row r="472" spans="1:9" x14ac:dyDescent="0.65">
      <c r="A472" s="188">
        <v>40714</v>
      </c>
      <c r="B472" s="35" t="s">
        <v>1336</v>
      </c>
      <c r="C472" t="s">
        <v>1371</v>
      </c>
      <c r="D472" t="s">
        <v>18</v>
      </c>
      <c r="E472" s="141">
        <v>8</v>
      </c>
      <c r="F472" s="141">
        <v>65</v>
      </c>
      <c r="G472" s="142"/>
      <c r="H472" s="142">
        <v>520</v>
      </c>
      <c r="I472" s="192">
        <v>52</v>
      </c>
    </row>
    <row r="473" spans="1:9" x14ac:dyDescent="0.65">
      <c r="A473" s="188">
        <v>40714</v>
      </c>
      <c r="B473" s="35" t="s">
        <v>1344</v>
      </c>
      <c r="C473" t="s">
        <v>1345</v>
      </c>
      <c r="D473" t="s">
        <v>18</v>
      </c>
      <c r="E473" s="141">
        <v>6</v>
      </c>
      <c r="F473" s="141">
        <v>80</v>
      </c>
      <c r="G473" s="142"/>
      <c r="H473" s="142">
        <v>480</v>
      </c>
      <c r="I473" s="192">
        <v>52</v>
      </c>
    </row>
    <row r="474" spans="1:9" x14ac:dyDescent="0.65">
      <c r="A474" s="188">
        <v>40714</v>
      </c>
      <c r="B474" s="35" t="s">
        <v>1369</v>
      </c>
      <c r="C474" t="s">
        <v>1367</v>
      </c>
      <c r="D474" t="s">
        <v>20</v>
      </c>
      <c r="E474" s="141">
        <v>1</v>
      </c>
      <c r="F474" s="141">
        <v>169</v>
      </c>
      <c r="G474" s="142"/>
      <c r="H474" s="142">
        <v>169</v>
      </c>
      <c r="I474" s="192">
        <v>52</v>
      </c>
    </row>
    <row r="475" spans="1:9" x14ac:dyDescent="0.65">
      <c r="A475" s="188">
        <v>40714</v>
      </c>
      <c r="B475" s="35" t="s">
        <v>7</v>
      </c>
      <c r="C475" t="s">
        <v>7</v>
      </c>
      <c r="D475" t="s">
        <v>18</v>
      </c>
      <c r="E475" s="141">
        <v>9.5</v>
      </c>
      <c r="F475" s="141">
        <v>39.39</v>
      </c>
      <c r="G475" s="142"/>
      <c r="H475" s="142">
        <v>374.20499999999998</v>
      </c>
      <c r="I475" s="192">
        <v>52</v>
      </c>
    </row>
    <row r="476" spans="1:9" x14ac:dyDescent="0.65">
      <c r="A476" s="188">
        <v>40715</v>
      </c>
      <c r="B476" s="35" t="s">
        <v>1369</v>
      </c>
      <c r="C476" t="s">
        <v>1367</v>
      </c>
      <c r="D476" t="s">
        <v>20</v>
      </c>
      <c r="E476" s="141">
        <v>1</v>
      </c>
      <c r="F476" s="141">
        <v>169</v>
      </c>
      <c r="G476" s="142"/>
      <c r="H476" s="142">
        <v>169</v>
      </c>
      <c r="I476" s="192">
        <v>52</v>
      </c>
    </row>
    <row r="477" spans="1:9" x14ac:dyDescent="0.65">
      <c r="A477" s="188">
        <v>40715</v>
      </c>
      <c r="B477" s="35" t="s">
        <v>1375</v>
      </c>
      <c r="C477" t="s">
        <v>1376</v>
      </c>
      <c r="D477" t="s">
        <v>18</v>
      </c>
      <c r="E477" s="141">
        <v>8</v>
      </c>
      <c r="F477" s="141">
        <v>160</v>
      </c>
      <c r="G477" s="142"/>
      <c r="H477" s="142">
        <v>1280</v>
      </c>
      <c r="I477" s="192">
        <v>52</v>
      </c>
    </row>
    <row r="478" spans="1:9" x14ac:dyDescent="0.65">
      <c r="A478" s="188">
        <v>40715</v>
      </c>
      <c r="B478" s="35" t="s">
        <v>1354</v>
      </c>
      <c r="C478" t="s">
        <v>1355</v>
      </c>
      <c r="D478" t="s">
        <v>98</v>
      </c>
      <c r="E478" s="141">
        <v>1</v>
      </c>
      <c r="F478" s="141">
        <v>365</v>
      </c>
      <c r="G478" s="142"/>
      <c r="H478" s="142">
        <v>365</v>
      </c>
      <c r="I478" s="192">
        <v>52</v>
      </c>
    </row>
    <row r="479" spans="1:9" x14ac:dyDescent="0.65">
      <c r="A479" s="188">
        <v>40716</v>
      </c>
      <c r="B479" s="35" t="s">
        <v>1375</v>
      </c>
      <c r="C479" t="s">
        <v>1376</v>
      </c>
      <c r="D479" t="s">
        <v>18</v>
      </c>
      <c r="E479" s="141">
        <v>9.5</v>
      </c>
      <c r="F479" s="141">
        <v>160</v>
      </c>
      <c r="G479" s="142"/>
      <c r="H479" s="142">
        <v>1520</v>
      </c>
      <c r="I479" s="192">
        <v>52</v>
      </c>
    </row>
    <row r="480" spans="1:9" x14ac:dyDescent="0.65">
      <c r="A480" s="188">
        <v>40716</v>
      </c>
      <c r="B480" s="35" t="s">
        <v>1369</v>
      </c>
      <c r="C480" t="s">
        <v>1367</v>
      </c>
      <c r="D480" t="s">
        <v>20</v>
      </c>
      <c r="E480" s="141">
        <v>1</v>
      </c>
      <c r="F480" s="141">
        <v>169</v>
      </c>
      <c r="G480" s="142"/>
      <c r="H480" s="142">
        <v>169</v>
      </c>
      <c r="I480" s="192">
        <v>52</v>
      </c>
    </row>
    <row r="481" spans="1:9" x14ac:dyDescent="0.65">
      <c r="A481" s="188">
        <v>40716</v>
      </c>
      <c r="B481" s="35" t="s">
        <v>1334</v>
      </c>
      <c r="C481" t="s">
        <v>1335</v>
      </c>
      <c r="D481" t="s">
        <v>18</v>
      </c>
      <c r="E481" s="141">
        <v>5</v>
      </c>
      <c r="F481" s="141">
        <v>135</v>
      </c>
      <c r="G481" s="142"/>
      <c r="H481" s="142">
        <v>675</v>
      </c>
      <c r="I481" s="192">
        <v>52</v>
      </c>
    </row>
    <row r="482" spans="1:9" x14ac:dyDescent="0.65">
      <c r="A482" s="188">
        <v>40716</v>
      </c>
      <c r="B482" s="35" t="s">
        <v>1370</v>
      </c>
      <c r="C482" t="s">
        <v>7</v>
      </c>
      <c r="D482" t="s">
        <v>18</v>
      </c>
      <c r="E482" s="141">
        <v>6</v>
      </c>
      <c r="F482" s="141">
        <v>39.18</v>
      </c>
      <c r="G482" s="142"/>
      <c r="H482" s="142">
        <v>235.08</v>
      </c>
      <c r="I482" s="192">
        <v>52</v>
      </c>
    </row>
    <row r="483" spans="1:9" x14ac:dyDescent="0.65">
      <c r="A483" s="188">
        <v>40716</v>
      </c>
      <c r="B483" s="35" t="s">
        <v>1336</v>
      </c>
      <c r="C483" t="s">
        <v>1371</v>
      </c>
      <c r="D483" t="s">
        <v>18</v>
      </c>
      <c r="E483" s="141">
        <v>6</v>
      </c>
      <c r="F483" s="141">
        <v>65</v>
      </c>
      <c r="G483" s="142"/>
      <c r="H483" s="142">
        <v>390</v>
      </c>
      <c r="I483" s="192">
        <v>52</v>
      </c>
    </row>
    <row r="484" spans="1:9" x14ac:dyDescent="0.65">
      <c r="A484" s="188">
        <v>40717</v>
      </c>
      <c r="B484" s="35" t="s">
        <v>1375</v>
      </c>
      <c r="C484" t="s">
        <v>1376</v>
      </c>
      <c r="D484" t="s">
        <v>18</v>
      </c>
      <c r="E484" s="141">
        <v>9.5</v>
      </c>
      <c r="F484" s="141">
        <v>160</v>
      </c>
      <c r="G484" s="142"/>
      <c r="H484" s="142">
        <v>1520</v>
      </c>
      <c r="I484" s="192">
        <v>52</v>
      </c>
    </row>
    <row r="485" spans="1:9" x14ac:dyDescent="0.65">
      <c r="A485" s="188">
        <v>40717</v>
      </c>
      <c r="B485" s="35" t="s">
        <v>1369</v>
      </c>
      <c r="C485" t="s">
        <v>1367</v>
      </c>
      <c r="D485" t="s">
        <v>20</v>
      </c>
      <c r="E485" s="141">
        <v>1</v>
      </c>
      <c r="F485" s="141">
        <v>169</v>
      </c>
      <c r="G485" s="142"/>
      <c r="H485" s="142">
        <v>169</v>
      </c>
      <c r="I485" s="192">
        <v>52</v>
      </c>
    </row>
    <row r="486" spans="1:9" x14ac:dyDescent="0.65">
      <c r="A486" s="188">
        <v>40721</v>
      </c>
      <c r="B486" s="35" t="s">
        <v>1336</v>
      </c>
      <c r="C486" t="s">
        <v>1342</v>
      </c>
      <c r="D486" t="s">
        <v>18</v>
      </c>
      <c r="E486" s="141">
        <v>4</v>
      </c>
      <c r="F486" s="141">
        <v>90</v>
      </c>
      <c r="G486" s="142"/>
      <c r="H486" s="142">
        <v>360</v>
      </c>
      <c r="I486" s="192">
        <v>52</v>
      </c>
    </row>
    <row r="487" spans="1:9" x14ac:dyDescent="0.65">
      <c r="A487" s="188">
        <v>40721</v>
      </c>
      <c r="B487" s="35" t="s">
        <v>1375</v>
      </c>
      <c r="C487" t="s">
        <v>1376</v>
      </c>
      <c r="D487" t="s">
        <v>18</v>
      </c>
      <c r="E487" s="141">
        <v>9</v>
      </c>
      <c r="F487" s="141">
        <v>160</v>
      </c>
      <c r="G487" s="142"/>
      <c r="H487" s="142">
        <v>1440</v>
      </c>
      <c r="I487" s="192">
        <v>52</v>
      </c>
    </row>
    <row r="488" spans="1:9" x14ac:dyDescent="0.65">
      <c r="A488" s="188">
        <v>40721</v>
      </c>
      <c r="B488" s="35" t="s">
        <v>1334</v>
      </c>
      <c r="C488" t="s">
        <v>1335</v>
      </c>
      <c r="D488" t="s">
        <v>18</v>
      </c>
      <c r="E488" s="141">
        <v>4</v>
      </c>
      <c r="F488" s="141">
        <v>135</v>
      </c>
      <c r="G488" s="142"/>
      <c r="H488" s="142">
        <v>540</v>
      </c>
      <c r="I488" s="192">
        <v>52</v>
      </c>
    </row>
    <row r="489" spans="1:9" x14ac:dyDescent="0.65">
      <c r="A489" s="188">
        <v>40725</v>
      </c>
      <c r="B489" s="35" t="s">
        <v>1354</v>
      </c>
      <c r="C489" t="s">
        <v>1355</v>
      </c>
      <c r="D489" t="s">
        <v>98</v>
      </c>
      <c r="E489" s="141">
        <v>1</v>
      </c>
      <c r="F489" s="141">
        <v>365</v>
      </c>
      <c r="G489" s="142"/>
      <c r="H489" s="142">
        <v>365</v>
      </c>
      <c r="I489" s="192">
        <v>52</v>
      </c>
    </row>
    <row r="490" spans="1:9" x14ac:dyDescent="0.65">
      <c r="A490" s="188">
        <v>40728</v>
      </c>
      <c r="B490" s="35" t="s">
        <v>1334</v>
      </c>
      <c r="C490" t="s">
        <v>1335</v>
      </c>
      <c r="D490" t="s">
        <v>18</v>
      </c>
      <c r="E490" s="141">
        <v>9</v>
      </c>
      <c r="F490" s="141">
        <v>135</v>
      </c>
      <c r="G490" s="142"/>
      <c r="H490" s="142">
        <v>1215</v>
      </c>
      <c r="I490" s="192">
        <v>52</v>
      </c>
    </row>
    <row r="491" spans="1:9" x14ac:dyDescent="0.65">
      <c r="A491" s="188">
        <v>40728</v>
      </c>
      <c r="B491" s="35" t="s">
        <v>1344</v>
      </c>
      <c r="C491" t="s">
        <v>1345</v>
      </c>
      <c r="D491" t="s">
        <v>18</v>
      </c>
      <c r="E491" s="141">
        <v>9</v>
      </c>
      <c r="F491" s="141">
        <v>80</v>
      </c>
      <c r="G491" s="142"/>
      <c r="H491" s="142">
        <v>720</v>
      </c>
      <c r="I491" s="192">
        <v>52</v>
      </c>
    </row>
    <row r="492" spans="1:9" x14ac:dyDescent="0.65">
      <c r="A492" s="188">
        <v>40728</v>
      </c>
      <c r="B492" s="35" t="s">
        <v>1336</v>
      </c>
      <c r="C492" t="s">
        <v>1341</v>
      </c>
      <c r="D492" t="s">
        <v>18</v>
      </c>
      <c r="E492" s="141">
        <v>10</v>
      </c>
      <c r="F492" s="141">
        <v>95</v>
      </c>
      <c r="G492" s="142"/>
      <c r="H492" s="142">
        <v>950</v>
      </c>
      <c r="I492" s="192">
        <v>52</v>
      </c>
    </row>
    <row r="493" spans="1:9" x14ac:dyDescent="0.65">
      <c r="A493" s="188">
        <v>40728</v>
      </c>
      <c r="B493" s="35" t="s">
        <v>1336</v>
      </c>
      <c r="C493" t="s">
        <v>1342</v>
      </c>
      <c r="D493" t="s">
        <v>18</v>
      </c>
      <c r="E493" s="141">
        <v>9</v>
      </c>
      <c r="F493" s="141">
        <v>90</v>
      </c>
      <c r="G493" s="142"/>
      <c r="H493" s="142">
        <v>810</v>
      </c>
      <c r="I493" s="192">
        <v>52</v>
      </c>
    </row>
    <row r="494" spans="1:9" x14ac:dyDescent="0.65">
      <c r="A494" s="188">
        <v>40728</v>
      </c>
      <c r="B494" s="35" t="s">
        <v>1377</v>
      </c>
      <c r="C494" t="s">
        <v>1378</v>
      </c>
      <c r="D494" t="s">
        <v>451</v>
      </c>
      <c r="E494" s="141">
        <v>9.5</v>
      </c>
      <c r="F494" s="141">
        <v>32.200000000000003</v>
      </c>
      <c r="G494" s="142"/>
      <c r="H494" s="142">
        <v>305.89999999999998</v>
      </c>
      <c r="I494" s="192">
        <v>52</v>
      </c>
    </row>
    <row r="495" spans="1:9" x14ac:dyDescent="0.65">
      <c r="A495" s="188">
        <v>40728</v>
      </c>
      <c r="B495" s="35" t="s">
        <v>7</v>
      </c>
      <c r="C495" t="s">
        <v>7</v>
      </c>
      <c r="D495" t="s">
        <v>18</v>
      </c>
      <c r="E495" s="141">
        <v>7.5</v>
      </c>
      <c r="F495" s="141">
        <v>39.39</v>
      </c>
      <c r="G495" s="142"/>
      <c r="H495" s="142">
        <v>295.42500000000001</v>
      </c>
      <c r="I495" s="192">
        <v>52</v>
      </c>
    </row>
    <row r="496" spans="1:9" x14ac:dyDescent="0.65">
      <c r="A496" s="188">
        <v>40728</v>
      </c>
      <c r="B496" s="35" t="s">
        <v>1370</v>
      </c>
      <c r="C496" t="s">
        <v>7</v>
      </c>
      <c r="D496" t="s">
        <v>18</v>
      </c>
      <c r="E496" s="141">
        <v>7.5</v>
      </c>
      <c r="F496" s="141">
        <v>39.18</v>
      </c>
      <c r="G496" s="142"/>
      <c r="H496" s="142">
        <v>293.85000000000002</v>
      </c>
      <c r="I496" s="192">
        <v>52</v>
      </c>
    </row>
    <row r="497" spans="1:9" x14ac:dyDescent="0.65">
      <c r="A497" s="188">
        <v>40728</v>
      </c>
      <c r="B497" s="35" t="s">
        <v>1336</v>
      </c>
      <c r="C497" t="s">
        <v>1371</v>
      </c>
      <c r="D497" t="s">
        <v>18</v>
      </c>
      <c r="E497" s="141">
        <v>9.5</v>
      </c>
      <c r="F497" s="141">
        <v>65</v>
      </c>
      <c r="G497" s="142"/>
      <c r="H497" s="142">
        <v>617.5</v>
      </c>
      <c r="I497" s="192">
        <v>52</v>
      </c>
    </row>
    <row r="498" spans="1:9" x14ac:dyDescent="0.65">
      <c r="A498" s="188">
        <v>40728</v>
      </c>
      <c r="B498" s="35" t="s">
        <v>1354</v>
      </c>
      <c r="C498" t="s">
        <v>1355</v>
      </c>
      <c r="D498" t="s">
        <v>98</v>
      </c>
      <c r="E498" s="141">
        <v>1</v>
      </c>
      <c r="F498" s="141">
        <v>365</v>
      </c>
      <c r="G498" s="142"/>
      <c r="H498" s="142">
        <v>365</v>
      </c>
      <c r="I498" s="192">
        <v>52</v>
      </c>
    </row>
    <row r="499" spans="1:9" x14ac:dyDescent="0.65">
      <c r="A499" s="188">
        <v>40728</v>
      </c>
      <c r="B499" s="35" t="s">
        <v>7</v>
      </c>
      <c r="C499" t="s">
        <v>7</v>
      </c>
      <c r="D499" t="s">
        <v>18</v>
      </c>
      <c r="E499" s="141">
        <v>9.5</v>
      </c>
      <c r="F499" s="141">
        <v>39.39</v>
      </c>
      <c r="G499" s="142"/>
      <c r="H499" s="142">
        <v>374.20499999999998</v>
      </c>
      <c r="I499" s="192">
        <v>52</v>
      </c>
    </row>
    <row r="500" spans="1:9" x14ac:dyDescent="0.65">
      <c r="A500" s="188">
        <v>40728</v>
      </c>
      <c r="B500" s="35" t="s">
        <v>1336</v>
      </c>
      <c r="C500" t="s">
        <v>1337</v>
      </c>
      <c r="D500" t="s">
        <v>18</v>
      </c>
      <c r="E500" s="141">
        <v>9</v>
      </c>
      <c r="F500" s="141">
        <v>95</v>
      </c>
      <c r="G500" s="142"/>
      <c r="H500" s="142">
        <v>855</v>
      </c>
      <c r="I500" s="192">
        <v>52</v>
      </c>
    </row>
    <row r="501" spans="1:9" x14ac:dyDescent="0.65">
      <c r="A501" s="188">
        <v>40729</v>
      </c>
      <c r="B501" s="35" t="s">
        <v>1356</v>
      </c>
      <c r="C501" t="s">
        <v>1357</v>
      </c>
      <c r="D501" t="s">
        <v>98</v>
      </c>
      <c r="E501" s="141">
        <v>1</v>
      </c>
      <c r="F501" s="141">
        <v>365</v>
      </c>
      <c r="G501" s="142"/>
      <c r="H501" s="142">
        <v>365</v>
      </c>
      <c r="I501" s="192">
        <v>52</v>
      </c>
    </row>
    <row r="502" spans="1:9" x14ac:dyDescent="0.65">
      <c r="A502" s="188">
        <v>40729</v>
      </c>
      <c r="B502" s="35" t="s">
        <v>1336</v>
      </c>
      <c r="C502" t="s">
        <v>1341</v>
      </c>
      <c r="D502" t="s">
        <v>18</v>
      </c>
      <c r="E502" s="141">
        <v>9.5</v>
      </c>
      <c r="F502" s="141">
        <v>95</v>
      </c>
      <c r="G502" s="142"/>
      <c r="H502" s="142">
        <v>902.5</v>
      </c>
      <c r="I502" s="192">
        <v>52</v>
      </c>
    </row>
    <row r="503" spans="1:9" x14ac:dyDescent="0.65">
      <c r="A503" s="188">
        <v>40729</v>
      </c>
      <c r="B503" s="35" t="s">
        <v>1336</v>
      </c>
      <c r="C503" t="s">
        <v>1342</v>
      </c>
      <c r="D503" t="s">
        <v>18</v>
      </c>
      <c r="E503" s="141">
        <v>9.5</v>
      </c>
      <c r="F503" s="141">
        <v>90</v>
      </c>
      <c r="G503" s="142"/>
      <c r="H503" s="142">
        <v>855</v>
      </c>
      <c r="I503" s="192">
        <v>52</v>
      </c>
    </row>
    <row r="504" spans="1:9" x14ac:dyDescent="0.65">
      <c r="A504" s="188">
        <v>40729</v>
      </c>
      <c r="B504" s="35" t="s">
        <v>1369</v>
      </c>
      <c r="C504" t="s">
        <v>1367</v>
      </c>
      <c r="D504" t="s">
        <v>20</v>
      </c>
      <c r="E504" s="141">
        <v>2</v>
      </c>
      <c r="F504" s="141">
        <v>169</v>
      </c>
      <c r="G504" s="142"/>
      <c r="H504" s="142">
        <v>338</v>
      </c>
      <c r="I504" s="192">
        <v>52</v>
      </c>
    </row>
    <row r="505" spans="1:9" x14ac:dyDescent="0.65">
      <c r="A505" s="188">
        <v>40729</v>
      </c>
      <c r="B505" s="35" t="s">
        <v>1344</v>
      </c>
      <c r="C505" t="s">
        <v>1345</v>
      </c>
      <c r="D505" t="s">
        <v>18</v>
      </c>
      <c r="E505" s="141">
        <v>9</v>
      </c>
      <c r="F505" s="141">
        <v>80</v>
      </c>
      <c r="G505" s="142"/>
      <c r="H505" s="142">
        <v>720</v>
      </c>
      <c r="I505" s="192">
        <v>52</v>
      </c>
    </row>
    <row r="506" spans="1:9" x14ac:dyDescent="0.65">
      <c r="A506" s="188">
        <v>40729</v>
      </c>
      <c r="B506" s="35" t="s">
        <v>1354</v>
      </c>
      <c r="C506" t="s">
        <v>1355</v>
      </c>
      <c r="D506" t="s">
        <v>98</v>
      </c>
      <c r="E506" s="141">
        <v>1</v>
      </c>
      <c r="F506" s="141">
        <v>365</v>
      </c>
      <c r="G506" s="142"/>
      <c r="H506" s="142">
        <v>365</v>
      </c>
      <c r="I506" s="192">
        <v>52</v>
      </c>
    </row>
    <row r="507" spans="1:9" x14ac:dyDescent="0.65">
      <c r="A507" s="188">
        <v>40729</v>
      </c>
      <c r="B507" s="35" t="s">
        <v>1336</v>
      </c>
      <c r="C507" t="s">
        <v>1337</v>
      </c>
      <c r="D507" t="s">
        <v>18</v>
      </c>
      <c r="E507" s="141">
        <v>9.5</v>
      </c>
      <c r="F507" s="141">
        <v>95</v>
      </c>
      <c r="G507" s="142"/>
      <c r="H507" s="142">
        <v>902.5</v>
      </c>
      <c r="I507" s="192">
        <v>52</v>
      </c>
    </row>
    <row r="508" spans="1:9" x14ac:dyDescent="0.65">
      <c r="A508" s="188">
        <v>40729</v>
      </c>
      <c r="B508" s="35" t="s">
        <v>1377</v>
      </c>
      <c r="C508" t="s">
        <v>1378</v>
      </c>
      <c r="D508" t="s">
        <v>451</v>
      </c>
      <c r="E508" s="141">
        <v>9.5</v>
      </c>
      <c r="F508" s="141">
        <v>32.200000000000003</v>
      </c>
      <c r="G508" s="142"/>
      <c r="H508" s="142">
        <v>305.89999999999998</v>
      </c>
      <c r="I508" s="192">
        <v>52</v>
      </c>
    </row>
    <row r="509" spans="1:9" x14ac:dyDescent="0.65">
      <c r="A509" s="188">
        <v>40729</v>
      </c>
      <c r="B509" s="35" t="s">
        <v>7</v>
      </c>
      <c r="C509" t="s">
        <v>7</v>
      </c>
      <c r="D509" t="s">
        <v>18</v>
      </c>
      <c r="E509" s="141">
        <v>9.5</v>
      </c>
      <c r="F509" s="141">
        <v>39.39</v>
      </c>
      <c r="G509" s="142"/>
      <c r="H509" s="142">
        <v>374.20499999999998</v>
      </c>
      <c r="I509" s="192">
        <v>52</v>
      </c>
    </row>
    <row r="510" spans="1:9" x14ac:dyDescent="0.65">
      <c r="A510" s="188">
        <v>40729</v>
      </c>
      <c r="B510" s="35" t="s">
        <v>1370</v>
      </c>
      <c r="C510" t="s">
        <v>7</v>
      </c>
      <c r="D510" t="s">
        <v>18</v>
      </c>
      <c r="E510" s="141">
        <v>7.5</v>
      </c>
      <c r="F510" s="141">
        <v>39.18</v>
      </c>
      <c r="G510" s="142"/>
      <c r="H510" s="142">
        <v>293.85000000000002</v>
      </c>
      <c r="I510" s="192">
        <v>52</v>
      </c>
    </row>
    <row r="511" spans="1:9" x14ac:dyDescent="0.65">
      <c r="A511" s="188">
        <v>40729</v>
      </c>
      <c r="B511" s="35" t="s">
        <v>1334</v>
      </c>
      <c r="C511" t="s">
        <v>1335</v>
      </c>
      <c r="D511" t="s">
        <v>18</v>
      </c>
      <c r="E511" s="141">
        <v>9</v>
      </c>
      <c r="F511" s="141">
        <v>135</v>
      </c>
      <c r="G511" s="142"/>
      <c r="H511" s="142">
        <v>1215</v>
      </c>
      <c r="I511" s="192">
        <v>52</v>
      </c>
    </row>
    <row r="512" spans="1:9" x14ac:dyDescent="0.65">
      <c r="A512" s="188">
        <v>40729</v>
      </c>
      <c r="B512" s="35" t="s">
        <v>7</v>
      </c>
      <c r="C512" t="s">
        <v>7</v>
      </c>
      <c r="D512" t="s">
        <v>18</v>
      </c>
      <c r="E512" s="141">
        <v>9.5</v>
      </c>
      <c r="F512" s="141">
        <v>39.39</v>
      </c>
      <c r="G512" s="142"/>
      <c r="H512" s="142">
        <v>374.20499999999998</v>
      </c>
      <c r="I512" s="192">
        <v>52</v>
      </c>
    </row>
    <row r="513" spans="1:9" x14ac:dyDescent="0.65">
      <c r="A513" s="188">
        <v>40729</v>
      </c>
      <c r="B513" s="35" t="s">
        <v>1336</v>
      </c>
      <c r="C513" t="s">
        <v>1371</v>
      </c>
      <c r="D513" t="s">
        <v>18</v>
      </c>
      <c r="E513" s="141">
        <v>7</v>
      </c>
      <c r="F513" s="141">
        <v>65</v>
      </c>
      <c r="G513" s="142"/>
      <c r="H513" s="142">
        <v>455</v>
      </c>
      <c r="I513" s="192">
        <v>52</v>
      </c>
    </row>
    <row r="514" spans="1:9" x14ac:dyDescent="0.65">
      <c r="A514" s="188">
        <v>40730</v>
      </c>
      <c r="B514" s="35" t="s">
        <v>1336</v>
      </c>
      <c r="C514" t="s">
        <v>1342</v>
      </c>
      <c r="D514" t="s">
        <v>18</v>
      </c>
      <c r="E514" s="141">
        <v>9.5</v>
      </c>
      <c r="F514" s="141">
        <v>90</v>
      </c>
      <c r="G514" s="142"/>
      <c r="H514" s="142">
        <v>855</v>
      </c>
      <c r="I514" s="192">
        <v>52</v>
      </c>
    </row>
    <row r="515" spans="1:9" x14ac:dyDescent="0.65">
      <c r="A515" s="188">
        <v>40730</v>
      </c>
      <c r="B515" s="35" t="s">
        <v>1336</v>
      </c>
      <c r="C515" t="s">
        <v>1337</v>
      </c>
      <c r="D515" t="s">
        <v>18</v>
      </c>
      <c r="E515" s="141">
        <v>9</v>
      </c>
      <c r="F515" s="141">
        <v>95</v>
      </c>
      <c r="G515" s="142"/>
      <c r="H515" s="142">
        <v>855</v>
      </c>
      <c r="I515" s="192">
        <v>52</v>
      </c>
    </row>
    <row r="516" spans="1:9" x14ac:dyDescent="0.65">
      <c r="A516" s="188">
        <v>40730</v>
      </c>
      <c r="B516" s="35" t="s">
        <v>1334</v>
      </c>
      <c r="C516" t="s">
        <v>1335</v>
      </c>
      <c r="D516" t="s">
        <v>18</v>
      </c>
      <c r="E516" s="141">
        <v>9</v>
      </c>
      <c r="F516" s="141">
        <v>135</v>
      </c>
      <c r="G516" s="142"/>
      <c r="H516" s="142">
        <v>1215</v>
      </c>
      <c r="I516" s="192">
        <v>52</v>
      </c>
    </row>
    <row r="517" spans="1:9" x14ac:dyDescent="0.65">
      <c r="A517" s="188">
        <v>40730</v>
      </c>
      <c r="B517" s="35" t="s">
        <v>1344</v>
      </c>
      <c r="C517" t="s">
        <v>1345</v>
      </c>
      <c r="D517" t="s">
        <v>18</v>
      </c>
      <c r="E517" s="141">
        <v>8</v>
      </c>
      <c r="F517" s="141">
        <v>80</v>
      </c>
      <c r="G517" s="142"/>
      <c r="H517" s="142">
        <v>640</v>
      </c>
      <c r="I517" s="192">
        <v>52</v>
      </c>
    </row>
    <row r="518" spans="1:9" x14ac:dyDescent="0.65">
      <c r="A518" s="188">
        <v>40730</v>
      </c>
      <c r="B518" s="35" t="s">
        <v>1354</v>
      </c>
      <c r="C518" t="s">
        <v>1355</v>
      </c>
      <c r="D518" t="s">
        <v>98</v>
      </c>
      <c r="E518" s="141">
        <v>1</v>
      </c>
      <c r="F518" s="141">
        <v>365</v>
      </c>
      <c r="G518" s="142"/>
      <c r="H518" s="142">
        <v>365</v>
      </c>
      <c r="I518" s="192">
        <v>52</v>
      </c>
    </row>
    <row r="519" spans="1:9" x14ac:dyDescent="0.65">
      <c r="A519" s="188">
        <v>40730</v>
      </c>
      <c r="B519" s="35" t="s">
        <v>1356</v>
      </c>
      <c r="C519" t="s">
        <v>1357</v>
      </c>
      <c r="D519" t="s">
        <v>98</v>
      </c>
      <c r="E519" s="141">
        <v>1</v>
      </c>
      <c r="F519" s="141">
        <v>365</v>
      </c>
      <c r="G519" s="142"/>
      <c r="H519" s="142">
        <v>365</v>
      </c>
      <c r="I519" s="192">
        <v>52</v>
      </c>
    </row>
    <row r="520" spans="1:9" x14ac:dyDescent="0.65">
      <c r="A520" s="188">
        <v>40730</v>
      </c>
      <c r="B520" s="35" t="s">
        <v>7</v>
      </c>
      <c r="C520" t="s">
        <v>7</v>
      </c>
      <c r="D520" t="s">
        <v>18</v>
      </c>
      <c r="E520" s="141">
        <v>9.5</v>
      </c>
      <c r="F520" s="141">
        <v>39.39</v>
      </c>
      <c r="G520" s="142"/>
      <c r="H520" s="142">
        <v>374.20499999999998</v>
      </c>
      <c r="I520" s="192">
        <v>52</v>
      </c>
    </row>
    <row r="521" spans="1:9" x14ac:dyDescent="0.65">
      <c r="A521" s="188">
        <v>40730</v>
      </c>
      <c r="B521" s="35" t="s">
        <v>7</v>
      </c>
      <c r="C521" t="s">
        <v>7</v>
      </c>
      <c r="D521" t="s">
        <v>18</v>
      </c>
      <c r="E521" s="141">
        <v>9.5</v>
      </c>
      <c r="F521" s="141">
        <v>39.39</v>
      </c>
      <c r="G521" s="142"/>
      <c r="H521" s="142">
        <v>374.20499999999998</v>
      </c>
      <c r="I521" s="192">
        <v>52</v>
      </c>
    </row>
    <row r="522" spans="1:9" x14ac:dyDescent="0.65">
      <c r="A522" s="188">
        <v>40730</v>
      </c>
      <c r="B522" s="35" t="s">
        <v>1370</v>
      </c>
      <c r="C522" t="s">
        <v>7</v>
      </c>
      <c r="D522" t="s">
        <v>18</v>
      </c>
      <c r="E522" s="141">
        <v>10</v>
      </c>
      <c r="F522" s="141">
        <v>39.18</v>
      </c>
      <c r="G522" s="142"/>
      <c r="H522" s="142">
        <v>391.8</v>
      </c>
      <c r="I522" s="192">
        <v>52</v>
      </c>
    </row>
    <row r="523" spans="1:9" x14ac:dyDescent="0.65">
      <c r="A523" s="188">
        <v>40730</v>
      </c>
      <c r="B523" s="35" t="s">
        <v>1336</v>
      </c>
      <c r="C523" t="s">
        <v>1371</v>
      </c>
      <c r="D523" t="s">
        <v>18</v>
      </c>
      <c r="E523" s="141">
        <v>9.5</v>
      </c>
      <c r="F523" s="141">
        <v>65</v>
      </c>
      <c r="G523" s="142"/>
      <c r="H523" s="142">
        <v>617.5</v>
      </c>
      <c r="I523" s="192">
        <v>52</v>
      </c>
    </row>
    <row r="524" spans="1:9" x14ac:dyDescent="0.65">
      <c r="A524" s="188">
        <v>40730</v>
      </c>
      <c r="B524" s="35" t="s">
        <v>1377</v>
      </c>
      <c r="C524" t="s">
        <v>1378</v>
      </c>
      <c r="D524" t="s">
        <v>451</v>
      </c>
      <c r="E524" s="141">
        <v>9.5</v>
      </c>
      <c r="F524" s="141">
        <v>32.200000000000003</v>
      </c>
      <c r="G524" s="142"/>
      <c r="H524" s="142">
        <v>305.89999999999998</v>
      </c>
      <c r="I524" s="192">
        <v>52</v>
      </c>
    </row>
    <row r="525" spans="1:9" x14ac:dyDescent="0.65">
      <c r="A525" s="188">
        <v>40731</v>
      </c>
      <c r="B525" s="35" t="s">
        <v>1336</v>
      </c>
      <c r="C525" t="s">
        <v>1342</v>
      </c>
      <c r="D525" t="s">
        <v>18</v>
      </c>
      <c r="E525" s="141">
        <v>9.5</v>
      </c>
      <c r="F525" s="141">
        <v>90</v>
      </c>
      <c r="G525" s="142"/>
      <c r="H525" s="142">
        <v>855</v>
      </c>
      <c r="I525" s="192">
        <v>52</v>
      </c>
    </row>
    <row r="526" spans="1:9" x14ac:dyDescent="0.65">
      <c r="A526" s="188">
        <v>40731</v>
      </c>
      <c r="B526" s="35" t="s">
        <v>1336</v>
      </c>
      <c r="C526" t="s">
        <v>1337</v>
      </c>
      <c r="D526" t="s">
        <v>18</v>
      </c>
      <c r="E526" s="141">
        <v>9</v>
      </c>
      <c r="F526" s="141">
        <v>95</v>
      </c>
      <c r="G526" s="142"/>
      <c r="H526" s="142">
        <v>855</v>
      </c>
      <c r="I526" s="192">
        <v>52</v>
      </c>
    </row>
    <row r="527" spans="1:9" x14ac:dyDescent="0.65">
      <c r="A527" s="188">
        <v>40731</v>
      </c>
      <c r="B527" s="35" t="s">
        <v>1334</v>
      </c>
      <c r="C527" t="s">
        <v>1335</v>
      </c>
      <c r="D527" t="s">
        <v>18</v>
      </c>
      <c r="E527" s="141">
        <v>9</v>
      </c>
      <c r="F527" s="141">
        <v>135</v>
      </c>
      <c r="G527" s="142"/>
      <c r="H527" s="142">
        <v>1215</v>
      </c>
      <c r="I527" s="192">
        <v>52</v>
      </c>
    </row>
    <row r="528" spans="1:9" x14ac:dyDescent="0.65">
      <c r="A528" s="188">
        <v>40731</v>
      </c>
      <c r="B528" s="35" t="s">
        <v>1344</v>
      </c>
      <c r="C528" t="s">
        <v>1345</v>
      </c>
      <c r="D528" t="s">
        <v>18</v>
      </c>
      <c r="E528" s="141">
        <v>9</v>
      </c>
      <c r="F528" s="141">
        <v>80</v>
      </c>
      <c r="G528" s="142"/>
      <c r="H528" s="142">
        <v>720</v>
      </c>
      <c r="I528" s="192">
        <v>52</v>
      </c>
    </row>
    <row r="529" spans="1:9" x14ac:dyDescent="0.65">
      <c r="A529" s="188">
        <v>40731</v>
      </c>
      <c r="B529" s="35" t="s">
        <v>1354</v>
      </c>
      <c r="C529" t="s">
        <v>1355</v>
      </c>
      <c r="D529" t="s">
        <v>98</v>
      </c>
      <c r="E529" s="141">
        <v>1</v>
      </c>
      <c r="F529" s="141">
        <v>365</v>
      </c>
      <c r="G529" s="142"/>
      <c r="H529" s="142">
        <v>365</v>
      </c>
      <c r="I529" s="192">
        <v>52</v>
      </c>
    </row>
    <row r="530" spans="1:9" x14ac:dyDescent="0.65">
      <c r="A530" s="188">
        <v>40731</v>
      </c>
      <c r="B530" s="35" t="s">
        <v>1356</v>
      </c>
      <c r="C530" t="s">
        <v>1357</v>
      </c>
      <c r="D530" t="s">
        <v>98</v>
      </c>
      <c r="E530" s="141">
        <v>1</v>
      </c>
      <c r="F530" s="141">
        <v>365</v>
      </c>
      <c r="G530" s="142"/>
      <c r="H530" s="142">
        <v>365</v>
      </c>
      <c r="I530" s="192">
        <v>52</v>
      </c>
    </row>
    <row r="531" spans="1:9" x14ac:dyDescent="0.65">
      <c r="A531" s="188">
        <v>40731</v>
      </c>
      <c r="B531" s="35" t="s">
        <v>1336</v>
      </c>
      <c r="C531" t="s">
        <v>1371</v>
      </c>
      <c r="D531" t="s">
        <v>18</v>
      </c>
      <c r="E531" s="141">
        <v>9.5</v>
      </c>
      <c r="F531" s="141">
        <v>65</v>
      </c>
      <c r="G531" s="142"/>
      <c r="H531" s="142">
        <v>617.5</v>
      </c>
      <c r="I531" s="192">
        <v>52</v>
      </c>
    </row>
    <row r="532" spans="1:9" x14ac:dyDescent="0.65">
      <c r="A532" s="188">
        <v>40731</v>
      </c>
      <c r="B532" s="35" t="s">
        <v>7</v>
      </c>
      <c r="C532" t="s">
        <v>7</v>
      </c>
      <c r="D532" t="s">
        <v>18</v>
      </c>
      <c r="E532" s="141">
        <v>9.5</v>
      </c>
      <c r="F532" s="141">
        <v>39.39</v>
      </c>
      <c r="G532" s="142"/>
      <c r="H532" s="142">
        <v>374.20499999999998</v>
      </c>
      <c r="I532" s="192">
        <v>52</v>
      </c>
    </row>
    <row r="533" spans="1:9" x14ac:dyDescent="0.65">
      <c r="A533" s="188">
        <v>40731</v>
      </c>
      <c r="B533" s="35" t="s">
        <v>7</v>
      </c>
      <c r="C533" t="s">
        <v>7</v>
      </c>
      <c r="D533" t="s">
        <v>18</v>
      </c>
      <c r="E533" s="141">
        <v>9.5</v>
      </c>
      <c r="F533" s="141">
        <v>39.39</v>
      </c>
      <c r="G533" s="142"/>
      <c r="H533" s="142">
        <v>374.20499999999998</v>
      </c>
      <c r="I533" s="192">
        <v>52</v>
      </c>
    </row>
    <row r="534" spans="1:9" x14ac:dyDescent="0.65">
      <c r="A534" s="188">
        <v>40731</v>
      </c>
      <c r="B534" s="35" t="s">
        <v>1377</v>
      </c>
      <c r="C534" t="s">
        <v>1378</v>
      </c>
      <c r="D534" t="s">
        <v>451</v>
      </c>
      <c r="E534" s="141">
        <v>9.5</v>
      </c>
      <c r="F534" s="141">
        <v>32.200000000000003</v>
      </c>
      <c r="G534" s="142"/>
      <c r="H534" s="142">
        <v>305.89999999999998</v>
      </c>
      <c r="I534" s="192">
        <v>52</v>
      </c>
    </row>
    <row r="535" spans="1:9" x14ac:dyDescent="0.65">
      <c r="A535" s="188">
        <v>40731</v>
      </c>
      <c r="B535" s="35" t="s">
        <v>1370</v>
      </c>
      <c r="C535" t="s">
        <v>7</v>
      </c>
      <c r="D535" t="s">
        <v>18</v>
      </c>
      <c r="E535" s="141">
        <v>9.5</v>
      </c>
      <c r="F535" s="141">
        <v>39.18</v>
      </c>
      <c r="G535" s="142"/>
      <c r="H535" s="142">
        <v>372.21</v>
      </c>
      <c r="I535" s="192">
        <v>52</v>
      </c>
    </row>
    <row r="536" spans="1:9" x14ac:dyDescent="0.65">
      <c r="A536" s="188">
        <v>40732</v>
      </c>
      <c r="B536" s="35" t="s">
        <v>1336</v>
      </c>
      <c r="C536" t="s">
        <v>1371</v>
      </c>
      <c r="D536" t="s">
        <v>18</v>
      </c>
      <c r="E536" s="141">
        <v>5</v>
      </c>
      <c r="F536" s="141">
        <v>65</v>
      </c>
      <c r="G536" s="142"/>
      <c r="H536" s="142">
        <v>325</v>
      </c>
      <c r="I536" s="192">
        <v>52</v>
      </c>
    </row>
    <row r="537" spans="1:9" x14ac:dyDescent="0.65">
      <c r="A537" s="188">
        <v>40732</v>
      </c>
      <c r="B537" s="35" t="s">
        <v>1377</v>
      </c>
      <c r="C537" t="s">
        <v>1378</v>
      </c>
      <c r="D537" t="s">
        <v>451</v>
      </c>
      <c r="E537" s="141">
        <v>8.5</v>
      </c>
      <c r="F537" s="141">
        <v>32.200000000000003</v>
      </c>
      <c r="G537" s="142"/>
      <c r="H537" s="142">
        <v>273.7</v>
      </c>
      <c r="I537" s="192">
        <v>52</v>
      </c>
    </row>
    <row r="538" spans="1:9" x14ac:dyDescent="0.65">
      <c r="A538" s="188">
        <v>40732</v>
      </c>
      <c r="B538" s="35" t="s">
        <v>1370</v>
      </c>
      <c r="C538" t="s">
        <v>7</v>
      </c>
      <c r="D538" t="s">
        <v>18</v>
      </c>
      <c r="E538" s="141">
        <v>7</v>
      </c>
      <c r="F538" s="141">
        <v>39.18</v>
      </c>
      <c r="G538" s="142"/>
      <c r="H538" s="142">
        <v>274.26</v>
      </c>
      <c r="I538" s="192">
        <v>52</v>
      </c>
    </row>
    <row r="539" spans="1:9" x14ac:dyDescent="0.65">
      <c r="A539" s="188">
        <v>40732</v>
      </c>
      <c r="B539" s="35" t="s">
        <v>1334</v>
      </c>
      <c r="C539" t="s">
        <v>1335</v>
      </c>
      <c r="D539" t="s">
        <v>18</v>
      </c>
      <c r="E539" s="141">
        <v>7</v>
      </c>
      <c r="F539" s="141">
        <v>135</v>
      </c>
      <c r="G539" s="142"/>
      <c r="H539" s="142">
        <v>945</v>
      </c>
      <c r="I539" s="192">
        <v>52</v>
      </c>
    </row>
    <row r="540" spans="1:9" x14ac:dyDescent="0.65">
      <c r="A540" s="188">
        <v>40732</v>
      </c>
      <c r="B540" s="35" t="s">
        <v>1356</v>
      </c>
      <c r="C540" t="s">
        <v>1357</v>
      </c>
      <c r="D540" t="s">
        <v>98</v>
      </c>
      <c r="E540" s="141">
        <v>1</v>
      </c>
      <c r="F540" s="141">
        <v>365</v>
      </c>
      <c r="G540" s="142"/>
      <c r="H540" s="142">
        <v>365</v>
      </c>
      <c r="I540" s="192">
        <v>52</v>
      </c>
    </row>
    <row r="541" spans="1:9" x14ac:dyDescent="0.65">
      <c r="A541" s="188">
        <v>40732</v>
      </c>
      <c r="B541" s="35" t="s">
        <v>1336</v>
      </c>
      <c r="C541" t="s">
        <v>1337</v>
      </c>
      <c r="D541" t="s">
        <v>18</v>
      </c>
      <c r="E541" s="141">
        <v>8</v>
      </c>
      <c r="F541" s="141">
        <v>95</v>
      </c>
      <c r="G541" s="142"/>
      <c r="H541" s="142">
        <v>760</v>
      </c>
      <c r="I541" s="192">
        <v>52</v>
      </c>
    </row>
    <row r="542" spans="1:9" x14ac:dyDescent="0.65">
      <c r="A542" s="188">
        <v>40732</v>
      </c>
      <c r="B542" s="35" t="s">
        <v>1354</v>
      </c>
      <c r="C542" t="s">
        <v>1355</v>
      </c>
      <c r="D542" t="s">
        <v>98</v>
      </c>
      <c r="E542" s="141">
        <v>1</v>
      </c>
      <c r="F542" s="141">
        <v>365</v>
      </c>
      <c r="G542" s="142"/>
      <c r="H542" s="142">
        <v>365</v>
      </c>
      <c r="I542" s="192">
        <v>52</v>
      </c>
    </row>
    <row r="543" spans="1:9" x14ac:dyDescent="0.65">
      <c r="A543" s="188">
        <v>40732</v>
      </c>
      <c r="B543" s="35" t="s">
        <v>1344</v>
      </c>
      <c r="C543" t="s">
        <v>1345</v>
      </c>
      <c r="D543" t="s">
        <v>18</v>
      </c>
      <c r="E543" s="141">
        <v>7</v>
      </c>
      <c r="F543" s="141">
        <v>80</v>
      </c>
      <c r="G543" s="142"/>
      <c r="H543" s="142">
        <v>560</v>
      </c>
      <c r="I543" s="192">
        <v>52</v>
      </c>
    </row>
    <row r="544" spans="1:9" x14ac:dyDescent="0.65">
      <c r="A544" s="188">
        <v>40732</v>
      </c>
      <c r="B544" s="35" t="s">
        <v>7</v>
      </c>
      <c r="C544" t="s">
        <v>7</v>
      </c>
      <c r="D544" t="s">
        <v>18</v>
      </c>
      <c r="E544" s="141">
        <v>7</v>
      </c>
      <c r="F544" s="141">
        <v>39.39</v>
      </c>
      <c r="G544" s="142"/>
      <c r="H544" s="142">
        <v>275.73</v>
      </c>
      <c r="I544" s="192">
        <v>52</v>
      </c>
    </row>
    <row r="545" spans="1:9" x14ac:dyDescent="0.65">
      <c r="A545" s="188">
        <v>40732</v>
      </c>
      <c r="B545" s="35" t="s">
        <v>7</v>
      </c>
      <c r="C545" t="s">
        <v>7</v>
      </c>
      <c r="D545" t="s">
        <v>18</v>
      </c>
      <c r="E545" s="141">
        <v>8.5</v>
      </c>
      <c r="F545" s="141">
        <v>39.39</v>
      </c>
      <c r="G545" s="142"/>
      <c r="H545" s="142">
        <v>334.815</v>
      </c>
      <c r="I545" s="192">
        <v>52</v>
      </c>
    </row>
    <row r="546" spans="1:9" x14ac:dyDescent="0.65">
      <c r="A546" s="188">
        <v>40733</v>
      </c>
      <c r="B546" s="35" t="s">
        <v>1370</v>
      </c>
      <c r="C546" t="s">
        <v>7</v>
      </c>
      <c r="D546" t="s">
        <v>18</v>
      </c>
      <c r="E546" s="141">
        <v>6</v>
      </c>
      <c r="F546" s="141">
        <v>39.18</v>
      </c>
      <c r="G546" s="142"/>
      <c r="H546" s="142">
        <v>235.08</v>
      </c>
      <c r="I546" s="192">
        <v>52</v>
      </c>
    </row>
    <row r="547" spans="1:9" x14ac:dyDescent="0.65">
      <c r="A547" s="188">
        <v>40733</v>
      </c>
      <c r="B547" s="35" t="s">
        <v>1336</v>
      </c>
      <c r="C547" t="s">
        <v>1371</v>
      </c>
      <c r="D547" t="s">
        <v>18</v>
      </c>
      <c r="E547" s="141">
        <v>4</v>
      </c>
      <c r="F547" s="141">
        <v>65</v>
      </c>
      <c r="G547" s="142"/>
      <c r="H547" s="142">
        <v>260</v>
      </c>
      <c r="I547" s="192">
        <v>52</v>
      </c>
    </row>
    <row r="548" spans="1:9" x14ac:dyDescent="0.65">
      <c r="A548" s="188">
        <v>40733</v>
      </c>
      <c r="B548" s="35" t="s">
        <v>7</v>
      </c>
      <c r="C548" t="s">
        <v>7</v>
      </c>
      <c r="D548" t="s">
        <v>18</v>
      </c>
      <c r="E548" s="141">
        <v>5</v>
      </c>
      <c r="F548" s="141">
        <v>39.39</v>
      </c>
      <c r="G548" s="142"/>
      <c r="H548" s="142">
        <v>196.95</v>
      </c>
      <c r="I548" s="192">
        <v>52</v>
      </c>
    </row>
    <row r="549" spans="1:9" x14ac:dyDescent="0.65">
      <c r="A549" s="188">
        <v>40733</v>
      </c>
      <c r="B549" s="35" t="s">
        <v>1334</v>
      </c>
      <c r="C549" t="s">
        <v>1335</v>
      </c>
      <c r="D549" t="s">
        <v>18</v>
      </c>
      <c r="E549" s="141">
        <v>5.5</v>
      </c>
      <c r="F549" s="141">
        <v>135</v>
      </c>
      <c r="G549" s="142"/>
      <c r="H549" s="142">
        <v>742.5</v>
      </c>
      <c r="I549" s="192">
        <v>52</v>
      </c>
    </row>
    <row r="550" spans="1:9" x14ac:dyDescent="0.65">
      <c r="A550" s="188">
        <v>40733</v>
      </c>
      <c r="B550" s="35" t="s">
        <v>1336</v>
      </c>
      <c r="C550" t="s">
        <v>1337</v>
      </c>
      <c r="D550" t="s">
        <v>18</v>
      </c>
      <c r="E550" s="141">
        <v>6.5</v>
      </c>
      <c r="F550" s="141">
        <v>95</v>
      </c>
      <c r="G550" s="142"/>
      <c r="H550" s="142">
        <v>617.5</v>
      </c>
      <c r="I550" s="192">
        <v>52</v>
      </c>
    </row>
    <row r="551" spans="1:9" x14ac:dyDescent="0.65">
      <c r="A551" s="188">
        <v>40735</v>
      </c>
      <c r="B551" s="35" t="s">
        <v>1356</v>
      </c>
      <c r="C551" t="s">
        <v>1357</v>
      </c>
      <c r="D551" t="s">
        <v>98</v>
      </c>
      <c r="E551" s="141">
        <v>1</v>
      </c>
      <c r="F551" s="141">
        <v>365</v>
      </c>
      <c r="G551" s="142"/>
      <c r="H551" s="142">
        <v>365</v>
      </c>
      <c r="I551" s="192">
        <v>52</v>
      </c>
    </row>
    <row r="552" spans="1:9" x14ac:dyDescent="0.65">
      <c r="A552" s="188">
        <v>40735</v>
      </c>
      <c r="B552" s="35" t="s">
        <v>1354</v>
      </c>
      <c r="C552" t="s">
        <v>1355</v>
      </c>
      <c r="D552" t="s">
        <v>98</v>
      </c>
      <c r="E552" s="141">
        <v>1</v>
      </c>
      <c r="F552" s="141">
        <v>365</v>
      </c>
      <c r="G552" s="142"/>
      <c r="H552" s="142">
        <v>365</v>
      </c>
      <c r="I552" s="192">
        <v>52</v>
      </c>
    </row>
    <row r="553" spans="1:9" x14ac:dyDescent="0.65">
      <c r="A553" s="188">
        <v>40736</v>
      </c>
      <c r="B553" s="35" t="s">
        <v>1354</v>
      </c>
      <c r="C553" t="s">
        <v>1355</v>
      </c>
      <c r="D553" t="s">
        <v>98</v>
      </c>
      <c r="E553" s="141">
        <v>1</v>
      </c>
      <c r="F553" s="141">
        <v>365</v>
      </c>
      <c r="G553" s="142"/>
      <c r="H553" s="142">
        <v>365</v>
      </c>
      <c r="I553" s="192">
        <v>52</v>
      </c>
    </row>
    <row r="554" spans="1:9" x14ac:dyDescent="0.65">
      <c r="A554" s="188">
        <v>40736</v>
      </c>
      <c r="B554" s="35" t="s">
        <v>1356</v>
      </c>
      <c r="C554" t="s">
        <v>1357</v>
      </c>
      <c r="D554" t="s">
        <v>98</v>
      </c>
      <c r="E554" s="141">
        <v>1</v>
      </c>
      <c r="F554" s="141">
        <v>365</v>
      </c>
      <c r="G554" s="142"/>
      <c r="H554" s="142">
        <v>365</v>
      </c>
      <c r="I554" s="192">
        <v>52</v>
      </c>
    </row>
    <row r="555" spans="1:9" x14ac:dyDescent="0.65">
      <c r="A555" s="188">
        <v>40738</v>
      </c>
      <c r="B555" s="35" t="s">
        <v>1336</v>
      </c>
      <c r="C555" t="s">
        <v>1337</v>
      </c>
      <c r="D555" t="s">
        <v>18</v>
      </c>
      <c r="E555" s="141">
        <v>4</v>
      </c>
      <c r="F555" s="141">
        <v>95</v>
      </c>
      <c r="G555" s="142"/>
      <c r="H555" s="142">
        <v>380</v>
      </c>
      <c r="I555" s="192">
        <v>52</v>
      </c>
    </row>
    <row r="556" spans="1:9" x14ac:dyDescent="0.65">
      <c r="A556" s="188">
        <v>40738</v>
      </c>
      <c r="B556" s="35" t="s">
        <v>7</v>
      </c>
      <c r="C556" t="s">
        <v>7</v>
      </c>
      <c r="D556" t="s">
        <v>18</v>
      </c>
      <c r="E556" s="141">
        <v>2</v>
      </c>
      <c r="F556" s="141">
        <v>39.39</v>
      </c>
      <c r="G556" s="142"/>
      <c r="H556" s="142">
        <v>78.78</v>
      </c>
      <c r="I556" s="192">
        <v>52</v>
      </c>
    </row>
    <row r="557" spans="1:9" x14ac:dyDescent="0.65">
      <c r="A557" s="188">
        <v>40738</v>
      </c>
      <c r="B557" s="35" t="s">
        <v>1336</v>
      </c>
      <c r="C557" t="s">
        <v>1342</v>
      </c>
      <c r="D557" t="s">
        <v>18</v>
      </c>
      <c r="E557" s="141">
        <v>2</v>
      </c>
      <c r="F557" s="141">
        <v>90</v>
      </c>
      <c r="G557" s="142"/>
      <c r="H557" s="142">
        <v>180</v>
      </c>
      <c r="I557" s="192">
        <v>52</v>
      </c>
    </row>
    <row r="558" spans="1:9" x14ac:dyDescent="0.65">
      <c r="A558" s="188">
        <v>40738</v>
      </c>
      <c r="B558" s="35" t="s">
        <v>1334</v>
      </c>
      <c r="C558" t="s">
        <v>1335</v>
      </c>
      <c r="D558" t="s">
        <v>18</v>
      </c>
      <c r="E558" s="141">
        <v>3</v>
      </c>
      <c r="F558" s="141">
        <v>135</v>
      </c>
      <c r="G558" s="142"/>
      <c r="H558" s="142">
        <v>405</v>
      </c>
      <c r="I558" s="192">
        <v>52</v>
      </c>
    </row>
    <row r="559" spans="1:9" x14ac:dyDescent="0.65">
      <c r="A559" s="188">
        <v>40739</v>
      </c>
      <c r="B559" s="35" t="s">
        <v>1336</v>
      </c>
      <c r="C559" t="s">
        <v>1342</v>
      </c>
      <c r="D559" t="s">
        <v>18</v>
      </c>
      <c r="E559" s="141">
        <v>7.5</v>
      </c>
      <c r="F559" s="141">
        <v>90</v>
      </c>
      <c r="G559" s="142"/>
      <c r="H559" s="142">
        <v>675</v>
      </c>
      <c r="I559" s="192">
        <v>52</v>
      </c>
    </row>
    <row r="560" spans="1:9" x14ac:dyDescent="0.65">
      <c r="A560" s="188">
        <v>40739</v>
      </c>
      <c r="B560" s="35" t="s">
        <v>1356</v>
      </c>
      <c r="C560" t="s">
        <v>1357</v>
      </c>
      <c r="D560" t="s">
        <v>98</v>
      </c>
      <c r="E560" s="141">
        <v>1</v>
      </c>
      <c r="F560" s="141">
        <v>365</v>
      </c>
      <c r="G560" s="142"/>
      <c r="H560" s="142">
        <v>365</v>
      </c>
      <c r="I560" s="192">
        <v>52</v>
      </c>
    </row>
    <row r="561" spans="1:9" x14ac:dyDescent="0.65">
      <c r="A561" s="188">
        <v>40739</v>
      </c>
      <c r="B561" s="35" t="s">
        <v>7</v>
      </c>
      <c r="C561" t="s">
        <v>7</v>
      </c>
      <c r="D561" t="s">
        <v>18</v>
      </c>
      <c r="E561" s="141">
        <v>8</v>
      </c>
      <c r="F561" s="141">
        <v>39.39</v>
      </c>
      <c r="G561" s="142"/>
      <c r="H561" s="142">
        <v>315.12</v>
      </c>
      <c r="I561" s="192">
        <v>52</v>
      </c>
    </row>
    <row r="562" spans="1:9" x14ac:dyDescent="0.65">
      <c r="A562" s="188">
        <v>40739</v>
      </c>
      <c r="B562" s="35" t="s">
        <v>1354</v>
      </c>
      <c r="C562" t="s">
        <v>1355</v>
      </c>
      <c r="D562" t="s">
        <v>98</v>
      </c>
      <c r="E562" s="141">
        <v>1</v>
      </c>
      <c r="F562" s="141">
        <v>365</v>
      </c>
      <c r="G562" s="142"/>
      <c r="H562" s="142">
        <v>365</v>
      </c>
      <c r="I562" s="192">
        <v>52</v>
      </c>
    </row>
    <row r="563" spans="1:9" x14ac:dyDescent="0.65">
      <c r="A563" s="188">
        <v>40739</v>
      </c>
      <c r="B563" s="35" t="s">
        <v>7</v>
      </c>
      <c r="C563" t="s">
        <v>7</v>
      </c>
      <c r="D563" t="s">
        <v>18</v>
      </c>
      <c r="E563" s="141">
        <v>10</v>
      </c>
      <c r="F563" s="141">
        <v>39.39</v>
      </c>
      <c r="G563" s="142"/>
      <c r="H563" s="142">
        <v>393.9</v>
      </c>
      <c r="I563" s="192">
        <v>52</v>
      </c>
    </row>
    <row r="564" spans="1:9" x14ac:dyDescent="0.65">
      <c r="A564" s="188">
        <v>40739</v>
      </c>
      <c r="B564" s="35" t="s">
        <v>1336</v>
      </c>
      <c r="C564" t="s">
        <v>1337</v>
      </c>
      <c r="D564" t="s">
        <v>18</v>
      </c>
      <c r="E564" s="141">
        <v>9.5</v>
      </c>
      <c r="F564" s="141">
        <v>95</v>
      </c>
      <c r="G564" s="142"/>
      <c r="H564" s="142">
        <v>902.5</v>
      </c>
      <c r="I564" s="192">
        <v>52</v>
      </c>
    </row>
    <row r="565" spans="1:9" x14ac:dyDescent="0.65">
      <c r="A565" s="188">
        <v>40739</v>
      </c>
      <c r="B565" s="35" t="s">
        <v>1334</v>
      </c>
      <c r="C565" t="s">
        <v>1335</v>
      </c>
      <c r="D565" t="s">
        <v>18</v>
      </c>
      <c r="E565" s="141">
        <v>9.5</v>
      </c>
      <c r="F565" s="141">
        <v>135</v>
      </c>
      <c r="G565" s="142"/>
      <c r="H565" s="142">
        <v>1282.5</v>
      </c>
      <c r="I565" s="192">
        <v>52</v>
      </c>
    </row>
    <row r="566" spans="1:9" x14ac:dyDescent="0.65">
      <c r="A566" s="188">
        <v>40739</v>
      </c>
      <c r="B566" s="35" t="s">
        <v>1344</v>
      </c>
      <c r="C566" t="s">
        <v>1345</v>
      </c>
      <c r="D566" t="s">
        <v>18</v>
      </c>
      <c r="E566" s="141">
        <v>5</v>
      </c>
      <c r="F566" s="141">
        <v>80</v>
      </c>
      <c r="G566" s="142"/>
      <c r="H566" s="142">
        <v>400</v>
      </c>
      <c r="I566" s="192">
        <v>52</v>
      </c>
    </row>
    <row r="567" spans="1:9" x14ac:dyDescent="0.65">
      <c r="A567" s="188">
        <v>40740</v>
      </c>
      <c r="B567" s="35" t="s">
        <v>1344</v>
      </c>
      <c r="C567" t="s">
        <v>1345</v>
      </c>
      <c r="D567" t="s">
        <v>18</v>
      </c>
      <c r="E567" s="141">
        <v>3</v>
      </c>
      <c r="F567" s="141">
        <v>80</v>
      </c>
      <c r="G567" s="142"/>
      <c r="H567" s="142">
        <v>240</v>
      </c>
      <c r="I567" s="192">
        <v>52</v>
      </c>
    </row>
    <row r="568" spans="1:9" x14ac:dyDescent="0.65">
      <c r="A568" s="188">
        <v>40740</v>
      </c>
      <c r="B568" s="35" t="s">
        <v>7</v>
      </c>
      <c r="C568" t="s">
        <v>7</v>
      </c>
      <c r="D568" t="s">
        <v>18</v>
      </c>
      <c r="E568" s="141">
        <v>4</v>
      </c>
      <c r="F568" s="141">
        <v>39.39</v>
      </c>
      <c r="G568" s="142"/>
      <c r="H568" s="142">
        <v>157.56</v>
      </c>
      <c r="I568" s="192">
        <v>52</v>
      </c>
    </row>
    <row r="569" spans="1:9" x14ac:dyDescent="0.65">
      <c r="A569" s="188">
        <v>40740</v>
      </c>
      <c r="B569" s="35" t="s">
        <v>7</v>
      </c>
      <c r="C569" t="s">
        <v>7</v>
      </c>
      <c r="D569" t="s">
        <v>18</v>
      </c>
      <c r="E569" s="141">
        <v>4</v>
      </c>
      <c r="F569" s="141">
        <v>39.39</v>
      </c>
      <c r="G569" s="142"/>
      <c r="H569" s="142">
        <v>157.56</v>
      </c>
      <c r="I569" s="192">
        <v>52</v>
      </c>
    </row>
    <row r="570" spans="1:9" x14ac:dyDescent="0.65">
      <c r="A570" s="188">
        <v>40740</v>
      </c>
      <c r="B570" s="35" t="s">
        <v>1336</v>
      </c>
      <c r="C570" t="s">
        <v>1337</v>
      </c>
      <c r="D570" t="s">
        <v>18</v>
      </c>
      <c r="E570" s="141">
        <v>4</v>
      </c>
      <c r="F570" s="141">
        <v>95</v>
      </c>
      <c r="G570" s="142"/>
      <c r="H570" s="142">
        <v>380</v>
      </c>
      <c r="I570" s="192">
        <v>52</v>
      </c>
    </row>
    <row r="571" spans="1:9" x14ac:dyDescent="0.65">
      <c r="A571" s="188">
        <v>40740</v>
      </c>
      <c r="B571" s="35" t="s">
        <v>1354</v>
      </c>
      <c r="C571" t="s">
        <v>1355</v>
      </c>
      <c r="D571" t="s">
        <v>98</v>
      </c>
      <c r="E571" s="141">
        <v>1</v>
      </c>
      <c r="F571" s="141">
        <v>365</v>
      </c>
      <c r="G571" s="142"/>
      <c r="H571" s="142">
        <v>365</v>
      </c>
      <c r="I571" s="192">
        <v>52</v>
      </c>
    </row>
    <row r="572" spans="1:9" x14ac:dyDescent="0.65">
      <c r="A572" s="188">
        <v>40740</v>
      </c>
      <c r="B572" s="35" t="s">
        <v>1356</v>
      </c>
      <c r="C572" t="s">
        <v>1357</v>
      </c>
      <c r="D572" t="s">
        <v>98</v>
      </c>
      <c r="E572" s="141">
        <v>1</v>
      </c>
      <c r="F572" s="141">
        <v>365</v>
      </c>
      <c r="G572" s="142"/>
      <c r="H572" s="142">
        <v>365</v>
      </c>
      <c r="I572" s="192">
        <v>52</v>
      </c>
    </row>
    <row r="573" spans="1:9" x14ac:dyDescent="0.65">
      <c r="A573" s="188">
        <v>40758</v>
      </c>
      <c r="B573" s="35" t="s">
        <v>1347</v>
      </c>
      <c r="C573" t="s">
        <v>1348</v>
      </c>
      <c r="D573" t="s">
        <v>18</v>
      </c>
      <c r="E573" s="141">
        <v>3</v>
      </c>
      <c r="F573" s="141">
        <v>90</v>
      </c>
      <c r="G573" s="142"/>
      <c r="H573" s="142">
        <v>270</v>
      </c>
      <c r="I573" s="192">
        <v>52</v>
      </c>
    </row>
    <row r="574" spans="1:9" x14ac:dyDescent="0.65">
      <c r="A574" s="188">
        <v>40758</v>
      </c>
      <c r="B574" s="35" t="s">
        <v>1336</v>
      </c>
      <c r="C574" t="s">
        <v>1341</v>
      </c>
      <c r="D574" t="s">
        <v>18</v>
      </c>
      <c r="E574" s="141">
        <v>6</v>
      </c>
      <c r="F574" s="141">
        <v>95</v>
      </c>
      <c r="G574" s="142"/>
      <c r="H574" s="142">
        <v>570</v>
      </c>
      <c r="I574" s="192">
        <v>52</v>
      </c>
    </row>
    <row r="575" spans="1:9" x14ac:dyDescent="0.65">
      <c r="A575" s="188">
        <v>40758</v>
      </c>
      <c r="B575" s="35" t="s">
        <v>1336</v>
      </c>
      <c r="C575" t="s">
        <v>1341</v>
      </c>
      <c r="D575" t="s">
        <v>18</v>
      </c>
      <c r="E575" s="141">
        <v>2.75</v>
      </c>
      <c r="F575" s="141">
        <v>95</v>
      </c>
      <c r="G575" s="142"/>
      <c r="H575" s="142">
        <v>261.25</v>
      </c>
      <c r="I575" s="192">
        <v>52</v>
      </c>
    </row>
    <row r="576" spans="1:9" x14ac:dyDescent="0.65">
      <c r="A576" s="188">
        <v>40758</v>
      </c>
      <c r="B576" s="35" t="s">
        <v>1360</v>
      </c>
      <c r="C576" t="s">
        <v>1355</v>
      </c>
      <c r="D576" t="s">
        <v>98</v>
      </c>
      <c r="E576" s="141">
        <v>1</v>
      </c>
      <c r="F576" s="141">
        <v>365</v>
      </c>
      <c r="G576" s="142"/>
      <c r="H576" s="142">
        <v>365</v>
      </c>
      <c r="I576" s="192">
        <v>52</v>
      </c>
    </row>
    <row r="577" spans="1:9" x14ac:dyDescent="0.65">
      <c r="A577" s="188">
        <v>40758</v>
      </c>
      <c r="B577" s="35" t="s">
        <v>1344</v>
      </c>
      <c r="C577" t="s">
        <v>1345</v>
      </c>
      <c r="D577" t="s">
        <v>18</v>
      </c>
      <c r="E577" s="141">
        <v>6</v>
      </c>
      <c r="F577" s="141">
        <v>80</v>
      </c>
      <c r="G577" s="142"/>
      <c r="H577" s="142">
        <v>480</v>
      </c>
      <c r="I577" s="192">
        <v>52</v>
      </c>
    </row>
    <row r="578" spans="1:9" x14ac:dyDescent="0.65">
      <c r="A578" s="188">
        <v>40758</v>
      </c>
      <c r="B578" s="35" t="s">
        <v>7</v>
      </c>
      <c r="C578" t="s">
        <v>7</v>
      </c>
      <c r="D578" t="s">
        <v>18</v>
      </c>
      <c r="E578" s="141">
        <v>9.5</v>
      </c>
      <c r="F578" s="141">
        <v>39.39</v>
      </c>
      <c r="G578" s="142"/>
      <c r="H578" s="142">
        <v>374.20499999999998</v>
      </c>
      <c r="I578" s="192">
        <v>52</v>
      </c>
    </row>
    <row r="579" spans="1:9" x14ac:dyDescent="0.65">
      <c r="A579" s="188">
        <v>40758</v>
      </c>
      <c r="B579" s="35" t="s">
        <v>7</v>
      </c>
      <c r="C579" t="s">
        <v>7</v>
      </c>
      <c r="D579" t="s">
        <v>18</v>
      </c>
      <c r="E579" s="141">
        <v>9.5</v>
      </c>
      <c r="F579" s="141">
        <v>32.200000000000003</v>
      </c>
      <c r="G579" s="142"/>
      <c r="H579" s="142">
        <v>305.89999999999998</v>
      </c>
      <c r="I579" s="192">
        <v>52</v>
      </c>
    </row>
    <row r="580" spans="1:9" x14ac:dyDescent="0.65">
      <c r="A580" s="188">
        <v>40758</v>
      </c>
      <c r="B580" s="35" t="s">
        <v>7</v>
      </c>
      <c r="C580" t="s">
        <v>7</v>
      </c>
      <c r="D580" t="s">
        <v>18</v>
      </c>
      <c r="E580" s="141">
        <v>3.5</v>
      </c>
      <c r="F580" s="141">
        <v>39.39</v>
      </c>
      <c r="G580" s="142"/>
      <c r="H580" s="142">
        <v>137.86500000000001</v>
      </c>
      <c r="I580" s="192">
        <v>52</v>
      </c>
    </row>
    <row r="581" spans="1:9" x14ac:dyDescent="0.65">
      <c r="A581" s="188">
        <v>40758</v>
      </c>
      <c r="B581" s="35" t="s">
        <v>7</v>
      </c>
      <c r="C581" t="s">
        <v>7</v>
      </c>
      <c r="D581" t="s">
        <v>18</v>
      </c>
      <c r="E581" s="141">
        <v>5.5</v>
      </c>
      <c r="F581" s="141">
        <v>39.39</v>
      </c>
      <c r="G581" s="142"/>
      <c r="H581" s="142">
        <v>216.64500000000001</v>
      </c>
      <c r="I581" s="192">
        <v>52</v>
      </c>
    </row>
    <row r="582" spans="1:9" x14ac:dyDescent="0.65">
      <c r="A582" s="188">
        <v>40758</v>
      </c>
      <c r="B582" s="35" t="s">
        <v>1336</v>
      </c>
      <c r="C582" t="s">
        <v>1342</v>
      </c>
      <c r="D582" t="s">
        <v>18</v>
      </c>
      <c r="E582" s="141">
        <v>8.5</v>
      </c>
      <c r="F582" s="141">
        <v>90</v>
      </c>
      <c r="G582" s="142"/>
      <c r="H582" s="142">
        <v>765</v>
      </c>
      <c r="I582" s="192">
        <v>52</v>
      </c>
    </row>
    <row r="583" spans="1:9" x14ac:dyDescent="0.65">
      <c r="A583" s="188">
        <v>40758</v>
      </c>
      <c r="B583" s="35" t="s">
        <v>1336</v>
      </c>
      <c r="C583" t="s">
        <v>7</v>
      </c>
      <c r="D583" t="s">
        <v>18</v>
      </c>
      <c r="E583" s="141">
        <v>9</v>
      </c>
      <c r="F583" s="141">
        <v>95</v>
      </c>
      <c r="G583" s="142"/>
      <c r="H583" s="142">
        <v>855</v>
      </c>
      <c r="I583" s="192">
        <v>52</v>
      </c>
    </row>
    <row r="584" spans="1:9" x14ac:dyDescent="0.65">
      <c r="A584" s="188">
        <v>40758</v>
      </c>
      <c r="B584" s="35" t="s">
        <v>1334</v>
      </c>
      <c r="C584" t="s">
        <v>1335</v>
      </c>
      <c r="D584" t="s">
        <v>451</v>
      </c>
      <c r="E584" s="141">
        <v>9</v>
      </c>
      <c r="F584" s="141">
        <v>135</v>
      </c>
      <c r="G584" s="142"/>
      <c r="H584" s="142">
        <v>1215</v>
      </c>
      <c r="I584" s="192">
        <v>52</v>
      </c>
    </row>
    <row r="585" spans="1:9" x14ac:dyDescent="0.65">
      <c r="A585" s="188">
        <v>40759</v>
      </c>
      <c r="B585" s="35" t="s">
        <v>7</v>
      </c>
      <c r="C585" t="s">
        <v>7</v>
      </c>
      <c r="D585" t="s">
        <v>18</v>
      </c>
      <c r="E585" s="141">
        <v>9.5</v>
      </c>
      <c r="F585" s="141">
        <v>32.200000000000003</v>
      </c>
      <c r="G585" s="142"/>
      <c r="H585" s="142">
        <v>305.89999999999998</v>
      </c>
      <c r="I585" s="192">
        <v>52</v>
      </c>
    </row>
    <row r="586" spans="1:9" x14ac:dyDescent="0.65">
      <c r="A586" s="188">
        <v>40759</v>
      </c>
      <c r="B586" s="35" t="s">
        <v>7</v>
      </c>
      <c r="C586" t="s">
        <v>7</v>
      </c>
      <c r="D586" t="s">
        <v>18</v>
      </c>
      <c r="E586" s="141">
        <v>9.5</v>
      </c>
      <c r="F586" s="141">
        <v>39.39</v>
      </c>
      <c r="G586" s="142"/>
      <c r="H586" s="142">
        <v>374.20499999999998</v>
      </c>
      <c r="I586" s="192">
        <v>52</v>
      </c>
    </row>
    <row r="587" spans="1:9" x14ac:dyDescent="0.65">
      <c r="A587" s="188">
        <v>40759</v>
      </c>
      <c r="B587" s="35" t="s">
        <v>7</v>
      </c>
      <c r="C587" t="s">
        <v>7</v>
      </c>
      <c r="D587" t="s">
        <v>18</v>
      </c>
      <c r="E587" s="141">
        <v>3.5</v>
      </c>
      <c r="F587" s="141">
        <v>39.39</v>
      </c>
      <c r="G587" s="142"/>
      <c r="H587" s="142">
        <v>137.86500000000001</v>
      </c>
      <c r="I587" s="192">
        <v>52</v>
      </c>
    </row>
    <row r="588" spans="1:9" x14ac:dyDescent="0.65">
      <c r="A588" s="188">
        <v>40759</v>
      </c>
      <c r="B588" s="35" t="s">
        <v>1361</v>
      </c>
      <c r="C588" t="s">
        <v>1357</v>
      </c>
      <c r="D588" t="s">
        <v>98</v>
      </c>
      <c r="E588" s="141">
        <v>1</v>
      </c>
      <c r="F588" s="141">
        <v>365</v>
      </c>
      <c r="G588" s="142"/>
      <c r="H588" s="142">
        <v>365</v>
      </c>
      <c r="I588" s="192">
        <v>52</v>
      </c>
    </row>
    <row r="589" spans="1:9" x14ac:dyDescent="0.65">
      <c r="A589" s="188">
        <v>40759</v>
      </c>
      <c r="B589" s="35" t="s">
        <v>1360</v>
      </c>
      <c r="C589" t="s">
        <v>1355</v>
      </c>
      <c r="D589" t="s">
        <v>98</v>
      </c>
      <c r="E589" s="141">
        <v>1</v>
      </c>
      <c r="F589" s="141">
        <v>365</v>
      </c>
      <c r="G589" s="142"/>
      <c r="H589" s="142">
        <v>365</v>
      </c>
      <c r="I589" s="192">
        <v>52</v>
      </c>
    </row>
    <row r="590" spans="1:9" x14ac:dyDescent="0.65">
      <c r="A590" s="188">
        <v>40759</v>
      </c>
      <c r="B590" s="35" t="s">
        <v>1344</v>
      </c>
      <c r="C590" t="s">
        <v>1345</v>
      </c>
      <c r="D590" t="s">
        <v>18</v>
      </c>
      <c r="E590" s="141">
        <v>8</v>
      </c>
      <c r="F590" s="141">
        <v>80</v>
      </c>
      <c r="G590" s="142"/>
      <c r="H590" s="142">
        <v>640</v>
      </c>
      <c r="I590" s="192">
        <v>52</v>
      </c>
    </row>
    <row r="591" spans="1:9" x14ac:dyDescent="0.65">
      <c r="A591" s="188">
        <v>40759</v>
      </c>
      <c r="B591" s="35" t="s">
        <v>1336</v>
      </c>
      <c r="C591" t="s">
        <v>1341</v>
      </c>
      <c r="D591" t="s">
        <v>18</v>
      </c>
      <c r="E591" s="141">
        <v>1.5</v>
      </c>
      <c r="F591" s="141">
        <v>95</v>
      </c>
      <c r="G591" s="142"/>
      <c r="H591" s="142">
        <v>142.5</v>
      </c>
      <c r="I591" s="192">
        <v>52</v>
      </c>
    </row>
    <row r="592" spans="1:9" x14ac:dyDescent="0.65">
      <c r="A592" s="188">
        <v>40759</v>
      </c>
      <c r="B592" s="35" t="s">
        <v>1334</v>
      </c>
      <c r="C592" t="s">
        <v>1335</v>
      </c>
      <c r="D592" t="s">
        <v>451</v>
      </c>
      <c r="E592" s="141">
        <v>9</v>
      </c>
      <c r="F592" s="141">
        <v>135</v>
      </c>
      <c r="G592" s="142"/>
      <c r="H592" s="142">
        <v>1215</v>
      </c>
      <c r="I592" s="192">
        <v>52</v>
      </c>
    </row>
    <row r="593" spans="1:9" x14ac:dyDescent="0.65">
      <c r="A593" s="188">
        <v>40759</v>
      </c>
      <c r="B593" s="35" t="s">
        <v>1336</v>
      </c>
      <c r="C593" t="s">
        <v>7</v>
      </c>
      <c r="D593" t="s">
        <v>18</v>
      </c>
      <c r="E593" s="141">
        <v>9</v>
      </c>
      <c r="F593" s="141">
        <v>95</v>
      </c>
      <c r="G593" s="142"/>
      <c r="H593" s="142">
        <v>855</v>
      </c>
      <c r="I593" s="192">
        <v>52</v>
      </c>
    </row>
    <row r="594" spans="1:9" x14ac:dyDescent="0.65">
      <c r="A594" s="188">
        <v>40759</v>
      </c>
      <c r="B594" s="35" t="s">
        <v>1336</v>
      </c>
      <c r="C594" t="s">
        <v>1341</v>
      </c>
      <c r="D594" t="s">
        <v>18</v>
      </c>
      <c r="E594" s="141">
        <v>7</v>
      </c>
      <c r="F594" s="141">
        <v>95</v>
      </c>
      <c r="G594" s="142"/>
      <c r="H594" s="142">
        <v>665</v>
      </c>
      <c r="I594" s="192">
        <v>52</v>
      </c>
    </row>
    <row r="595" spans="1:9" x14ac:dyDescent="0.65">
      <c r="A595" s="188">
        <v>40760</v>
      </c>
      <c r="B595" s="35" t="s">
        <v>1347</v>
      </c>
      <c r="C595" t="s">
        <v>1348</v>
      </c>
      <c r="D595" t="s">
        <v>18</v>
      </c>
      <c r="E595" s="141">
        <v>5.75</v>
      </c>
      <c r="F595" s="141">
        <v>90</v>
      </c>
      <c r="G595" s="142"/>
      <c r="H595" s="142">
        <v>517.5</v>
      </c>
      <c r="I595" s="192">
        <v>52</v>
      </c>
    </row>
    <row r="596" spans="1:9" x14ac:dyDescent="0.65">
      <c r="A596" s="188">
        <v>40760</v>
      </c>
      <c r="B596" s="35" t="s">
        <v>1336</v>
      </c>
      <c r="C596" t="s">
        <v>1342</v>
      </c>
      <c r="D596" t="s">
        <v>18</v>
      </c>
      <c r="E596" s="141">
        <v>9.5</v>
      </c>
      <c r="F596" s="141">
        <v>90</v>
      </c>
      <c r="G596" s="142"/>
      <c r="H596" s="142">
        <v>855</v>
      </c>
      <c r="I596" s="192">
        <v>52</v>
      </c>
    </row>
    <row r="597" spans="1:9" x14ac:dyDescent="0.65">
      <c r="A597" s="188">
        <v>40760</v>
      </c>
      <c r="B597" s="35" t="s">
        <v>1336</v>
      </c>
      <c r="C597" t="s">
        <v>1341</v>
      </c>
      <c r="D597" t="s">
        <v>18</v>
      </c>
      <c r="E597" s="141">
        <v>5.5</v>
      </c>
      <c r="F597" s="141">
        <v>95</v>
      </c>
      <c r="G597" s="142"/>
      <c r="H597" s="142">
        <v>522.5</v>
      </c>
      <c r="I597" s="192">
        <v>52</v>
      </c>
    </row>
    <row r="598" spans="1:9" x14ac:dyDescent="0.65">
      <c r="A598" s="188">
        <v>40760</v>
      </c>
      <c r="B598" s="35" t="s">
        <v>1344</v>
      </c>
      <c r="C598" t="s">
        <v>1345</v>
      </c>
      <c r="D598" t="s">
        <v>18</v>
      </c>
      <c r="E598" s="141">
        <v>8</v>
      </c>
      <c r="F598" s="141">
        <v>80</v>
      </c>
      <c r="G598" s="142"/>
      <c r="H598" s="142">
        <v>640</v>
      </c>
      <c r="I598" s="192">
        <v>52</v>
      </c>
    </row>
    <row r="599" spans="1:9" x14ac:dyDescent="0.65">
      <c r="A599" s="188">
        <v>40760</v>
      </c>
      <c r="B599" s="35" t="s">
        <v>1360</v>
      </c>
      <c r="C599" t="s">
        <v>1355</v>
      </c>
      <c r="D599" t="s">
        <v>98</v>
      </c>
      <c r="E599" s="141">
        <v>1</v>
      </c>
      <c r="F599" s="141">
        <v>365</v>
      </c>
      <c r="G599" s="142"/>
      <c r="H599" s="142">
        <v>365</v>
      </c>
      <c r="I599" s="192">
        <v>52</v>
      </c>
    </row>
    <row r="600" spans="1:9" x14ac:dyDescent="0.65">
      <c r="A600" s="188">
        <v>40760</v>
      </c>
      <c r="B600" s="35" t="s">
        <v>7</v>
      </c>
      <c r="C600" t="s">
        <v>7</v>
      </c>
      <c r="D600" t="s">
        <v>18</v>
      </c>
      <c r="E600" s="141">
        <v>9.5</v>
      </c>
      <c r="F600" s="141">
        <v>39.39</v>
      </c>
      <c r="G600" s="142"/>
      <c r="H600" s="142">
        <v>374.20499999999998</v>
      </c>
      <c r="I600" s="192">
        <v>52</v>
      </c>
    </row>
    <row r="601" spans="1:9" x14ac:dyDescent="0.65">
      <c r="A601" s="188">
        <v>40760</v>
      </c>
      <c r="B601" s="35" t="s">
        <v>7</v>
      </c>
      <c r="C601" t="s">
        <v>7</v>
      </c>
      <c r="D601" t="s">
        <v>18</v>
      </c>
      <c r="E601" s="141">
        <v>9.5</v>
      </c>
      <c r="F601" s="141">
        <v>39.39</v>
      </c>
      <c r="G601" s="142"/>
      <c r="H601" s="142">
        <v>374.20499999999998</v>
      </c>
      <c r="I601" s="192">
        <v>52</v>
      </c>
    </row>
    <row r="602" spans="1:9" x14ac:dyDescent="0.65">
      <c r="A602" s="188">
        <v>40760</v>
      </c>
      <c r="B602" s="35" t="s">
        <v>7</v>
      </c>
      <c r="C602" t="s">
        <v>7</v>
      </c>
      <c r="D602" t="s">
        <v>18</v>
      </c>
      <c r="E602" s="141">
        <v>9.5</v>
      </c>
      <c r="F602" s="141">
        <v>32.200000000000003</v>
      </c>
      <c r="G602" s="142"/>
      <c r="H602" s="142">
        <v>305.89999999999998</v>
      </c>
      <c r="I602" s="192">
        <v>52</v>
      </c>
    </row>
    <row r="603" spans="1:9" x14ac:dyDescent="0.65">
      <c r="A603" s="188">
        <v>40760</v>
      </c>
      <c r="B603" s="35" t="s">
        <v>1336</v>
      </c>
      <c r="C603" t="s">
        <v>7</v>
      </c>
      <c r="D603" t="s">
        <v>18</v>
      </c>
      <c r="E603" s="141">
        <v>9</v>
      </c>
      <c r="F603" s="141">
        <v>95</v>
      </c>
      <c r="G603" s="142"/>
      <c r="H603" s="142">
        <v>855</v>
      </c>
      <c r="I603" s="192">
        <v>52</v>
      </c>
    </row>
    <row r="604" spans="1:9" x14ac:dyDescent="0.65">
      <c r="A604" s="188">
        <v>40760</v>
      </c>
      <c r="B604" s="35" t="s">
        <v>1334</v>
      </c>
      <c r="C604" t="s">
        <v>1335</v>
      </c>
      <c r="D604" t="s">
        <v>451</v>
      </c>
      <c r="E604" s="141">
        <v>9</v>
      </c>
      <c r="F604" s="141">
        <v>135</v>
      </c>
      <c r="G604" s="142"/>
      <c r="H604" s="142">
        <v>1215</v>
      </c>
      <c r="I604" s="192">
        <v>52</v>
      </c>
    </row>
    <row r="605" spans="1:9" x14ac:dyDescent="0.65">
      <c r="A605" s="188">
        <v>40763</v>
      </c>
      <c r="B605" s="35" t="s">
        <v>1347</v>
      </c>
      <c r="C605" t="s">
        <v>1348</v>
      </c>
      <c r="D605" t="s">
        <v>18</v>
      </c>
      <c r="E605" s="141">
        <v>3</v>
      </c>
      <c r="F605" s="141">
        <v>90</v>
      </c>
      <c r="G605" s="142"/>
      <c r="H605" s="142">
        <v>270</v>
      </c>
      <c r="I605" s="192">
        <v>52</v>
      </c>
    </row>
    <row r="606" spans="1:9" x14ac:dyDescent="0.65">
      <c r="A606" s="188">
        <v>40763</v>
      </c>
      <c r="B606" s="35" t="s">
        <v>1336</v>
      </c>
      <c r="C606" t="s">
        <v>7</v>
      </c>
      <c r="D606" t="s">
        <v>18</v>
      </c>
      <c r="E606" s="141">
        <v>9</v>
      </c>
      <c r="F606" s="141">
        <v>95</v>
      </c>
      <c r="G606" s="142"/>
      <c r="H606" s="142">
        <v>855</v>
      </c>
      <c r="I606" s="192">
        <v>52</v>
      </c>
    </row>
    <row r="607" spans="1:9" x14ac:dyDescent="0.65">
      <c r="A607" s="188">
        <v>40763</v>
      </c>
      <c r="B607" s="35" t="s">
        <v>1379</v>
      </c>
      <c r="C607" t="s">
        <v>1357</v>
      </c>
      <c r="D607" t="s">
        <v>98</v>
      </c>
      <c r="E607" s="141">
        <v>1</v>
      </c>
      <c r="F607" s="141">
        <v>365</v>
      </c>
      <c r="G607" s="142"/>
      <c r="H607" s="142">
        <v>365</v>
      </c>
      <c r="I607" s="192">
        <v>52</v>
      </c>
    </row>
    <row r="608" spans="1:9" x14ac:dyDescent="0.65">
      <c r="A608" s="188">
        <v>40763</v>
      </c>
      <c r="B608" s="35" t="s">
        <v>1360</v>
      </c>
      <c r="C608" t="s">
        <v>1355</v>
      </c>
      <c r="D608" t="s">
        <v>98</v>
      </c>
      <c r="E608" s="141">
        <v>1</v>
      </c>
      <c r="F608" s="141">
        <v>365</v>
      </c>
      <c r="G608" s="142"/>
      <c r="H608" s="142">
        <v>365</v>
      </c>
      <c r="I608" s="192">
        <v>52</v>
      </c>
    </row>
    <row r="609" spans="1:9" x14ac:dyDescent="0.65">
      <c r="A609" s="188">
        <v>40763</v>
      </c>
      <c r="B609" s="35" t="s">
        <v>7</v>
      </c>
      <c r="C609" t="s">
        <v>7</v>
      </c>
      <c r="D609" t="s">
        <v>18</v>
      </c>
      <c r="E609" s="141">
        <v>9.5</v>
      </c>
      <c r="F609" s="141">
        <v>32.200000000000003</v>
      </c>
      <c r="G609" s="142"/>
      <c r="H609" s="142">
        <v>305.89999999999998</v>
      </c>
      <c r="I609" s="192">
        <v>52</v>
      </c>
    </row>
    <row r="610" spans="1:9" x14ac:dyDescent="0.65">
      <c r="A610" s="188">
        <v>40763</v>
      </c>
      <c r="B610" s="35" t="s">
        <v>1380</v>
      </c>
      <c r="C610" t="s">
        <v>7</v>
      </c>
      <c r="D610" t="s">
        <v>18</v>
      </c>
      <c r="E610" s="141">
        <v>7.5</v>
      </c>
      <c r="F610" s="141">
        <v>39.39</v>
      </c>
      <c r="G610" s="142"/>
      <c r="H610" s="142">
        <v>295.42500000000001</v>
      </c>
      <c r="I610" s="192">
        <v>52</v>
      </c>
    </row>
    <row r="611" spans="1:9" x14ac:dyDescent="0.65">
      <c r="A611" s="188">
        <v>40763</v>
      </c>
      <c r="B611" s="35" t="s">
        <v>1334</v>
      </c>
      <c r="C611" t="s">
        <v>1335</v>
      </c>
      <c r="D611" t="s">
        <v>18</v>
      </c>
      <c r="E611" s="141">
        <v>4.5</v>
      </c>
      <c r="F611" s="141">
        <v>135</v>
      </c>
      <c r="G611" s="142"/>
      <c r="H611" s="142">
        <v>607.5</v>
      </c>
      <c r="I611" s="192">
        <v>52</v>
      </c>
    </row>
    <row r="612" spans="1:9" x14ac:dyDescent="0.65">
      <c r="A612" s="188">
        <v>40763</v>
      </c>
      <c r="B612" s="35" t="s">
        <v>1344</v>
      </c>
      <c r="C612" t="s">
        <v>1345</v>
      </c>
      <c r="D612" t="s">
        <v>18</v>
      </c>
      <c r="E612" s="141">
        <v>3</v>
      </c>
      <c r="F612" s="141">
        <v>80</v>
      </c>
      <c r="G612" s="142"/>
      <c r="H612" s="142">
        <v>240</v>
      </c>
      <c r="I612" s="192">
        <v>52</v>
      </c>
    </row>
    <row r="613" spans="1:9" x14ac:dyDescent="0.65">
      <c r="A613" s="188">
        <v>40764</v>
      </c>
      <c r="B613" s="35" t="s">
        <v>1344</v>
      </c>
      <c r="C613" t="s">
        <v>1345</v>
      </c>
      <c r="D613" t="s">
        <v>18</v>
      </c>
      <c r="E613" s="141">
        <v>4</v>
      </c>
      <c r="F613" s="141">
        <v>80</v>
      </c>
      <c r="G613" s="142"/>
      <c r="H613" s="142">
        <v>320</v>
      </c>
      <c r="I613" s="192">
        <v>52</v>
      </c>
    </row>
    <row r="614" spans="1:9" x14ac:dyDescent="0.65">
      <c r="A614" s="188">
        <v>40764</v>
      </c>
      <c r="B614" s="35" t="s">
        <v>398</v>
      </c>
      <c r="C614" t="s">
        <v>1355</v>
      </c>
      <c r="D614" t="s">
        <v>98</v>
      </c>
      <c r="E614" s="141">
        <v>1</v>
      </c>
      <c r="F614" s="141">
        <v>365</v>
      </c>
      <c r="G614" s="142"/>
      <c r="H614" s="142">
        <v>365</v>
      </c>
      <c r="I614" s="192">
        <v>52</v>
      </c>
    </row>
    <row r="615" spans="1:9" x14ac:dyDescent="0.65">
      <c r="A615" s="188">
        <v>40764</v>
      </c>
      <c r="B615" s="35" t="s">
        <v>1334</v>
      </c>
      <c r="C615" t="s">
        <v>1335</v>
      </c>
      <c r="D615" t="s">
        <v>18</v>
      </c>
      <c r="E615" s="141">
        <v>6</v>
      </c>
      <c r="F615" s="141">
        <v>135</v>
      </c>
      <c r="G615" s="142"/>
      <c r="H615" s="142">
        <v>810</v>
      </c>
      <c r="I615" s="192">
        <v>52</v>
      </c>
    </row>
    <row r="616" spans="1:9" x14ac:dyDescent="0.65">
      <c r="A616" s="188">
        <v>40764</v>
      </c>
      <c r="B616" s="35" t="s">
        <v>7</v>
      </c>
      <c r="C616" t="s">
        <v>7</v>
      </c>
      <c r="D616" t="s">
        <v>18</v>
      </c>
      <c r="E616" s="141">
        <v>6.5</v>
      </c>
      <c r="F616" s="141">
        <v>39.39</v>
      </c>
      <c r="G616" s="142"/>
      <c r="H616" s="142">
        <v>256.03500000000003</v>
      </c>
      <c r="I616" s="192">
        <v>52</v>
      </c>
    </row>
    <row r="617" spans="1:9" x14ac:dyDescent="0.65">
      <c r="A617" s="188">
        <v>40764</v>
      </c>
      <c r="B617" s="35" t="s">
        <v>7</v>
      </c>
      <c r="C617" t="s">
        <v>7</v>
      </c>
      <c r="D617" t="s">
        <v>18</v>
      </c>
      <c r="E617" s="141">
        <v>5.5</v>
      </c>
      <c r="F617" s="141">
        <v>39.39</v>
      </c>
      <c r="G617" s="142"/>
      <c r="H617" s="142">
        <v>216.64500000000001</v>
      </c>
      <c r="I617" s="192">
        <v>52</v>
      </c>
    </row>
    <row r="618" spans="1:9" x14ac:dyDescent="0.65">
      <c r="A618" s="188">
        <v>40764</v>
      </c>
      <c r="B618" s="35" t="s">
        <v>1336</v>
      </c>
      <c r="C618" t="s">
        <v>1341</v>
      </c>
      <c r="D618" t="s">
        <v>18</v>
      </c>
      <c r="E618" s="141">
        <v>6</v>
      </c>
      <c r="F618" s="141">
        <v>95</v>
      </c>
      <c r="G618" s="142"/>
      <c r="H618" s="142">
        <v>570</v>
      </c>
      <c r="I618" s="192">
        <v>52</v>
      </c>
    </row>
    <row r="619" spans="1:9" x14ac:dyDescent="0.65">
      <c r="A619" s="188">
        <v>40764</v>
      </c>
      <c r="B619" s="35" t="s">
        <v>1347</v>
      </c>
      <c r="C619" t="s">
        <v>1348</v>
      </c>
      <c r="D619" t="s">
        <v>18</v>
      </c>
      <c r="E619" s="141">
        <v>6</v>
      </c>
      <c r="F619" s="141">
        <v>90</v>
      </c>
      <c r="G619" s="142"/>
      <c r="H619" s="142">
        <v>540</v>
      </c>
      <c r="I619" s="192">
        <v>52</v>
      </c>
    </row>
    <row r="620" spans="1:9" x14ac:dyDescent="0.65">
      <c r="A620" s="188">
        <v>40764</v>
      </c>
      <c r="B620" s="35" t="s">
        <v>7</v>
      </c>
      <c r="C620" t="s">
        <v>7</v>
      </c>
      <c r="D620" t="s">
        <v>18</v>
      </c>
      <c r="E620" s="141">
        <v>7.5</v>
      </c>
      <c r="F620" s="141">
        <v>39.39</v>
      </c>
      <c r="G620" s="142"/>
      <c r="H620" s="142">
        <v>295.42500000000001</v>
      </c>
      <c r="I620" s="192">
        <v>52</v>
      </c>
    </row>
    <row r="621" spans="1:9" x14ac:dyDescent="0.65">
      <c r="A621" s="188">
        <v>40764</v>
      </c>
      <c r="B621" s="35" t="s">
        <v>1336</v>
      </c>
      <c r="C621" t="s">
        <v>1342</v>
      </c>
      <c r="D621" t="s">
        <v>18</v>
      </c>
      <c r="E621" s="141">
        <v>6</v>
      </c>
      <c r="F621" s="141">
        <v>90</v>
      </c>
      <c r="G621" s="142"/>
      <c r="H621" s="142">
        <v>540</v>
      </c>
      <c r="I621" s="192">
        <v>52</v>
      </c>
    </row>
    <row r="622" spans="1:9" x14ac:dyDescent="0.65">
      <c r="A622" s="188">
        <v>40764</v>
      </c>
      <c r="B622" s="35" t="s">
        <v>1381</v>
      </c>
      <c r="C622" t="s">
        <v>7</v>
      </c>
      <c r="D622" t="s">
        <v>18</v>
      </c>
      <c r="E622" s="141">
        <v>9</v>
      </c>
      <c r="F622" s="141">
        <v>95</v>
      </c>
      <c r="G622" s="142"/>
      <c r="H622" s="142">
        <v>855</v>
      </c>
      <c r="I622" s="192">
        <v>52</v>
      </c>
    </row>
    <row r="623" spans="1:9" x14ac:dyDescent="0.65">
      <c r="A623" s="188">
        <v>40764</v>
      </c>
      <c r="B623" s="35" t="s">
        <v>7</v>
      </c>
      <c r="C623" t="s">
        <v>7</v>
      </c>
      <c r="D623" t="s">
        <v>18</v>
      </c>
      <c r="E623" s="141">
        <v>7.5</v>
      </c>
      <c r="F623" s="141">
        <v>32.200000000000003</v>
      </c>
      <c r="G623" s="142"/>
      <c r="H623" s="142">
        <v>241.5</v>
      </c>
      <c r="I623" s="192">
        <v>52</v>
      </c>
    </row>
    <row r="624" spans="1:9" x14ac:dyDescent="0.65">
      <c r="A624" s="188">
        <v>40765</v>
      </c>
      <c r="B624" s="35" t="s">
        <v>1336</v>
      </c>
      <c r="C624" t="s">
        <v>7</v>
      </c>
      <c r="D624" t="s">
        <v>18</v>
      </c>
      <c r="E624" s="141">
        <v>5</v>
      </c>
      <c r="F624" s="141">
        <v>95</v>
      </c>
      <c r="G624" s="142"/>
      <c r="H624" s="142">
        <v>475</v>
      </c>
      <c r="I624" s="192">
        <v>52</v>
      </c>
    </row>
    <row r="625" spans="1:9" x14ac:dyDescent="0.65">
      <c r="A625" s="188">
        <v>40765</v>
      </c>
      <c r="B625" s="35" t="s">
        <v>1344</v>
      </c>
      <c r="C625" t="s">
        <v>1345</v>
      </c>
      <c r="D625" t="s">
        <v>18</v>
      </c>
      <c r="E625" s="141">
        <v>4</v>
      </c>
      <c r="F625" s="141">
        <v>80</v>
      </c>
      <c r="G625" s="142"/>
      <c r="H625" s="142">
        <v>320</v>
      </c>
      <c r="I625" s="192">
        <v>52</v>
      </c>
    </row>
    <row r="626" spans="1:9" x14ac:dyDescent="0.65">
      <c r="A626" s="188">
        <v>40765</v>
      </c>
      <c r="B626" s="35" t="s">
        <v>398</v>
      </c>
      <c r="C626" t="s">
        <v>1355</v>
      </c>
      <c r="D626" t="s">
        <v>98</v>
      </c>
      <c r="E626" s="141">
        <v>1</v>
      </c>
      <c r="F626" s="141">
        <v>365</v>
      </c>
      <c r="G626" s="142"/>
      <c r="H626" s="142">
        <v>365</v>
      </c>
      <c r="I626" s="192">
        <v>52</v>
      </c>
    </row>
    <row r="627" spans="1:9" x14ac:dyDescent="0.65">
      <c r="A627" s="188">
        <v>40765</v>
      </c>
      <c r="B627" s="35" t="s">
        <v>7</v>
      </c>
      <c r="C627" t="s">
        <v>7</v>
      </c>
      <c r="D627" t="s">
        <v>18</v>
      </c>
      <c r="E627" s="141">
        <v>4.5</v>
      </c>
      <c r="F627" s="141">
        <v>39.39</v>
      </c>
      <c r="G627" s="142"/>
      <c r="H627" s="142">
        <v>177.255</v>
      </c>
      <c r="I627" s="192">
        <v>52</v>
      </c>
    </row>
    <row r="628" spans="1:9" x14ac:dyDescent="0.65">
      <c r="A628" s="188">
        <v>40765</v>
      </c>
      <c r="B628" s="35" t="s">
        <v>7</v>
      </c>
      <c r="C628" t="s">
        <v>7</v>
      </c>
      <c r="D628" t="s">
        <v>18</v>
      </c>
      <c r="E628" s="141">
        <v>5.5</v>
      </c>
      <c r="F628" s="141">
        <v>39.39</v>
      </c>
      <c r="G628" s="142"/>
      <c r="H628" s="142">
        <v>216.64500000000001</v>
      </c>
      <c r="I628" s="192">
        <v>52</v>
      </c>
    </row>
    <row r="629" spans="1:9" x14ac:dyDescent="0.65">
      <c r="A629" s="188">
        <v>40765</v>
      </c>
      <c r="B629" s="35" t="s">
        <v>7</v>
      </c>
      <c r="C629" t="s">
        <v>7</v>
      </c>
      <c r="D629" t="s">
        <v>18</v>
      </c>
      <c r="E629" s="141">
        <v>5</v>
      </c>
      <c r="F629" s="141">
        <v>39.39</v>
      </c>
      <c r="G629" s="142"/>
      <c r="H629" s="142">
        <v>196.95</v>
      </c>
      <c r="I629" s="192">
        <v>52</v>
      </c>
    </row>
    <row r="630" spans="1:9" x14ac:dyDescent="0.65">
      <c r="A630" s="188">
        <v>40765</v>
      </c>
      <c r="B630" s="35" t="s">
        <v>7</v>
      </c>
      <c r="C630" t="s">
        <v>7</v>
      </c>
      <c r="D630" t="s">
        <v>18</v>
      </c>
      <c r="E630" s="141">
        <v>4.5</v>
      </c>
      <c r="F630" s="141">
        <v>32.200000000000003</v>
      </c>
      <c r="G630" s="142"/>
      <c r="H630" s="142">
        <v>144.9</v>
      </c>
      <c r="I630" s="192">
        <v>52</v>
      </c>
    </row>
    <row r="631" spans="1:9" x14ac:dyDescent="0.65">
      <c r="A631" s="188">
        <v>40766</v>
      </c>
      <c r="B631" s="35" t="s">
        <v>398</v>
      </c>
      <c r="C631" t="s">
        <v>1355</v>
      </c>
      <c r="D631" t="s">
        <v>98</v>
      </c>
      <c r="E631" s="141">
        <v>1</v>
      </c>
      <c r="F631" s="141">
        <v>365</v>
      </c>
      <c r="G631" s="142"/>
      <c r="H631" s="142">
        <v>365</v>
      </c>
      <c r="I631" s="192">
        <v>52</v>
      </c>
    </row>
    <row r="632" spans="1:9" x14ac:dyDescent="0.65">
      <c r="A632" s="188">
        <v>40766</v>
      </c>
      <c r="B632" s="35" t="s">
        <v>7</v>
      </c>
      <c r="C632" t="s">
        <v>7</v>
      </c>
      <c r="D632" t="s">
        <v>18</v>
      </c>
      <c r="E632" s="141">
        <v>4.5</v>
      </c>
      <c r="F632" s="141">
        <v>32.200000000000003</v>
      </c>
      <c r="G632" s="142"/>
      <c r="H632" s="142">
        <v>144.9</v>
      </c>
      <c r="I632" s="192">
        <v>52</v>
      </c>
    </row>
    <row r="633" spans="1:9" x14ac:dyDescent="0.65">
      <c r="A633" s="188">
        <v>40767</v>
      </c>
      <c r="B633" s="35" t="s">
        <v>398</v>
      </c>
      <c r="C633" t="s">
        <v>1355</v>
      </c>
      <c r="D633" t="s">
        <v>98</v>
      </c>
      <c r="E633" s="141">
        <v>1</v>
      </c>
      <c r="F633" s="141">
        <v>365</v>
      </c>
      <c r="G633" s="142"/>
      <c r="H633" s="142">
        <v>365</v>
      </c>
      <c r="I633" s="192">
        <v>52</v>
      </c>
    </row>
    <row r="634" spans="1:9" x14ac:dyDescent="0.65">
      <c r="A634" s="188">
        <v>40784</v>
      </c>
      <c r="B634" s="35" t="s">
        <v>1336</v>
      </c>
      <c r="C634" t="s">
        <v>1342</v>
      </c>
      <c r="D634" t="s">
        <v>18</v>
      </c>
      <c r="E634" s="141">
        <v>5</v>
      </c>
      <c r="F634" s="141">
        <v>90</v>
      </c>
      <c r="G634" s="142"/>
      <c r="H634" s="142">
        <v>450</v>
      </c>
      <c r="I634" s="192">
        <v>52</v>
      </c>
    </row>
    <row r="635" spans="1:9" x14ac:dyDescent="0.65">
      <c r="A635" s="188">
        <v>40784</v>
      </c>
      <c r="B635" s="35" t="s">
        <v>1336</v>
      </c>
      <c r="C635" t="s">
        <v>7</v>
      </c>
      <c r="D635" t="s">
        <v>18</v>
      </c>
      <c r="E635" s="141">
        <v>5</v>
      </c>
      <c r="F635" s="141">
        <v>95</v>
      </c>
      <c r="G635" s="142"/>
      <c r="H635" s="142">
        <v>475</v>
      </c>
      <c r="I635" s="192">
        <v>52</v>
      </c>
    </row>
    <row r="636" spans="1:9" x14ac:dyDescent="0.65">
      <c r="A636" s="188">
        <v>40784</v>
      </c>
      <c r="B636" s="35" t="s">
        <v>7</v>
      </c>
      <c r="C636" t="s">
        <v>7</v>
      </c>
      <c r="D636" t="s">
        <v>18</v>
      </c>
      <c r="E636" s="141">
        <v>5.5</v>
      </c>
      <c r="F636" s="141">
        <v>39.39</v>
      </c>
      <c r="G636" s="142"/>
      <c r="H636" s="142">
        <v>216.64500000000001</v>
      </c>
      <c r="I636" s="192">
        <v>52</v>
      </c>
    </row>
    <row r="637" spans="1:9" x14ac:dyDescent="0.65">
      <c r="A637" s="188">
        <v>40784</v>
      </c>
      <c r="B637" s="35" t="s">
        <v>7</v>
      </c>
      <c r="C637" t="s">
        <v>7</v>
      </c>
      <c r="D637" t="s">
        <v>18</v>
      </c>
      <c r="E637" s="141">
        <v>5.5</v>
      </c>
      <c r="F637" s="141">
        <v>32.200000000000003</v>
      </c>
      <c r="G637" s="142"/>
      <c r="H637" s="142">
        <v>177.1</v>
      </c>
      <c r="I637" s="192">
        <v>52</v>
      </c>
    </row>
    <row r="638" spans="1:9" x14ac:dyDescent="0.65">
      <c r="A638" s="188">
        <v>40784</v>
      </c>
      <c r="B638" s="35" t="s">
        <v>1334</v>
      </c>
      <c r="C638" t="s">
        <v>1335</v>
      </c>
      <c r="D638" t="s">
        <v>18</v>
      </c>
      <c r="E638" s="141">
        <v>4.5</v>
      </c>
      <c r="F638" s="141">
        <v>135</v>
      </c>
      <c r="G638" s="142"/>
      <c r="H638" s="142">
        <v>607.5</v>
      </c>
      <c r="I638" s="192">
        <v>52</v>
      </c>
    </row>
    <row r="639" spans="1:9" x14ac:dyDescent="0.65">
      <c r="A639" s="188">
        <v>40784</v>
      </c>
      <c r="B639" s="35" t="s">
        <v>1347</v>
      </c>
      <c r="C639" t="s">
        <v>1348</v>
      </c>
      <c r="D639" t="s">
        <v>18</v>
      </c>
      <c r="E639" s="141">
        <v>5</v>
      </c>
      <c r="F639" s="141">
        <v>90</v>
      </c>
      <c r="G639" s="142"/>
      <c r="H639" s="142">
        <v>450</v>
      </c>
      <c r="I639" s="192">
        <v>52</v>
      </c>
    </row>
    <row r="640" spans="1:9" x14ac:dyDescent="0.65">
      <c r="A640" s="188">
        <v>40784</v>
      </c>
      <c r="B640" s="35" t="s">
        <v>1358</v>
      </c>
      <c r="C640" t="s">
        <v>1359</v>
      </c>
      <c r="D640" t="s">
        <v>98</v>
      </c>
      <c r="E640" s="141">
        <v>1</v>
      </c>
      <c r="F640" s="141">
        <v>365</v>
      </c>
      <c r="G640" s="142"/>
      <c r="H640" s="142">
        <v>365</v>
      </c>
      <c r="I640" s="192">
        <v>52</v>
      </c>
    </row>
    <row r="641" spans="1:9" x14ac:dyDescent="0.65">
      <c r="A641" s="188">
        <v>40784</v>
      </c>
      <c r="B641" s="35" t="s">
        <v>1360</v>
      </c>
      <c r="C641" t="s">
        <v>1355</v>
      </c>
      <c r="D641" t="s">
        <v>98</v>
      </c>
      <c r="E641" s="141">
        <v>1</v>
      </c>
      <c r="F641" s="141">
        <v>365</v>
      </c>
      <c r="G641" s="142"/>
      <c r="H641" s="142">
        <v>365</v>
      </c>
      <c r="I641" s="192">
        <v>52</v>
      </c>
    </row>
    <row r="642" spans="1:9" x14ac:dyDescent="0.65">
      <c r="A642" s="188">
        <v>40784</v>
      </c>
      <c r="B642" s="35" t="s">
        <v>401</v>
      </c>
      <c r="C642" t="s">
        <v>1357</v>
      </c>
      <c r="D642" t="s">
        <v>98</v>
      </c>
      <c r="E642" s="141">
        <v>1</v>
      </c>
      <c r="F642" s="141">
        <v>365</v>
      </c>
      <c r="G642" s="142"/>
      <c r="H642" s="142">
        <v>365</v>
      </c>
      <c r="I642" s="192">
        <v>52</v>
      </c>
    </row>
    <row r="643" spans="1:9" x14ac:dyDescent="0.65">
      <c r="A643" s="188">
        <v>40785</v>
      </c>
      <c r="B643" s="35" t="s">
        <v>401</v>
      </c>
      <c r="C643" t="s">
        <v>1357</v>
      </c>
      <c r="D643" t="s">
        <v>98</v>
      </c>
      <c r="E643" s="141">
        <v>1</v>
      </c>
      <c r="F643" s="141">
        <v>365</v>
      </c>
      <c r="G643" s="142"/>
      <c r="H643" s="142">
        <v>365</v>
      </c>
      <c r="I643" s="192">
        <v>52</v>
      </c>
    </row>
    <row r="644" spans="1:9" x14ac:dyDescent="0.65">
      <c r="A644" s="188">
        <v>40785</v>
      </c>
      <c r="B644" s="35" t="s">
        <v>1360</v>
      </c>
      <c r="C644" t="s">
        <v>1355</v>
      </c>
      <c r="D644" t="s">
        <v>98</v>
      </c>
      <c r="E644" s="141">
        <v>1</v>
      </c>
      <c r="F644" s="141">
        <v>365</v>
      </c>
      <c r="G644" s="142"/>
      <c r="H644" s="142">
        <v>365</v>
      </c>
      <c r="I644" s="192">
        <v>52</v>
      </c>
    </row>
    <row r="645" spans="1:9" x14ac:dyDescent="0.65">
      <c r="A645" s="188">
        <v>40785</v>
      </c>
      <c r="B645" s="35" t="s">
        <v>1358</v>
      </c>
      <c r="C645" t="s">
        <v>1359</v>
      </c>
      <c r="D645" t="s">
        <v>98</v>
      </c>
      <c r="E645" s="141">
        <v>1</v>
      </c>
      <c r="F645" s="141">
        <v>365</v>
      </c>
      <c r="G645" s="142"/>
      <c r="H645" s="142">
        <v>365</v>
      </c>
      <c r="I645" s="192">
        <v>52</v>
      </c>
    </row>
    <row r="646" spans="1:9" x14ac:dyDescent="0.65">
      <c r="A646" s="188">
        <v>40785</v>
      </c>
      <c r="B646" s="35" t="s">
        <v>1347</v>
      </c>
      <c r="C646" t="s">
        <v>1348</v>
      </c>
      <c r="D646" t="s">
        <v>18</v>
      </c>
      <c r="E646" s="141">
        <v>2</v>
      </c>
      <c r="F646" s="141">
        <v>90</v>
      </c>
      <c r="G646" s="142"/>
      <c r="H646" s="142">
        <v>180</v>
      </c>
      <c r="I646" s="192">
        <v>52</v>
      </c>
    </row>
    <row r="647" spans="1:9" x14ac:dyDescent="0.65">
      <c r="A647" s="188">
        <v>40785</v>
      </c>
      <c r="B647" s="35" t="s">
        <v>1334</v>
      </c>
      <c r="C647" t="s">
        <v>1335</v>
      </c>
      <c r="D647" t="s">
        <v>18</v>
      </c>
      <c r="E647" s="141">
        <v>7</v>
      </c>
      <c r="F647" s="141">
        <v>135</v>
      </c>
      <c r="G647" s="142"/>
      <c r="H647" s="142">
        <v>945</v>
      </c>
      <c r="I647" s="192">
        <v>52</v>
      </c>
    </row>
    <row r="648" spans="1:9" x14ac:dyDescent="0.65">
      <c r="A648" s="188">
        <v>40785</v>
      </c>
      <c r="B648" s="35" t="s">
        <v>1336</v>
      </c>
      <c r="C648" t="s">
        <v>1342</v>
      </c>
      <c r="D648" t="s">
        <v>18</v>
      </c>
      <c r="E648" s="141">
        <v>6</v>
      </c>
      <c r="F648" s="141">
        <v>90</v>
      </c>
      <c r="G648" s="142"/>
      <c r="H648" s="142">
        <v>540</v>
      </c>
      <c r="I648" s="192">
        <v>52</v>
      </c>
    </row>
    <row r="649" spans="1:9" x14ac:dyDescent="0.65">
      <c r="A649" s="189" t="s">
        <v>448</v>
      </c>
      <c r="B649" s="183" t="s">
        <v>1382</v>
      </c>
      <c r="C649" s="184" t="s">
        <v>448</v>
      </c>
      <c r="D649" s="184" t="s">
        <v>448</v>
      </c>
      <c r="E649" s="185"/>
      <c r="F649" s="185"/>
      <c r="G649" s="186"/>
      <c r="H649" s="186">
        <v>164870.94</v>
      </c>
      <c r="I649" s="193" t="s">
        <v>1767</v>
      </c>
    </row>
    <row r="650" spans="1:9" x14ac:dyDescent="0.65">
      <c r="A650" s="188" t="s">
        <v>448</v>
      </c>
      <c r="B650" s="35" t="s">
        <v>448</v>
      </c>
      <c r="C650" t="s">
        <v>448</v>
      </c>
      <c r="D650" t="s">
        <v>448</v>
      </c>
      <c r="E650" s="141"/>
      <c r="F650" s="141"/>
      <c r="G650" s="142"/>
      <c r="H650" s="142"/>
      <c r="I650" s="191" t="s">
        <v>1767</v>
      </c>
    </row>
    <row r="651" spans="1:9" x14ac:dyDescent="0.65">
      <c r="A651" s="187" t="s">
        <v>448</v>
      </c>
      <c r="B651" s="29" t="s">
        <v>1818</v>
      </c>
      <c r="C651" s="27" t="s">
        <v>448</v>
      </c>
      <c r="D651" s="27" t="s">
        <v>448</v>
      </c>
      <c r="E651" s="181"/>
      <c r="F651" s="181"/>
      <c r="G651" s="182"/>
      <c r="H651" s="182"/>
      <c r="I651" s="140" t="s">
        <v>1767</v>
      </c>
    </row>
    <row r="652" spans="1:9" x14ac:dyDescent="0.65">
      <c r="A652" s="188">
        <v>40704</v>
      </c>
      <c r="B652" s="35" t="s">
        <v>7</v>
      </c>
      <c r="C652" t="s">
        <v>7</v>
      </c>
      <c r="D652" t="s">
        <v>18</v>
      </c>
      <c r="E652" s="141">
        <v>2</v>
      </c>
      <c r="F652" s="141">
        <v>39.39</v>
      </c>
      <c r="G652" s="142"/>
      <c r="H652" s="142">
        <v>78.78</v>
      </c>
      <c r="I652" s="192">
        <v>53</v>
      </c>
    </row>
    <row r="653" spans="1:9" x14ac:dyDescent="0.65">
      <c r="A653" s="188">
        <v>40704</v>
      </c>
      <c r="B653" s="35" t="s">
        <v>7</v>
      </c>
      <c r="C653" t="s">
        <v>7</v>
      </c>
      <c r="D653" t="s">
        <v>18</v>
      </c>
      <c r="E653" s="141">
        <v>2</v>
      </c>
      <c r="F653" s="141">
        <v>39.39</v>
      </c>
      <c r="G653" s="142"/>
      <c r="H653" s="142">
        <v>78.78</v>
      </c>
      <c r="I653" s="192">
        <v>53</v>
      </c>
    </row>
    <row r="654" spans="1:9" x14ac:dyDescent="0.65">
      <c r="A654" s="188">
        <v>40704</v>
      </c>
      <c r="B654" s="35" t="s">
        <v>1344</v>
      </c>
      <c r="C654" t="s">
        <v>1345</v>
      </c>
      <c r="D654" t="s">
        <v>18</v>
      </c>
      <c r="E654" s="141">
        <v>2</v>
      </c>
      <c r="F654" s="141">
        <v>80</v>
      </c>
      <c r="G654" s="142"/>
      <c r="H654" s="142">
        <v>160</v>
      </c>
      <c r="I654" s="192">
        <v>53</v>
      </c>
    </row>
    <row r="655" spans="1:9" x14ac:dyDescent="0.65">
      <c r="A655" s="188">
        <v>40770</v>
      </c>
      <c r="B655" s="35" t="s">
        <v>1344</v>
      </c>
      <c r="C655" t="s">
        <v>1345</v>
      </c>
      <c r="D655" t="s">
        <v>18</v>
      </c>
      <c r="E655" s="141">
        <v>1</v>
      </c>
      <c r="F655" s="141">
        <v>80</v>
      </c>
      <c r="G655" s="142"/>
      <c r="H655" s="142">
        <v>80</v>
      </c>
      <c r="I655" s="192">
        <v>53</v>
      </c>
    </row>
    <row r="656" spans="1:9" x14ac:dyDescent="0.65">
      <c r="A656" s="188">
        <v>40770</v>
      </c>
      <c r="B656" s="35" t="s">
        <v>7</v>
      </c>
      <c r="C656" t="s">
        <v>7</v>
      </c>
      <c r="D656" t="s">
        <v>18</v>
      </c>
      <c r="E656" s="141">
        <v>105</v>
      </c>
      <c r="F656" s="141">
        <v>32.200000000000003</v>
      </c>
      <c r="G656" s="142"/>
      <c r="H656" s="142">
        <v>3381</v>
      </c>
      <c r="I656" s="192">
        <v>53</v>
      </c>
    </row>
    <row r="657" spans="1:9" x14ac:dyDescent="0.65">
      <c r="A657" s="188">
        <v>40771</v>
      </c>
      <c r="B657" s="35" t="s">
        <v>1344</v>
      </c>
      <c r="C657" t="s">
        <v>1345</v>
      </c>
      <c r="D657" t="s">
        <v>18</v>
      </c>
      <c r="E657" s="141">
        <v>1</v>
      </c>
      <c r="F657" s="141">
        <v>80</v>
      </c>
      <c r="G657" s="142"/>
      <c r="H657" s="142">
        <v>80</v>
      </c>
      <c r="I657" s="192">
        <v>53</v>
      </c>
    </row>
    <row r="658" spans="1:9" x14ac:dyDescent="0.65">
      <c r="A658" s="188">
        <v>40791</v>
      </c>
      <c r="B658" s="35" t="s">
        <v>1347</v>
      </c>
      <c r="C658" t="s">
        <v>1348</v>
      </c>
      <c r="D658" t="s">
        <v>18</v>
      </c>
      <c r="E658" s="141">
        <v>7</v>
      </c>
      <c r="F658" s="141">
        <v>90</v>
      </c>
      <c r="G658" s="142"/>
      <c r="H658" s="142">
        <v>630</v>
      </c>
      <c r="I658" s="192">
        <v>53</v>
      </c>
    </row>
    <row r="659" spans="1:9" x14ac:dyDescent="0.65">
      <c r="A659" s="188">
        <v>40791</v>
      </c>
      <c r="B659" s="35" t="s">
        <v>1336</v>
      </c>
      <c r="C659" t="s">
        <v>7</v>
      </c>
      <c r="D659" t="s">
        <v>18</v>
      </c>
      <c r="E659" s="141">
        <v>5</v>
      </c>
      <c r="F659" s="141">
        <v>95</v>
      </c>
      <c r="G659" s="142"/>
      <c r="H659" s="142">
        <v>475</v>
      </c>
      <c r="I659" s="192">
        <v>53</v>
      </c>
    </row>
    <row r="660" spans="1:9" x14ac:dyDescent="0.65">
      <c r="A660" s="188">
        <v>40791</v>
      </c>
      <c r="B660" s="35" t="s">
        <v>1334</v>
      </c>
      <c r="C660" t="s">
        <v>1335</v>
      </c>
      <c r="D660" t="s">
        <v>18</v>
      </c>
      <c r="E660" s="141">
        <v>7</v>
      </c>
      <c r="F660" s="141">
        <v>135</v>
      </c>
      <c r="G660" s="142"/>
      <c r="H660" s="142">
        <v>945</v>
      </c>
      <c r="I660" s="192">
        <v>53</v>
      </c>
    </row>
    <row r="661" spans="1:9" x14ac:dyDescent="0.65">
      <c r="A661" s="188">
        <v>40791</v>
      </c>
      <c r="B661" s="35" t="s">
        <v>1358</v>
      </c>
      <c r="C661" t="s">
        <v>1359</v>
      </c>
      <c r="D661" t="s">
        <v>98</v>
      </c>
      <c r="E661" s="141">
        <v>1</v>
      </c>
      <c r="F661" s="141">
        <v>365</v>
      </c>
      <c r="G661" s="142"/>
      <c r="H661" s="142">
        <v>365</v>
      </c>
      <c r="I661" s="192">
        <v>53</v>
      </c>
    </row>
    <row r="662" spans="1:9" x14ac:dyDescent="0.65">
      <c r="A662" s="188">
        <v>40791</v>
      </c>
      <c r="B662" s="35" t="s">
        <v>1344</v>
      </c>
      <c r="C662" t="s">
        <v>1345</v>
      </c>
      <c r="D662" t="s">
        <v>18</v>
      </c>
      <c r="E662" s="141">
        <v>1</v>
      </c>
      <c r="F662" s="141">
        <v>80</v>
      </c>
      <c r="G662" s="142"/>
      <c r="H662" s="142">
        <v>80</v>
      </c>
      <c r="I662" s="192">
        <v>53</v>
      </c>
    </row>
    <row r="663" spans="1:9" x14ac:dyDescent="0.65">
      <c r="A663" s="188">
        <v>40791</v>
      </c>
      <c r="B663" s="35" t="s">
        <v>1336</v>
      </c>
      <c r="C663" t="s">
        <v>1341</v>
      </c>
      <c r="D663" t="s">
        <v>18</v>
      </c>
      <c r="E663" s="141">
        <v>4.5</v>
      </c>
      <c r="F663" s="141">
        <v>95</v>
      </c>
      <c r="G663" s="142"/>
      <c r="H663" s="142">
        <v>427.5</v>
      </c>
      <c r="I663" s="192">
        <v>53</v>
      </c>
    </row>
    <row r="664" spans="1:9" x14ac:dyDescent="0.65">
      <c r="A664" s="188">
        <v>40791</v>
      </c>
      <c r="B664" s="35" t="s">
        <v>7</v>
      </c>
      <c r="C664" t="s">
        <v>7</v>
      </c>
      <c r="D664" t="s">
        <v>18</v>
      </c>
      <c r="E664" s="141">
        <v>6.5</v>
      </c>
      <c r="F664" s="141">
        <v>39.39</v>
      </c>
      <c r="G664" s="142"/>
      <c r="H664" s="142">
        <v>256.03500000000003</v>
      </c>
      <c r="I664" s="192">
        <v>53</v>
      </c>
    </row>
    <row r="665" spans="1:9" x14ac:dyDescent="0.65">
      <c r="A665" s="188">
        <v>40791</v>
      </c>
      <c r="B665" s="35" t="s">
        <v>1336</v>
      </c>
      <c r="C665" t="s">
        <v>1342</v>
      </c>
      <c r="D665" t="s">
        <v>18</v>
      </c>
      <c r="E665" s="141">
        <v>9.25</v>
      </c>
      <c r="F665" s="141">
        <v>90</v>
      </c>
      <c r="G665" s="142"/>
      <c r="H665" s="142">
        <v>832.5</v>
      </c>
      <c r="I665" s="192">
        <v>53</v>
      </c>
    </row>
    <row r="666" spans="1:9" x14ac:dyDescent="0.65">
      <c r="A666" s="188">
        <v>40791</v>
      </c>
      <c r="B666" s="35" t="s">
        <v>7</v>
      </c>
      <c r="C666" t="s">
        <v>7</v>
      </c>
      <c r="D666" t="s">
        <v>18</v>
      </c>
      <c r="E666" s="141">
        <v>3.5</v>
      </c>
      <c r="F666" s="141">
        <v>32.200000000000003</v>
      </c>
      <c r="G666" s="142"/>
      <c r="H666" s="142">
        <v>112.7</v>
      </c>
      <c r="I666" s="192">
        <v>53</v>
      </c>
    </row>
    <row r="667" spans="1:9" x14ac:dyDescent="0.65">
      <c r="A667" s="188">
        <v>40791</v>
      </c>
      <c r="B667" s="35" t="s">
        <v>7</v>
      </c>
      <c r="C667" t="s">
        <v>7</v>
      </c>
      <c r="D667" t="s">
        <v>18</v>
      </c>
      <c r="E667" s="141">
        <v>6.5</v>
      </c>
      <c r="F667" s="141">
        <v>39.39</v>
      </c>
      <c r="G667" s="142"/>
      <c r="H667" s="142">
        <v>256.03500000000003</v>
      </c>
      <c r="I667" s="192">
        <v>53</v>
      </c>
    </row>
    <row r="668" spans="1:9" x14ac:dyDescent="0.65">
      <c r="A668" s="188">
        <v>40792</v>
      </c>
      <c r="B668" s="35" t="s">
        <v>1336</v>
      </c>
      <c r="C668" t="s">
        <v>1342</v>
      </c>
      <c r="D668" t="s">
        <v>18</v>
      </c>
      <c r="E668" s="141">
        <v>9</v>
      </c>
      <c r="F668" s="141">
        <v>90</v>
      </c>
      <c r="G668" s="142"/>
      <c r="H668" s="142">
        <v>810</v>
      </c>
      <c r="I668" s="192">
        <v>53</v>
      </c>
    </row>
    <row r="669" spans="1:9" x14ac:dyDescent="0.65">
      <c r="A669" s="188">
        <v>40792</v>
      </c>
      <c r="B669" s="35" t="s">
        <v>7</v>
      </c>
      <c r="C669" t="s">
        <v>7</v>
      </c>
      <c r="D669" t="s">
        <v>18</v>
      </c>
      <c r="E669" s="141">
        <v>3</v>
      </c>
      <c r="F669" s="141">
        <v>39.39</v>
      </c>
      <c r="G669" s="142"/>
      <c r="H669" s="142">
        <v>118.17</v>
      </c>
      <c r="I669" s="192">
        <v>53</v>
      </c>
    </row>
    <row r="670" spans="1:9" x14ac:dyDescent="0.65">
      <c r="A670" s="188">
        <v>40792</v>
      </c>
      <c r="B670" s="35" t="s">
        <v>1334</v>
      </c>
      <c r="C670" t="s">
        <v>1335</v>
      </c>
      <c r="D670" t="s">
        <v>18</v>
      </c>
      <c r="E670" s="141">
        <v>4</v>
      </c>
      <c r="F670" s="141">
        <v>135</v>
      </c>
      <c r="G670" s="142"/>
      <c r="H670" s="142">
        <v>540</v>
      </c>
      <c r="I670" s="192">
        <v>53</v>
      </c>
    </row>
    <row r="671" spans="1:9" x14ac:dyDescent="0.65">
      <c r="A671" s="188">
        <v>40792</v>
      </c>
      <c r="B671" s="35" t="s">
        <v>1347</v>
      </c>
      <c r="C671" t="s">
        <v>1348</v>
      </c>
      <c r="D671" t="s">
        <v>18</v>
      </c>
      <c r="E671" s="141">
        <v>3</v>
      </c>
      <c r="F671" s="141">
        <v>90</v>
      </c>
      <c r="G671" s="142"/>
      <c r="H671" s="142">
        <v>270</v>
      </c>
      <c r="I671" s="192">
        <v>53</v>
      </c>
    </row>
    <row r="672" spans="1:9" x14ac:dyDescent="0.65">
      <c r="A672" s="188">
        <v>40793</v>
      </c>
      <c r="B672" s="35" t="s">
        <v>7</v>
      </c>
      <c r="C672" t="s">
        <v>7</v>
      </c>
      <c r="D672" t="s">
        <v>18</v>
      </c>
      <c r="E672" s="141">
        <v>2</v>
      </c>
      <c r="F672" s="141">
        <v>39.39</v>
      </c>
      <c r="G672" s="142"/>
      <c r="H672" s="142">
        <v>78.78</v>
      </c>
      <c r="I672" s="192">
        <v>53</v>
      </c>
    </row>
    <row r="673" spans="1:9" x14ac:dyDescent="0.65">
      <c r="A673" s="188">
        <v>40793</v>
      </c>
      <c r="B673" s="35" t="s">
        <v>1334</v>
      </c>
      <c r="C673" t="s">
        <v>1335</v>
      </c>
      <c r="D673" t="s">
        <v>18</v>
      </c>
      <c r="E673" s="141">
        <v>4</v>
      </c>
      <c r="F673" s="141">
        <v>135</v>
      </c>
      <c r="G673" s="142"/>
      <c r="H673" s="142">
        <v>540</v>
      </c>
      <c r="I673" s="192">
        <v>53</v>
      </c>
    </row>
    <row r="674" spans="1:9" x14ac:dyDescent="0.65">
      <c r="A674" s="188">
        <v>40793</v>
      </c>
      <c r="B674" s="35" t="s">
        <v>1347</v>
      </c>
      <c r="C674" t="s">
        <v>1348</v>
      </c>
      <c r="D674" t="s">
        <v>18</v>
      </c>
      <c r="E674" s="141">
        <v>4</v>
      </c>
      <c r="F674" s="141">
        <v>90</v>
      </c>
      <c r="G674" s="142"/>
      <c r="H674" s="142">
        <v>360</v>
      </c>
      <c r="I674" s="192">
        <v>53</v>
      </c>
    </row>
    <row r="675" spans="1:9" x14ac:dyDescent="0.65">
      <c r="A675" s="188">
        <v>40795</v>
      </c>
      <c r="B675" s="35" t="s">
        <v>1347</v>
      </c>
      <c r="C675" t="s">
        <v>1348</v>
      </c>
      <c r="D675" t="s">
        <v>18</v>
      </c>
      <c r="E675" s="141">
        <v>3</v>
      </c>
      <c r="F675" s="141">
        <v>90</v>
      </c>
      <c r="G675" s="142"/>
      <c r="H675" s="142">
        <v>270</v>
      </c>
      <c r="I675" s="192">
        <v>53</v>
      </c>
    </row>
    <row r="676" spans="1:9" x14ac:dyDescent="0.65">
      <c r="A676" s="188">
        <v>40795</v>
      </c>
      <c r="B676" s="35" t="s">
        <v>1334</v>
      </c>
      <c r="C676" t="s">
        <v>1335</v>
      </c>
      <c r="D676" t="s">
        <v>18</v>
      </c>
      <c r="E676" s="141">
        <v>3</v>
      </c>
      <c r="F676" s="141">
        <v>135</v>
      </c>
      <c r="G676" s="142"/>
      <c r="H676" s="142">
        <v>405</v>
      </c>
      <c r="I676" s="192">
        <v>53</v>
      </c>
    </row>
    <row r="677" spans="1:9" x14ac:dyDescent="0.65">
      <c r="A677" s="189" t="s">
        <v>448</v>
      </c>
      <c r="B677" s="183" t="s">
        <v>1383</v>
      </c>
      <c r="C677" s="184" t="s">
        <v>448</v>
      </c>
      <c r="D677" s="184" t="s">
        <v>448</v>
      </c>
      <c r="E677" s="185"/>
      <c r="F677" s="185"/>
      <c r="G677" s="186"/>
      <c r="H677" s="186">
        <v>11630.28</v>
      </c>
      <c r="I677" s="193" t="s">
        <v>1767</v>
      </c>
    </row>
    <row r="678" spans="1:9" x14ac:dyDescent="0.65">
      <c r="A678" s="188" t="s">
        <v>448</v>
      </c>
      <c r="B678" s="35" t="s">
        <v>448</v>
      </c>
      <c r="C678" t="s">
        <v>448</v>
      </c>
      <c r="D678" t="s">
        <v>448</v>
      </c>
      <c r="E678" s="141"/>
      <c r="F678" s="141"/>
      <c r="G678" s="142"/>
      <c r="H678" s="142"/>
      <c r="I678" s="191" t="s">
        <v>1767</v>
      </c>
    </row>
    <row r="679" spans="1:9" x14ac:dyDescent="0.65">
      <c r="A679" s="187" t="s">
        <v>448</v>
      </c>
      <c r="B679" s="29" t="s">
        <v>1819</v>
      </c>
      <c r="C679" s="27" t="s">
        <v>448</v>
      </c>
      <c r="D679" s="27" t="s">
        <v>448</v>
      </c>
      <c r="E679" s="181"/>
      <c r="F679" s="181"/>
      <c r="G679" s="182"/>
      <c r="H679" s="182"/>
      <c r="I679" s="140" t="s">
        <v>1767</v>
      </c>
    </row>
    <row r="680" spans="1:9" x14ac:dyDescent="0.65">
      <c r="A680" s="188">
        <v>40714</v>
      </c>
      <c r="B680" s="35" t="s">
        <v>1334</v>
      </c>
      <c r="C680" t="s">
        <v>1335</v>
      </c>
      <c r="D680" t="s">
        <v>18</v>
      </c>
      <c r="E680" s="141">
        <v>1</v>
      </c>
      <c r="F680" s="141">
        <v>135</v>
      </c>
      <c r="G680" s="142"/>
      <c r="H680" s="142">
        <v>135</v>
      </c>
      <c r="I680" s="192">
        <v>57</v>
      </c>
    </row>
    <row r="681" spans="1:9" x14ac:dyDescent="0.65">
      <c r="A681" s="188">
        <v>40715</v>
      </c>
      <c r="B681" s="35" t="s">
        <v>1370</v>
      </c>
      <c r="C681" t="s">
        <v>7</v>
      </c>
      <c r="D681" t="s">
        <v>18</v>
      </c>
      <c r="E681" s="141">
        <v>6</v>
      </c>
      <c r="F681" s="141">
        <v>39.18</v>
      </c>
      <c r="G681" s="142"/>
      <c r="H681" s="142">
        <v>235.08</v>
      </c>
      <c r="I681" s="192">
        <v>57</v>
      </c>
    </row>
    <row r="682" spans="1:9" x14ac:dyDescent="0.65">
      <c r="A682" s="188">
        <v>40715</v>
      </c>
      <c r="B682" s="35" t="s">
        <v>7</v>
      </c>
      <c r="C682" t="s">
        <v>7</v>
      </c>
      <c r="D682" t="s">
        <v>18</v>
      </c>
      <c r="E682" s="141">
        <v>10</v>
      </c>
      <c r="F682" s="141">
        <v>39.39</v>
      </c>
      <c r="G682" s="142"/>
      <c r="H682" s="142">
        <v>393.9</v>
      </c>
      <c r="I682" s="192">
        <v>57</v>
      </c>
    </row>
    <row r="683" spans="1:9" x14ac:dyDescent="0.65">
      <c r="A683" s="188">
        <v>40715</v>
      </c>
      <c r="B683" s="35" t="s">
        <v>1334</v>
      </c>
      <c r="C683" t="s">
        <v>1335</v>
      </c>
      <c r="D683" t="s">
        <v>18</v>
      </c>
      <c r="E683" s="141">
        <v>9.5</v>
      </c>
      <c r="F683" s="141">
        <v>135</v>
      </c>
      <c r="G683" s="142"/>
      <c r="H683" s="142">
        <v>1282.5</v>
      </c>
      <c r="I683" s="192">
        <v>57</v>
      </c>
    </row>
    <row r="684" spans="1:9" x14ac:dyDescent="0.65">
      <c r="A684" s="188">
        <v>40716</v>
      </c>
      <c r="B684" s="35" t="s">
        <v>1354</v>
      </c>
      <c r="C684" t="s">
        <v>1355</v>
      </c>
      <c r="D684" t="s">
        <v>98</v>
      </c>
      <c r="E684" s="141">
        <v>1</v>
      </c>
      <c r="F684" s="141">
        <v>365</v>
      </c>
      <c r="G684" s="142"/>
      <c r="H684" s="142">
        <v>365</v>
      </c>
      <c r="I684" s="192">
        <v>57</v>
      </c>
    </row>
    <row r="685" spans="1:9" x14ac:dyDescent="0.65">
      <c r="A685" s="188">
        <v>40716</v>
      </c>
      <c r="B685" s="35" t="s">
        <v>1344</v>
      </c>
      <c r="C685" t="s">
        <v>1345</v>
      </c>
      <c r="D685" t="s">
        <v>18</v>
      </c>
      <c r="E685" s="141">
        <v>1</v>
      </c>
      <c r="F685" s="141">
        <v>80</v>
      </c>
      <c r="G685" s="142"/>
      <c r="H685" s="142">
        <v>80</v>
      </c>
      <c r="I685" s="192">
        <v>57</v>
      </c>
    </row>
    <row r="686" spans="1:9" x14ac:dyDescent="0.65">
      <c r="A686" s="188">
        <v>40716</v>
      </c>
      <c r="B686" s="35" t="s">
        <v>1370</v>
      </c>
      <c r="C686" t="s">
        <v>7</v>
      </c>
      <c r="D686" t="s">
        <v>18</v>
      </c>
      <c r="E686" s="141">
        <v>3.5</v>
      </c>
      <c r="F686" s="141">
        <v>39.18</v>
      </c>
      <c r="G686" s="142"/>
      <c r="H686" s="142">
        <v>137.13</v>
      </c>
      <c r="I686" s="192">
        <v>57</v>
      </c>
    </row>
    <row r="687" spans="1:9" x14ac:dyDescent="0.65">
      <c r="A687" s="188">
        <v>40716</v>
      </c>
      <c r="B687" s="35" t="s">
        <v>1336</v>
      </c>
      <c r="C687" t="s">
        <v>1371</v>
      </c>
      <c r="D687" t="s">
        <v>18</v>
      </c>
      <c r="E687" s="141">
        <v>3.5</v>
      </c>
      <c r="F687" s="141">
        <v>65</v>
      </c>
      <c r="G687" s="142"/>
      <c r="H687" s="142">
        <v>227.5</v>
      </c>
      <c r="I687" s="192">
        <v>57</v>
      </c>
    </row>
    <row r="688" spans="1:9" x14ac:dyDescent="0.65">
      <c r="A688" s="188">
        <v>40716</v>
      </c>
      <c r="B688" s="35" t="s">
        <v>7</v>
      </c>
      <c r="C688" t="s">
        <v>7</v>
      </c>
      <c r="D688" t="s">
        <v>18</v>
      </c>
      <c r="E688" s="141">
        <v>4</v>
      </c>
      <c r="F688" s="141">
        <v>39.39</v>
      </c>
      <c r="G688" s="142"/>
      <c r="H688" s="142">
        <v>157.56</v>
      </c>
      <c r="I688" s="192">
        <v>57</v>
      </c>
    </row>
    <row r="689" spans="1:9" x14ac:dyDescent="0.65">
      <c r="A689" s="188">
        <v>40716</v>
      </c>
      <c r="B689" s="35" t="s">
        <v>1334</v>
      </c>
      <c r="C689" t="s">
        <v>1335</v>
      </c>
      <c r="D689" t="s">
        <v>18</v>
      </c>
      <c r="E689" s="141">
        <v>4</v>
      </c>
      <c r="F689" s="141">
        <v>135</v>
      </c>
      <c r="G689" s="142"/>
      <c r="H689" s="142">
        <v>540</v>
      </c>
      <c r="I689" s="192">
        <v>57</v>
      </c>
    </row>
    <row r="690" spans="1:9" x14ac:dyDescent="0.65">
      <c r="A690" s="188">
        <v>40717</v>
      </c>
      <c r="B690" s="35" t="s">
        <v>7</v>
      </c>
      <c r="C690" t="s">
        <v>7</v>
      </c>
      <c r="D690" t="s">
        <v>18</v>
      </c>
      <c r="E690" s="141">
        <v>3</v>
      </c>
      <c r="F690" s="141">
        <v>39.39</v>
      </c>
      <c r="G690" s="142"/>
      <c r="H690" s="142">
        <v>118.17</v>
      </c>
      <c r="I690" s="192">
        <v>57</v>
      </c>
    </row>
    <row r="691" spans="1:9" x14ac:dyDescent="0.65">
      <c r="A691" s="188">
        <v>40717</v>
      </c>
      <c r="B691" s="35" t="s">
        <v>1334</v>
      </c>
      <c r="C691" t="s">
        <v>1335</v>
      </c>
      <c r="D691" t="s">
        <v>18</v>
      </c>
      <c r="E691" s="141">
        <v>9</v>
      </c>
      <c r="F691" s="141">
        <v>135</v>
      </c>
      <c r="G691" s="142"/>
      <c r="H691" s="142">
        <v>1215</v>
      </c>
      <c r="I691" s="192">
        <v>57</v>
      </c>
    </row>
    <row r="692" spans="1:9" x14ac:dyDescent="0.65">
      <c r="A692" s="188">
        <v>40717</v>
      </c>
      <c r="B692" s="35" t="s">
        <v>1354</v>
      </c>
      <c r="C692" t="s">
        <v>1355</v>
      </c>
      <c r="D692" t="s">
        <v>98</v>
      </c>
      <c r="E692" s="141">
        <v>1</v>
      </c>
      <c r="F692" s="141">
        <v>365</v>
      </c>
      <c r="G692" s="142"/>
      <c r="H692" s="142">
        <v>365</v>
      </c>
      <c r="I692" s="192">
        <v>57</v>
      </c>
    </row>
    <row r="693" spans="1:9" x14ac:dyDescent="0.65">
      <c r="A693" s="188">
        <v>40717</v>
      </c>
      <c r="B693" s="35" t="s">
        <v>7</v>
      </c>
      <c r="C693" t="s">
        <v>7</v>
      </c>
      <c r="D693" t="s">
        <v>18</v>
      </c>
      <c r="E693" s="141">
        <v>1.5</v>
      </c>
      <c r="F693" s="141">
        <v>39.39</v>
      </c>
      <c r="G693" s="142"/>
      <c r="H693" s="142">
        <v>59.085000000000001</v>
      </c>
      <c r="I693" s="192">
        <v>57</v>
      </c>
    </row>
    <row r="694" spans="1:9" x14ac:dyDescent="0.65">
      <c r="A694" s="188">
        <v>40717</v>
      </c>
      <c r="B694" s="35" t="s">
        <v>1370</v>
      </c>
      <c r="C694" t="s">
        <v>7</v>
      </c>
      <c r="D694" t="s">
        <v>18</v>
      </c>
      <c r="E694" s="141">
        <v>9.5</v>
      </c>
      <c r="F694" s="141">
        <v>39.18</v>
      </c>
      <c r="G694" s="142"/>
      <c r="H694" s="142">
        <v>372.21</v>
      </c>
      <c r="I694" s="192">
        <v>57</v>
      </c>
    </row>
    <row r="695" spans="1:9" x14ac:dyDescent="0.65">
      <c r="A695" s="188">
        <v>40717</v>
      </c>
      <c r="B695" s="35" t="s">
        <v>1336</v>
      </c>
      <c r="C695" t="s">
        <v>1371</v>
      </c>
      <c r="D695" t="s">
        <v>18</v>
      </c>
      <c r="E695" s="141">
        <v>9.5</v>
      </c>
      <c r="F695" s="141">
        <v>65</v>
      </c>
      <c r="G695" s="142"/>
      <c r="H695" s="142">
        <v>617.5</v>
      </c>
      <c r="I695" s="192">
        <v>57</v>
      </c>
    </row>
    <row r="696" spans="1:9" x14ac:dyDescent="0.65">
      <c r="A696" s="188">
        <v>40717</v>
      </c>
      <c r="B696" s="35" t="s">
        <v>1344</v>
      </c>
      <c r="C696" t="s">
        <v>1345</v>
      </c>
      <c r="D696" t="s">
        <v>18</v>
      </c>
      <c r="E696" s="141">
        <v>1</v>
      </c>
      <c r="F696" s="141">
        <v>80</v>
      </c>
      <c r="G696" s="142"/>
      <c r="H696" s="142">
        <v>80</v>
      </c>
      <c r="I696" s="192">
        <v>57</v>
      </c>
    </row>
    <row r="697" spans="1:9" x14ac:dyDescent="0.65">
      <c r="A697" s="188">
        <v>40721</v>
      </c>
      <c r="B697" s="35" t="s">
        <v>1354</v>
      </c>
      <c r="C697" t="s">
        <v>1355</v>
      </c>
      <c r="D697" t="s">
        <v>98</v>
      </c>
      <c r="E697" s="141">
        <v>1</v>
      </c>
      <c r="F697" s="141">
        <v>365</v>
      </c>
      <c r="G697" s="142"/>
      <c r="H697" s="142">
        <v>365</v>
      </c>
      <c r="I697" s="192">
        <v>57</v>
      </c>
    </row>
    <row r="698" spans="1:9" x14ac:dyDescent="0.65">
      <c r="A698" s="188">
        <v>40721</v>
      </c>
      <c r="B698" s="35" t="s">
        <v>1334</v>
      </c>
      <c r="C698" t="s">
        <v>1335</v>
      </c>
      <c r="D698" t="s">
        <v>18</v>
      </c>
      <c r="E698" s="141">
        <v>5</v>
      </c>
      <c r="F698" s="141">
        <v>135</v>
      </c>
      <c r="G698" s="142"/>
      <c r="H698" s="142">
        <v>675</v>
      </c>
      <c r="I698" s="192">
        <v>57</v>
      </c>
    </row>
    <row r="699" spans="1:9" x14ac:dyDescent="0.65">
      <c r="A699" s="188">
        <v>40721</v>
      </c>
      <c r="B699" s="35" t="s">
        <v>1336</v>
      </c>
      <c r="C699" t="s">
        <v>1371</v>
      </c>
      <c r="D699" t="s">
        <v>18</v>
      </c>
      <c r="E699" s="141">
        <v>2.5</v>
      </c>
      <c r="F699" s="141">
        <v>65</v>
      </c>
      <c r="G699" s="142"/>
      <c r="H699" s="142">
        <v>162.5</v>
      </c>
      <c r="I699" s="192">
        <v>57</v>
      </c>
    </row>
    <row r="700" spans="1:9" x14ac:dyDescent="0.65">
      <c r="A700" s="188">
        <v>40721</v>
      </c>
      <c r="B700" s="35" t="s">
        <v>1370</v>
      </c>
      <c r="C700" t="s">
        <v>7</v>
      </c>
      <c r="D700" t="s">
        <v>18</v>
      </c>
      <c r="E700" s="141">
        <v>3</v>
      </c>
      <c r="F700" s="141">
        <v>39.18</v>
      </c>
      <c r="G700" s="142"/>
      <c r="H700" s="142">
        <v>117.54</v>
      </c>
      <c r="I700" s="192">
        <v>57</v>
      </c>
    </row>
    <row r="701" spans="1:9" x14ac:dyDescent="0.65">
      <c r="A701" s="188">
        <v>40721</v>
      </c>
      <c r="B701" s="35" t="s">
        <v>7</v>
      </c>
      <c r="C701" t="s">
        <v>7</v>
      </c>
      <c r="D701" t="s">
        <v>18</v>
      </c>
      <c r="E701" s="141">
        <v>3.5</v>
      </c>
      <c r="F701" s="141">
        <v>39.39</v>
      </c>
      <c r="G701" s="142"/>
      <c r="H701" s="142">
        <v>137.86500000000001</v>
      </c>
      <c r="I701" s="192">
        <v>57</v>
      </c>
    </row>
    <row r="702" spans="1:9" x14ac:dyDescent="0.65">
      <c r="A702" s="188">
        <v>40721</v>
      </c>
      <c r="B702" s="35" t="s">
        <v>1336</v>
      </c>
      <c r="C702" t="s">
        <v>1342</v>
      </c>
      <c r="D702" t="s">
        <v>18</v>
      </c>
      <c r="E702" s="141">
        <v>5.5</v>
      </c>
      <c r="F702" s="141">
        <v>90</v>
      </c>
      <c r="G702" s="142"/>
      <c r="H702" s="142">
        <v>495</v>
      </c>
      <c r="I702" s="192">
        <v>57</v>
      </c>
    </row>
    <row r="703" spans="1:9" x14ac:dyDescent="0.65">
      <c r="A703" s="188">
        <v>40732</v>
      </c>
      <c r="B703" s="35" t="s">
        <v>1336</v>
      </c>
      <c r="C703" t="s">
        <v>1371</v>
      </c>
      <c r="D703" t="s">
        <v>18</v>
      </c>
      <c r="E703" s="141">
        <v>1.5</v>
      </c>
      <c r="F703" s="141">
        <v>65</v>
      </c>
      <c r="G703" s="142"/>
      <c r="H703" s="142">
        <v>97.5</v>
      </c>
      <c r="I703" s="192">
        <v>57</v>
      </c>
    </row>
    <row r="704" spans="1:9" x14ac:dyDescent="0.65">
      <c r="A704" s="188">
        <v>40732</v>
      </c>
      <c r="B704" s="35" t="s">
        <v>1370</v>
      </c>
      <c r="C704" t="s">
        <v>7</v>
      </c>
      <c r="D704" t="s">
        <v>18</v>
      </c>
      <c r="E704" s="141">
        <v>1.5</v>
      </c>
      <c r="F704" s="141">
        <v>39.18</v>
      </c>
      <c r="G704" s="142"/>
      <c r="H704" s="142">
        <v>58.77</v>
      </c>
      <c r="I704" s="192">
        <v>57</v>
      </c>
    </row>
    <row r="705" spans="1:9" x14ac:dyDescent="0.65">
      <c r="A705" s="188">
        <v>40732</v>
      </c>
      <c r="B705" s="35" t="s">
        <v>1334</v>
      </c>
      <c r="C705" t="s">
        <v>1335</v>
      </c>
      <c r="D705" t="s">
        <v>18</v>
      </c>
      <c r="E705" s="141">
        <v>1</v>
      </c>
      <c r="F705" s="141">
        <v>135</v>
      </c>
      <c r="G705" s="142"/>
      <c r="H705" s="142">
        <v>135</v>
      </c>
      <c r="I705" s="192">
        <v>57</v>
      </c>
    </row>
    <row r="706" spans="1:9" x14ac:dyDescent="0.65">
      <c r="A706" s="188">
        <v>40732</v>
      </c>
      <c r="B706" s="35" t="s">
        <v>7</v>
      </c>
      <c r="C706" t="s">
        <v>7</v>
      </c>
      <c r="D706" t="s">
        <v>18</v>
      </c>
      <c r="E706" s="141">
        <v>1.5</v>
      </c>
      <c r="F706" s="141">
        <v>39.39</v>
      </c>
      <c r="G706" s="142"/>
      <c r="H706" s="142">
        <v>59.085000000000001</v>
      </c>
      <c r="I706" s="192">
        <v>57</v>
      </c>
    </row>
    <row r="707" spans="1:9" x14ac:dyDescent="0.65">
      <c r="A707" s="188">
        <v>40733</v>
      </c>
      <c r="B707" s="35" t="s">
        <v>1334</v>
      </c>
      <c r="C707" t="s">
        <v>1335</v>
      </c>
      <c r="D707" t="s">
        <v>18</v>
      </c>
      <c r="E707" s="141">
        <v>1</v>
      </c>
      <c r="F707" s="141">
        <v>135</v>
      </c>
      <c r="G707" s="142"/>
      <c r="H707" s="142">
        <v>135</v>
      </c>
      <c r="I707" s="192">
        <v>57</v>
      </c>
    </row>
    <row r="708" spans="1:9" x14ac:dyDescent="0.65">
      <c r="A708" s="188">
        <v>40733</v>
      </c>
      <c r="B708" s="35" t="s">
        <v>1336</v>
      </c>
      <c r="C708" t="s">
        <v>1371</v>
      </c>
      <c r="D708" t="s">
        <v>18</v>
      </c>
      <c r="E708" s="141">
        <v>1</v>
      </c>
      <c r="F708" s="141">
        <v>65</v>
      </c>
      <c r="G708" s="142"/>
      <c r="H708" s="142">
        <v>65</v>
      </c>
      <c r="I708" s="192">
        <v>57</v>
      </c>
    </row>
    <row r="709" spans="1:9" x14ac:dyDescent="0.65">
      <c r="A709" s="188">
        <v>40733</v>
      </c>
      <c r="B709" s="35" t="s">
        <v>1370</v>
      </c>
      <c r="C709" t="s">
        <v>7</v>
      </c>
      <c r="D709" t="s">
        <v>18</v>
      </c>
      <c r="E709" s="141">
        <v>1</v>
      </c>
      <c r="F709" s="141">
        <v>39.18</v>
      </c>
      <c r="G709" s="142"/>
      <c r="H709" s="142">
        <v>39.18</v>
      </c>
      <c r="I709" s="192">
        <v>57</v>
      </c>
    </row>
    <row r="710" spans="1:9" x14ac:dyDescent="0.65">
      <c r="A710" s="188">
        <v>40735</v>
      </c>
      <c r="B710" s="35" t="s">
        <v>1336</v>
      </c>
      <c r="C710" t="s">
        <v>1346</v>
      </c>
      <c r="D710" t="s">
        <v>18</v>
      </c>
      <c r="E710" s="141">
        <v>4</v>
      </c>
      <c r="F710" s="141">
        <v>95</v>
      </c>
      <c r="G710" s="142"/>
      <c r="H710" s="142">
        <v>380</v>
      </c>
      <c r="I710" s="192">
        <v>57</v>
      </c>
    </row>
    <row r="711" spans="1:9" x14ac:dyDescent="0.65">
      <c r="A711" s="188">
        <v>40735</v>
      </c>
      <c r="B711" s="35" t="s">
        <v>7</v>
      </c>
      <c r="C711" t="s">
        <v>7</v>
      </c>
      <c r="D711" t="s">
        <v>18</v>
      </c>
      <c r="E711" s="141">
        <v>3</v>
      </c>
      <c r="F711" s="141">
        <v>39.39</v>
      </c>
      <c r="G711" s="142"/>
      <c r="H711" s="142">
        <v>118.17</v>
      </c>
      <c r="I711" s="192">
        <v>57</v>
      </c>
    </row>
    <row r="712" spans="1:9" x14ac:dyDescent="0.65">
      <c r="A712" s="188">
        <v>40735</v>
      </c>
      <c r="B712" s="35" t="s">
        <v>1334</v>
      </c>
      <c r="C712" t="s">
        <v>1335</v>
      </c>
      <c r="D712" t="s">
        <v>18</v>
      </c>
      <c r="E712" s="141">
        <v>4</v>
      </c>
      <c r="F712" s="141">
        <v>135</v>
      </c>
      <c r="G712" s="142"/>
      <c r="H712" s="142">
        <v>540</v>
      </c>
      <c r="I712" s="192">
        <v>57</v>
      </c>
    </row>
    <row r="713" spans="1:9" x14ac:dyDescent="0.65">
      <c r="A713" s="188">
        <v>40735</v>
      </c>
      <c r="B713" s="35" t="s">
        <v>1336</v>
      </c>
      <c r="C713" t="s">
        <v>1337</v>
      </c>
      <c r="D713" t="s">
        <v>18</v>
      </c>
      <c r="E713" s="141">
        <v>4</v>
      </c>
      <c r="F713" s="141">
        <v>95</v>
      </c>
      <c r="G713" s="142"/>
      <c r="H713" s="142">
        <v>380</v>
      </c>
      <c r="I713" s="192">
        <v>57</v>
      </c>
    </row>
    <row r="714" spans="1:9" x14ac:dyDescent="0.65">
      <c r="A714" s="188">
        <v>40743</v>
      </c>
      <c r="B714" s="35" t="s">
        <v>7</v>
      </c>
      <c r="C714" t="s">
        <v>7</v>
      </c>
      <c r="D714" t="s">
        <v>18</v>
      </c>
      <c r="E714" s="141">
        <v>3</v>
      </c>
      <c r="F714" s="141">
        <v>39.39</v>
      </c>
      <c r="G714" s="142"/>
      <c r="H714" s="142">
        <v>118.17</v>
      </c>
      <c r="I714" s="192">
        <v>57</v>
      </c>
    </row>
    <row r="715" spans="1:9" x14ac:dyDescent="0.65">
      <c r="A715" s="188">
        <v>40743</v>
      </c>
      <c r="B715" s="35" t="s">
        <v>1334</v>
      </c>
      <c r="C715" t="s">
        <v>1335</v>
      </c>
      <c r="D715" t="s">
        <v>18</v>
      </c>
      <c r="E715" s="141">
        <v>9.5</v>
      </c>
      <c r="F715" s="141">
        <v>135</v>
      </c>
      <c r="G715" s="142"/>
      <c r="H715" s="142">
        <v>1282.5</v>
      </c>
      <c r="I715" s="192">
        <v>57</v>
      </c>
    </row>
    <row r="716" spans="1:9" x14ac:dyDescent="0.65">
      <c r="A716" s="188">
        <v>40743</v>
      </c>
      <c r="B716" s="35" t="s">
        <v>1336</v>
      </c>
      <c r="C716" t="s">
        <v>1337</v>
      </c>
      <c r="D716" t="s">
        <v>18</v>
      </c>
      <c r="E716" s="141">
        <v>3</v>
      </c>
      <c r="F716" s="141">
        <v>95</v>
      </c>
      <c r="G716" s="142"/>
      <c r="H716" s="142">
        <v>285</v>
      </c>
      <c r="I716" s="192">
        <v>57</v>
      </c>
    </row>
    <row r="717" spans="1:9" x14ac:dyDescent="0.65">
      <c r="A717" s="188">
        <v>40743</v>
      </c>
      <c r="B717" s="35" t="s">
        <v>7</v>
      </c>
      <c r="C717" t="s">
        <v>7</v>
      </c>
      <c r="D717" t="s">
        <v>18</v>
      </c>
      <c r="E717" s="141">
        <v>3</v>
      </c>
      <c r="F717" s="141">
        <v>39.39</v>
      </c>
      <c r="G717" s="142"/>
      <c r="H717" s="142">
        <v>118.17</v>
      </c>
      <c r="I717" s="192">
        <v>57</v>
      </c>
    </row>
    <row r="718" spans="1:9" x14ac:dyDescent="0.65">
      <c r="A718" s="188">
        <v>40743</v>
      </c>
      <c r="B718" s="35" t="s">
        <v>1336</v>
      </c>
      <c r="C718" t="s">
        <v>1342</v>
      </c>
      <c r="D718" t="s">
        <v>18</v>
      </c>
      <c r="E718" s="141">
        <v>9.5</v>
      </c>
      <c r="F718" s="141">
        <v>90</v>
      </c>
      <c r="G718" s="142"/>
      <c r="H718" s="142">
        <v>855</v>
      </c>
      <c r="I718" s="192">
        <v>57</v>
      </c>
    </row>
    <row r="719" spans="1:9" x14ac:dyDescent="0.65">
      <c r="A719" s="188">
        <v>40744</v>
      </c>
      <c r="B719" s="35" t="s">
        <v>1344</v>
      </c>
      <c r="C719" t="s">
        <v>1345</v>
      </c>
      <c r="D719" t="s">
        <v>18</v>
      </c>
      <c r="E719" s="141">
        <v>3</v>
      </c>
      <c r="F719" s="141">
        <v>80</v>
      </c>
      <c r="G719" s="142"/>
      <c r="H719" s="142">
        <v>240</v>
      </c>
      <c r="I719" s="192">
        <v>57</v>
      </c>
    </row>
    <row r="720" spans="1:9" x14ac:dyDescent="0.65">
      <c r="A720" s="188">
        <v>40744</v>
      </c>
      <c r="B720" s="35" t="s">
        <v>1336</v>
      </c>
      <c r="C720" t="s">
        <v>1342</v>
      </c>
      <c r="D720" t="s">
        <v>18</v>
      </c>
      <c r="E720" s="141">
        <v>6</v>
      </c>
      <c r="F720" s="141">
        <v>90</v>
      </c>
      <c r="G720" s="142"/>
      <c r="H720" s="142">
        <v>540</v>
      </c>
      <c r="I720" s="192">
        <v>57</v>
      </c>
    </row>
    <row r="721" spans="1:9" x14ac:dyDescent="0.65">
      <c r="A721" s="188">
        <v>40744</v>
      </c>
      <c r="B721" s="35" t="s">
        <v>7</v>
      </c>
      <c r="C721" t="s">
        <v>7</v>
      </c>
      <c r="D721" t="s">
        <v>18</v>
      </c>
      <c r="E721" s="141">
        <v>9.5</v>
      </c>
      <c r="F721" s="141">
        <v>39.39</v>
      </c>
      <c r="G721" s="142"/>
      <c r="H721" s="142">
        <v>374.20499999999998</v>
      </c>
      <c r="I721" s="192">
        <v>57</v>
      </c>
    </row>
    <row r="722" spans="1:9" x14ac:dyDescent="0.65">
      <c r="A722" s="188">
        <v>40744</v>
      </c>
      <c r="B722" s="35" t="s">
        <v>1334</v>
      </c>
      <c r="C722" t="s">
        <v>1335</v>
      </c>
      <c r="D722" t="s">
        <v>18</v>
      </c>
      <c r="E722" s="141">
        <v>6</v>
      </c>
      <c r="F722" s="141">
        <v>135</v>
      </c>
      <c r="G722" s="142"/>
      <c r="H722" s="142">
        <v>810</v>
      </c>
      <c r="I722" s="192">
        <v>57</v>
      </c>
    </row>
    <row r="723" spans="1:9" x14ac:dyDescent="0.65">
      <c r="A723" s="188">
        <v>40744</v>
      </c>
      <c r="B723" s="35" t="s">
        <v>1356</v>
      </c>
      <c r="C723" t="s">
        <v>1357</v>
      </c>
      <c r="D723" t="s">
        <v>98</v>
      </c>
      <c r="E723" s="141">
        <v>1</v>
      </c>
      <c r="F723" s="141">
        <v>365</v>
      </c>
      <c r="G723" s="142"/>
      <c r="H723" s="142">
        <v>365</v>
      </c>
      <c r="I723" s="192">
        <v>57</v>
      </c>
    </row>
    <row r="724" spans="1:9" x14ac:dyDescent="0.65">
      <c r="A724" s="188">
        <v>40744</v>
      </c>
      <c r="B724" s="35" t="s">
        <v>1336</v>
      </c>
      <c r="C724" t="s">
        <v>1337</v>
      </c>
      <c r="D724" t="s">
        <v>18</v>
      </c>
      <c r="E724" s="141">
        <v>6</v>
      </c>
      <c r="F724" s="141">
        <v>95</v>
      </c>
      <c r="G724" s="142"/>
      <c r="H724" s="142">
        <v>570</v>
      </c>
      <c r="I724" s="192">
        <v>57</v>
      </c>
    </row>
    <row r="725" spans="1:9" x14ac:dyDescent="0.65">
      <c r="A725" s="188">
        <v>40744</v>
      </c>
      <c r="B725" s="35" t="s">
        <v>1354</v>
      </c>
      <c r="C725" t="s">
        <v>1355</v>
      </c>
      <c r="D725" t="s">
        <v>98</v>
      </c>
      <c r="E725" s="141">
        <v>1</v>
      </c>
      <c r="F725" s="141">
        <v>365</v>
      </c>
      <c r="G725" s="142"/>
      <c r="H725" s="142">
        <v>365</v>
      </c>
      <c r="I725" s="192">
        <v>57</v>
      </c>
    </row>
    <row r="726" spans="1:9" x14ac:dyDescent="0.65">
      <c r="A726" s="188">
        <v>40745</v>
      </c>
      <c r="B726" s="35" t="s">
        <v>1336</v>
      </c>
      <c r="C726" t="s">
        <v>7</v>
      </c>
      <c r="D726" t="s">
        <v>18</v>
      </c>
      <c r="E726" s="141">
        <v>2</v>
      </c>
      <c r="F726" s="141">
        <v>95</v>
      </c>
      <c r="G726" s="142"/>
      <c r="H726" s="142">
        <v>190</v>
      </c>
      <c r="I726" s="192">
        <v>57</v>
      </c>
    </row>
    <row r="727" spans="1:9" x14ac:dyDescent="0.65">
      <c r="A727" s="188">
        <v>40745</v>
      </c>
      <c r="B727" s="35" t="s">
        <v>7</v>
      </c>
      <c r="C727" t="s">
        <v>7</v>
      </c>
      <c r="D727" t="s">
        <v>18</v>
      </c>
      <c r="E727" s="141">
        <v>3</v>
      </c>
      <c r="F727" s="141">
        <v>39.39</v>
      </c>
      <c r="G727" s="142"/>
      <c r="H727" s="142">
        <v>118.17</v>
      </c>
      <c r="I727" s="192">
        <v>57</v>
      </c>
    </row>
    <row r="728" spans="1:9" x14ac:dyDescent="0.65">
      <c r="A728" s="188">
        <v>40745</v>
      </c>
      <c r="B728" s="35" t="s">
        <v>1336</v>
      </c>
      <c r="C728" t="s">
        <v>1342</v>
      </c>
      <c r="D728" t="s">
        <v>18</v>
      </c>
      <c r="E728" s="141">
        <v>6</v>
      </c>
      <c r="F728" s="141">
        <v>90</v>
      </c>
      <c r="G728" s="142"/>
      <c r="H728" s="142">
        <v>540</v>
      </c>
      <c r="I728" s="192">
        <v>57</v>
      </c>
    </row>
    <row r="729" spans="1:9" x14ac:dyDescent="0.65">
      <c r="A729" s="188">
        <v>40745</v>
      </c>
      <c r="B729" s="35" t="s">
        <v>1354</v>
      </c>
      <c r="C729" t="s">
        <v>1355</v>
      </c>
      <c r="D729" t="s">
        <v>98</v>
      </c>
      <c r="E729" s="141">
        <v>1</v>
      </c>
      <c r="F729" s="141">
        <v>365</v>
      </c>
      <c r="G729" s="142"/>
      <c r="H729" s="142">
        <v>365</v>
      </c>
      <c r="I729" s="192">
        <v>57</v>
      </c>
    </row>
    <row r="730" spans="1:9" x14ac:dyDescent="0.65">
      <c r="A730" s="188">
        <v>40745</v>
      </c>
      <c r="B730" s="35" t="s">
        <v>1334</v>
      </c>
      <c r="C730" t="s">
        <v>1335</v>
      </c>
      <c r="D730" t="s">
        <v>18</v>
      </c>
      <c r="E730" s="141">
        <v>6</v>
      </c>
      <c r="F730" s="141">
        <v>135</v>
      </c>
      <c r="G730" s="142"/>
      <c r="H730" s="142">
        <v>810</v>
      </c>
      <c r="I730" s="192">
        <v>57</v>
      </c>
    </row>
    <row r="731" spans="1:9" x14ac:dyDescent="0.65">
      <c r="A731" s="188">
        <v>40746</v>
      </c>
      <c r="B731" s="35" t="s">
        <v>1354</v>
      </c>
      <c r="C731" t="s">
        <v>1355</v>
      </c>
      <c r="D731" t="s">
        <v>98</v>
      </c>
      <c r="E731" s="141">
        <v>1</v>
      </c>
      <c r="F731" s="141">
        <v>365</v>
      </c>
      <c r="G731" s="142"/>
      <c r="H731" s="142">
        <v>365</v>
      </c>
      <c r="I731" s="192">
        <v>57</v>
      </c>
    </row>
    <row r="732" spans="1:9" x14ac:dyDescent="0.65">
      <c r="A732" s="188">
        <v>40749</v>
      </c>
      <c r="B732" s="35" t="s">
        <v>1360</v>
      </c>
      <c r="C732" t="s">
        <v>1355</v>
      </c>
      <c r="D732" t="s">
        <v>98</v>
      </c>
      <c r="E732" s="141">
        <v>1</v>
      </c>
      <c r="F732" s="141">
        <v>365</v>
      </c>
      <c r="G732" s="142"/>
      <c r="H732" s="142">
        <v>365</v>
      </c>
      <c r="I732" s="192">
        <v>57</v>
      </c>
    </row>
    <row r="733" spans="1:9" x14ac:dyDescent="0.65">
      <c r="A733" s="188">
        <v>40750</v>
      </c>
      <c r="B733" s="35" t="s">
        <v>1360</v>
      </c>
      <c r="C733" t="s">
        <v>1355</v>
      </c>
      <c r="D733" t="s">
        <v>98</v>
      </c>
      <c r="E733" s="141">
        <v>1</v>
      </c>
      <c r="F733" s="141">
        <v>365</v>
      </c>
      <c r="G733" s="142"/>
      <c r="H733" s="142">
        <v>365</v>
      </c>
      <c r="I733" s="192">
        <v>57</v>
      </c>
    </row>
    <row r="734" spans="1:9" x14ac:dyDescent="0.65">
      <c r="A734" s="188">
        <v>40750</v>
      </c>
      <c r="B734" s="35" t="s">
        <v>1334</v>
      </c>
      <c r="C734" t="s">
        <v>1335</v>
      </c>
      <c r="D734" t="s">
        <v>18</v>
      </c>
      <c r="E734" s="141">
        <v>9.5</v>
      </c>
      <c r="F734" s="141">
        <v>135</v>
      </c>
      <c r="G734" s="142"/>
      <c r="H734" s="142">
        <v>1282.5</v>
      </c>
      <c r="I734" s="192">
        <v>57</v>
      </c>
    </row>
    <row r="735" spans="1:9" x14ac:dyDescent="0.65">
      <c r="A735" s="188">
        <v>40750</v>
      </c>
      <c r="B735" s="35" t="s">
        <v>7</v>
      </c>
      <c r="C735" t="s">
        <v>7</v>
      </c>
      <c r="D735" t="s">
        <v>18</v>
      </c>
      <c r="E735" s="141">
        <v>3.5</v>
      </c>
      <c r="F735" s="141">
        <v>39.39</v>
      </c>
      <c r="G735" s="142"/>
      <c r="H735" s="142">
        <v>137.86500000000001</v>
      </c>
      <c r="I735" s="192">
        <v>57</v>
      </c>
    </row>
    <row r="736" spans="1:9" x14ac:dyDescent="0.65">
      <c r="A736" s="188">
        <v>40750</v>
      </c>
      <c r="B736" s="35" t="s">
        <v>7</v>
      </c>
      <c r="C736" t="s">
        <v>7</v>
      </c>
      <c r="D736" t="s">
        <v>18</v>
      </c>
      <c r="E736" s="141">
        <v>7.5</v>
      </c>
      <c r="F736" s="141">
        <v>39.39</v>
      </c>
      <c r="G736" s="142"/>
      <c r="H736" s="142">
        <v>295.42500000000001</v>
      </c>
      <c r="I736" s="192">
        <v>57</v>
      </c>
    </row>
    <row r="737" spans="1:9" x14ac:dyDescent="0.65">
      <c r="A737" s="188">
        <v>40750</v>
      </c>
      <c r="B737" s="35" t="s">
        <v>1336</v>
      </c>
      <c r="C737" t="s">
        <v>7</v>
      </c>
      <c r="D737" t="s">
        <v>18</v>
      </c>
      <c r="E737" s="141">
        <v>9</v>
      </c>
      <c r="F737" s="141">
        <v>95</v>
      </c>
      <c r="G737" s="142"/>
      <c r="H737" s="142">
        <v>855</v>
      </c>
      <c r="I737" s="192">
        <v>57</v>
      </c>
    </row>
    <row r="738" spans="1:9" x14ac:dyDescent="0.65">
      <c r="A738" s="188">
        <v>40750</v>
      </c>
      <c r="B738" s="35" t="s">
        <v>1336</v>
      </c>
      <c r="C738" t="s">
        <v>1338</v>
      </c>
      <c r="D738" t="s">
        <v>18</v>
      </c>
      <c r="E738" s="141">
        <v>9</v>
      </c>
      <c r="F738" s="141">
        <v>95</v>
      </c>
      <c r="G738" s="142"/>
      <c r="H738" s="142">
        <v>855</v>
      </c>
      <c r="I738" s="192">
        <v>57</v>
      </c>
    </row>
    <row r="739" spans="1:9" x14ac:dyDescent="0.65">
      <c r="A739" s="188">
        <v>40750</v>
      </c>
      <c r="B739" s="35" t="s">
        <v>1336</v>
      </c>
      <c r="C739" t="s">
        <v>1341</v>
      </c>
      <c r="D739" t="s">
        <v>18</v>
      </c>
      <c r="E739" s="141">
        <v>9</v>
      </c>
      <c r="F739" s="141">
        <v>95</v>
      </c>
      <c r="G739" s="142"/>
      <c r="H739" s="142">
        <v>855</v>
      </c>
      <c r="I739" s="192">
        <v>57</v>
      </c>
    </row>
    <row r="740" spans="1:9" x14ac:dyDescent="0.65">
      <c r="A740" s="188">
        <v>40750</v>
      </c>
      <c r="B740" s="35" t="s">
        <v>1336</v>
      </c>
      <c r="C740" t="s">
        <v>1342</v>
      </c>
      <c r="D740" t="s">
        <v>18</v>
      </c>
      <c r="E740" s="141">
        <v>8.5</v>
      </c>
      <c r="F740" s="141">
        <v>90</v>
      </c>
      <c r="G740" s="142"/>
      <c r="H740" s="142">
        <v>765</v>
      </c>
      <c r="I740" s="192">
        <v>57</v>
      </c>
    </row>
    <row r="741" spans="1:9" x14ac:dyDescent="0.65">
      <c r="A741" s="188">
        <v>40751</v>
      </c>
      <c r="B741" s="35" t="s">
        <v>1336</v>
      </c>
      <c r="C741" t="s">
        <v>7</v>
      </c>
      <c r="D741" t="s">
        <v>18</v>
      </c>
      <c r="E741" s="141">
        <v>5</v>
      </c>
      <c r="F741" s="141">
        <v>95</v>
      </c>
      <c r="G741" s="142"/>
      <c r="H741" s="142">
        <v>475</v>
      </c>
      <c r="I741" s="192">
        <v>57</v>
      </c>
    </row>
    <row r="742" spans="1:9" x14ac:dyDescent="0.65">
      <c r="A742" s="188">
        <v>40751</v>
      </c>
      <c r="B742" s="35" t="s">
        <v>1336</v>
      </c>
      <c r="C742" t="s">
        <v>1342</v>
      </c>
      <c r="D742" t="s">
        <v>18</v>
      </c>
      <c r="E742" s="141">
        <v>3</v>
      </c>
      <c r="F742" s="141">
        <v>90</v>
      </c>
      <c r="G742" s="142"/>
      <c r="H742" s="142">
        <v>270</v>
      </c>
      <c r="I742" s="192">
        <v>57</v>
      </c>
    </row>
    <row r="743" spans="1:9" x14ac:dyDescent="0.65">
      <c r="A743" s="188">
        <v>40751</v>
      </c>
      <c r="B743" s="35" t="s">
        <v>1336</v>
      </c>
      <c r="C743" t="s">
        <v>1341</v>
      </c>
      <c r="D743" t="s">
        <v>18</v>
      </c>
      <c r="E743" s="141">
        <v>9</v>
      </c>
      <c r="F743" s="141">
        <v>95</v>
      </c>
      <c r="G743" s="142"/>
      <c r="H743" s="142">
        <v>855</v>
      </c>
      <c r="I743" s="192">
        <v>57</v>
      </c>
    </row>
    <row r="744" spans="1:9" x14ac:dyDescent="0.65">
      <c r="A744" s="188">
        <v>40751</v>
      </c>
      <c r="B744" s="35" t="s">
        <v>1336</v>
      </c>
      <c r="C744" t="s">
        <v>1338</v>
      </c>
      <c r="D744" t="s">
        <v>18</v>
      </c>
      <c r="E744" s="141">
        <v>9</v>
      </c>
      <c r="F744" s="141">
        <v>95</v>
      </c>
      <c r="G744" s="142"/>
      <c r="H744" s="142">
        <v>855</v>
      </c>
      <c r="I744" s="192">
        <v>57</v>
      </c>
    </row>
    <row r="745" spans="1:9" x14ac:dyDescent="0.65">
      <c r="A745" s="188">
        <v>40751</v>
      </c>
      <c r="B745" s="35" t="s">
        <v>1334</v>
      </c>
      <c r="C745" t="s">
        <v>1335</v>
      </c>
      <c r="D745" t="s">
        <v>18</v>
      </c>
      <c r="E745" s="141">
        <v>9</v>
      </c>
      <c r="F745" s="141">
        <v>135</v>
      </c>
      <c r="G745" s="142"/>
      <c r="H745" s="142">
        <v>1215</v>
      </c>
      <c r="I745" s="192">
        <v>57</v>
      </c>
    </row>
    <row r="746" spans="1:9" x14ac:dyDescent="0.65">
      <c r="A746" s="188">
        <v>40751</v>
      </c>
      <c r="B746" s="35" t="s">
        <v>7</v>
      </c>
      <c r="C746" t="s">
        <v>7</v>
      </c>
      <c r="D746" t="s">
        <v>18</v>
      </c>
      <c r="E746" s="141">
        <v>9.5</v>
      </c>
      <c r="F746" s="141">
        <v>39.39</v>
      </c>
      <c r="G746" s="142"/>
      <c r="H746" s="142">
        <v>374.20499999999998</v>
      </c>
      <c r="I746" s="192">
        <v>57</v>
      </c>
    </row>
    <row r="747" spans="1:9" x14ac:dyDescent="0.65">
      <c r="A747" s="188">
        <v>40752</v>
      </c>
      <c r="B747" s="35" t="s">
        <v>1334</v>
      </c>
      <c r="C747" t="s">
        <v>1335</v>
      </c>
      <c r="D747" t="s">
        <v>18</v>
      </c>
      <c r="E747" s="141">
        <v>4</v>
      </c>
      <c r="F747" s="141">
        <v>135</v>
      </c>
      <c r="G747" s="142"/>
      <c r="H747" s="142">
        <v>540</v>
      </c>
      <c r="I747" s="192">
        <v>57</v>
      </c>
    </row>
    <row r="748" spans="1:9" x14ac:dyDescent="0.65">
      <c r="A748" s="188">
        <v>40752</v>
      </c>
      <c r="B748" s="35" t="s">
        <v>1336</v>
      </c>
      <c r="C748" t="s">
        <v>1342</v>
      </c>
      <c r="D748" t="s">
        <v>18</v>
      </c>
      <c r="E748" s="141">
        <v>4</v>
      </c>
      <c r="F748" s="141">
        <v>90</v>
      </c>
      <c r="G748" s="142"/>
      <c r="H748" s="142">
        <v>360</v>
      </c>
      <c r="I748" s="192">
        <v>57</v>
      </c>
    </row>
    <row r="749" spans="1:9" x14ac:dyDescent="0.65">
      <c r="A749" s="188">
        <v>40768</v>
      </c>
      <c r="B749" s="35" t="s">
        <v>1336</v>
      </c>
      <c r="C749" t="s">
        <v>7</v>
      </c>
      <c r="D749" t="s">
        <v>18</v>
      </c>
      <c r="E749" s="141">
        <v>2</v>
      </c>
      <c r="F749" s="141">
        <v>95</v>
      </c>
      <c r="G749" s="142"/>
      <c r="H749" s="142">
        <v>190</v>
      </c>
      <c r="I749" s="192">
        <v>57</v>
      </c>
    </row>
    <row r="750" spans="1:9" x14ac:dyDescent="0.65">
      <c r="A750" s="188">
        <v>40768</v>
      </c>
      <c r="B750" s="35" t="s">
        <v>1344</v>
      </c>
      <c r="C750" t="s">
        <v>1345</v>
      </c>
      <c r="D750" t="s">
        <v>18</v>
      </c>
      <c r="E750" s="141">
        <v>3</v>
      </c>
      <c r="F750" s="141">
        <v>80</v>
      </c>
      <c r="G750" s="142"/>
      <c r="H750" s="142">
        <v>240</v>
      </c>
      <c r="I750" s="192">
        <v>57</v>
      </c>
    </row>
    <row r="751" spans="1:9" x14ac:dyDescent="0.65">
      <c r="A751" s="188">
        <v>40768</v>
      </c>
      <c r="B751" s="35" t="s">
        <v>7</v>
      </c>
      <c r="C751" t="s">
        <v>7</v>
      </c>
      <c r="D751" t="s">
        <v>18</v>
      </c>
      <c r="E751" s="141">
        <v>3.5</v>
      </c>
      <c r="F751" s="141">
        <v>39.39</v>
      </c>
      <c r="G751" s="142"/>
      <c r="H751" s="142">
        <v>137.86500000000001</v>
      </c>
      <c r="I751" s="192">
        <v>57</v>
      </c>
    </row>
    <row r="752" spans="1:9" x14ac:dyDescent="0.65">
      <c r="A752" s="188">
        <v>40768</v>
      </c>
      <c r="B752" s="35" t="s">
        <v>7</v>
      </c>
      <c r="C752" t="s">
        <v>7</v>
      </c>
      <c r="D752" t="s">
        <v>18</v>
      </c>
      <c r="E752" s="141">
        <v>3.5</v>
      </c>
      <c r="F752" s="141">
        <v>39.39</v>
      </c>
      <c r="G752" s="142"/>
      <c r="H752" s="142">
        <v>137.86500000000001</v>
      </c>
      <c r="I752" s="192">
        <v>57</v>
      </c>
    </row>
    <row r="753" spans="1:9" x14ac:dyDescent="0.65">
      <c r="A753" s="188">
        <v>40768</v>
      </c>
      <c r="B753" s="35" t="s">
        <v>382</v>
      </c>
      <c r="C753" t="s">
        <v>1384</v>
      </c>
      <c r="D753" t="s">
        <v>18</v>
      </c>
      <c r="E753" s="141">
        <v>5.5</v>
      </c>
      <c r="F753" s="141">
        <v>66.069999999999993</v>
      </c>
      <c r="G753" s="142"/>
      <c r="H753" s="142">
        <v>363.38499999999999</v>
      </c>
      <c r="I753" s="192">
        <v>57</v>
      </c>
    </row>
    <row r="754" spans="1:9" x14ac:dyDescent="0.65">
      <c r="A754" s="188">
        <v>40768</v>
      </c>
      <c r="B754" s="35" t="s">
        <v>401</v>
      </c>
      <c r="C754" t="s">
        <v>1357</v>
      </c>
      <c r="D754" t="s">
        <v>98</v>
      </c>
      <c r="E754" s="141">
        <v>1</v>
      </c>
      <c r="F754" s="141">
        <v>365</v>
      </c>
      <c r="G754" s="142"/>
      <c r="H754" s="142">
        <v>365</v>
      </c>
      <c r="I754" s="192">
        <v>57</v>
      </c>
    </row>
    <row r="755" spans="1:9" x14ac:dyDescent="0.65">
      <c r="A755" s="188">
        <v>40768</v>
      </c>
      <c r="B755" s="35" t="s">
        <v>398</v>
      </c>
      <c r="C755" t="s">
        <v>1355</v>
      </c>
      <c r="D755" t="s">
        <v>98</v>
      </c>
      <c r="E755" s="141">
        <v>1</v>
      </c>
      <c r="F755" s="141">
        <v>365</v>
      </c>
      <c r="G755" s="142"/>
      <c r="H755" s="142">
        <v>365</v>
      </c>
      <c r="I755" s="192">
        <v>57</v>
      </c>
    </row>
    <row r="756" spans="1:9" x14ac:dyDescent="0.65">
      <c r="A756" s="188">
        <v>40768</v>
      </c>
      <c r="B756" s="35" t="s">
        <v>7</v>
      </c>
      <c r="C756" t="s">
        <v>7</v>
      </c>
      <c r="D756" t="s">
        <v>18</v>
      </c>
      <c r="E756" s="141">
        <v>2.5</v>
      </c>
      <c r="F756" s="141">
        <v>32.200000000000003</v>
      </c>
      <c r="G756" s="142"/>
      <c r="H756" s="142">
        <v>80.5</v>
      </c>
      <c r="I756" s="192">
        <v>57</v>
      </c>
    </row>
    <row r="757" spans="1:9" x14ac:dyDescent="0.65">
      <c r="A757" s="188">
        <v>40768</v>
      </c>
      <c r="B757" s="35" t="s">
        <v>409</v>
      </c>
      <c r="C757" t="s">
        <v>1385</v>
      </c>
      <c r="D757" t="s">
        <v>18</v>
      </c>
      <c r="E757" s="141">
        <v>5.5</v>
      </c>
      <c r="F757" s="141">
        <v>21.61</v>
      </c>
      <c r="G757" s="142"/>
      <c r="H757" s="142">
        <v>118.855</v>
      </c>
      <c r="I757" s="192">
        <v>57</v>
      </c>
    </row>
    <row r="758" spans="1:9" x14ac:dyDescent="0.65">
      <c r="A758" s="188">
        <v>40770</v>
      </c>
      <c r="B758" s="35" t="s">
        <v>398</v>
      </c>
      <c r="C758" t="s">
        <v>1355</v>
      </c>
      <c r="D758" t="s">
        <v>98</v>
      </c>
      <c r="E758" s="141">
        <v>1</v>
      </c>
      <c r="F758" s="141">
        <v>365</v>
      </c>
      <c r="G758" s="142"/>
      <c r="H758" s="142">
        <v>365</v>
      </c>
      <c r="I758" s="192">
        <v>57</v>
      </c>
    </row>
    <row r="759" spans="1:9" x14ac:dyDescent="0.65">
      <c r="A759" s="188">
        <v>40770</v>
      </c>
      <c r="B759" s="35" t="s">
        <v>1344</v>
      </c>
      <c r="C759" t="s">
        <v>1345</v>
      </c>
      <c r="D759" t="s">
        <v>18</v>
      </c>
      <c r="E759" s="141">
        <v>2</v>
      </c>
      <c r="F759" s="141">
        <v>80</v>
      </c>
      <c r="G759" s="142"/>
      <c r="H759" s="142">
        <v>160</v>
      </c>
      <c r="I759" s="192">
        <v>57</v>
      </c>
    </row>
    <row r="760" spans="1:9" x14ac:dyDescent="0.65">
      <c r="A760" s="188">
        <v>40770</v>
      </c>
      <c r="B760" s="35" t="s">
        <v>1347</v>
      </c>
      <c r="C760" t="s">
        <v>1348</v>
      </c>
      <c r="D760" t="s">
        <v>18</v>
      </c>
      <c r="E760" s="141">
        <v>7</v>
      </c>
      <c r="F760" s="141">
        <v>90</v>
      </c>
      <c r="G760" s="142"/>
      <c r="H760" s="142">
        <v>630</v>
      </c>
      <c r="I760" s="192">
        <v>57</v>
      </c>
    </row>
    <row r="761" spans="1:9" x14ac:dyDescent="0.65">
      <c r="A761" s="188">
        <v>40770</v>
      </c>
      <c r="B761" s="35" t="s">
        <v>401</v>
      </c>
      <c r="C761" t="s">
        <v>1357</v>
      </c>
      <c r="D761" t="s">
        <v>98</v>
      </c>
      <c r="E761" s="141">
        <v>1</v>
      </c>
      <c r="F761" s="141">
        <v>365</v>
      </c>
      <c r="G761" s="142"/>
      <c r="H761" s="142">
        <v>365</v>
      </c>
      <c r="I761" s="192">
        <v>57</v>
      </c>
    </row>
    <row r="762" spans="1:9" x14ac:dyDescent="0.65">
      <c r="A762" s="188">
        <v>40770</v>
      </c>
      <c r="B762" s="35" t="s">
        <v>7</v>
      </c>
      <c r="C762" t="s">
        <v>7</v>
      </c>
      <c r="D762" t="s">
        <v>18</v>
      </c>
      <c r="E762" s="141">
        <v>8</v>
      </c>
      <c r="F762" s="141">
        <v>32.200000000000003</v>
      </c>
      <c r="G762" s="142"/>
      <c r="H762" s="142">
        <v>257.60000000000002</v>
      </c>
      <c r="I762" s="192">
        <v>57</v>
      </c>
    </row>
    <row r="763" spans="1:9" x14ac:dyDescent="0.65">
      <c r="A763" s="188">
        <v>40770</v>
      </c>
      <c r="B763" s="35" t="s">
        <v>7</v>
      </c>
      <c r="C763" t="s">
        <v>7</v>
      </c>
      <c r="D763" t="s">
        <v>18</v>
      </c>
      <c r="E763" s="141">
        <v>4</v>
      </c>
      <c r="F763" s="141">
        <v>32.200000000000003</v>
      </c>
      <c r="G763" s="142"/>
      <c r="H763" s="142">
        <v>128.80000000000001</v>
      </c>
      <c r="I763" s="192">
        <v>57</v>
      </c>
    </row>
    <row r="764" spans="1:9" x14ac:dyDescent="0.65">
      <c r="A764" s="188">
        <v>40770</v>
      </c>
      <c r="B764" s="35" t="s">
        <v>7</v>
      </c>
      <c r="C764" t="s">
        <v>7</v>
      </c>
      <c r="D764" t="s">
        <v>18</v>
      </c>
      <c r="E764" s="141">
        <v>4.5</v>
      </c>
      <c r="F764" s="141">
        <v>39.39</v>
      </c>
      <c r="G764" s="142"/>
      <c r="H764" s="142">
        <v>177.255</v>
      </c>
      <c r="I764" s="192">
        <v>57</v>
      </c>
    </row>
    <row r="765" spans="1:9" x14ac:dyDescent="0.65">
      <c r="A765" s="188">
        <v>40770</v>
      </c>
      <c r="B765" s="35" t="s">
        <v>1386</v>
      </c>
      <c r="C765" t="s">
        <v>1769</v>
      </c>
      <c r="D765" t="s">
        <v>18</v>
      </c>
      <c r="E765" s="141">
        <v>8</v>
      </c>
      <c r="F765" s="141">
        <v>57.7</v>
      </c>
      <c r="G765" s="142"/>
      <c r="H765" s="142">
        <v>461.6</v>
      </c>
      <c r="I765" s="192">
        <v>57</v>
      </c>
    </row>
    <row r="766" spans="1:9" x14ac:dyDescent="0.65">
      <c r="A766" s="188">
        <v>40770</v>
      </c>
      <c r="B766" s="35" t="s">
        <v>7</v>
      </c>
      <c r="C766" t="s">
        <v>7</v>
      </c>
      <c r="D766" t="s">
        <v>18</v>
      </c>
      <c r="E766" s="141">
        <v>8</v>
      </c>
      <c r="F766" s="141">
        <v>32.200000000000003</v>
      </c>
      <c r="G766" s="142"/>
      <c r="H766" s="142">
        <v>257.60000000000002</v>
      </c>
      <c r="I766" s="192">
        <v>57</v>
      </c>
    </row>
    <row r="767" spans="1:9" x14ac:dyDescent="0.65">
      <c r="A767" s="188">
        <v>40770</v>
      </c>
      <c r="B767" s="35" t="s">
        <v>409</v>
      </c>
      <c r="C767" t="s">
        <v>1385</v>
      </c>
      <c r="D767" t="s">
        <v>18</v>
      </c>
      <c r="E767" s="141">
        <v>7.5</v>
      </c>
      <c r="F767" s="141">
        <v>21.61</v>
      </c>
      <c r="G767" s="142"/>
      <c r="H767" s="142">
        <v>162.07499999999999</v>
      </c>
      <c r="I767" s="192">
        <v>57</v>
      </c>
    </row>
    <row r="768" spans="1:9" x14ac:dyDescent="0.65">
      <c r="A768" s="188">
        <v>40770</v>
      </c>
      <c r="B768" s="35" t="s">
        <v>1336</v>
      </c>
      <c r="C768" t="s">
        <v>7</v>
      </c>
      <c r="D768" t="s">
        <v>18</v>
      </c>
      <c r="E768" s="141">
        <v>6.5</v>
      </c>
      <c r="F768" s="141">
        <v>95</v>
      </c>
      <c r="G768" s="142"/>
      <c r="H768" s="142">
        <v>617.5</v>
      </c>
      <c r="I768" s="192">
        <v>57</v>
      </c>
    </row>
    <row r="769" spans="1:9" x14ac:dyDescent="0.65">
      <c r="A769" s="188">
        <v>40770</v>
      </c>
      <c r="B769" s="35" t="s">
        <v>382</v>
      </c>
      <c r="C769" t="s">
        <v>1384</v>
      </c>
      <c r="D769" t="s">
        <v>18</v>
      </c>
      <c r="E769" s="141">
        <v>7.5</v>
      </c>
      <c r="F769" s="141">
        <v>66.069999999999993</v>
      </c>
      <c r="G769" s="142"/>
      <c r="H769" s="142">
        <v>495.52499999999998</v>
      </c>
      <c r="I769" s="192">
        <v>57</v>
      </c>
    </row>
    <row r="770" spans="1:9" x14ac:dyDescent="0.65">
      <c r="A770" s="188">
        <v>40770</v>
      </c>
      <c r="B770" s="35" t="s">
        <v>7</v>
      </c>
      <c r="C770" t="s">
        <v>7</v>
      </c>
      <c r="D770" t="s">
        <v>18</v>
      </c>
      <c r="E770" s="141">
        <v>4.5</v>
      </c>
      <c r="F770" s="141">
        <v>39.39</v>
      </c>
      <c r="G770" s="142"/>
      <c r="H770" s="142">
        <v>177.255</v>
      </c>
      <c r="I770" s="192">
        <v>57</v>
      </c>
    </row>
    <row r="771" spans="1:9" x14ac:dyDescent="0.65">
      <c r="A771" s="188">
        <v>40770</v>
      </c>
      <c r="B771" s="35" t="s">
        <v>7</v>
      </c>
      <c r="C771" t="s">
        <v>7</v>
      </c>
      <c r="D771" t="s">
        <v>18</v>
      </c>
      <c r="E771" s="141">
        <v>4.5</v>
      </c>
      <c r="F771" s="141">
        <v>39.39</v>
      </c>
      <c r="G771" s="142"/>
      <c r="H771" s="142">
        <v>177.255</v>
      </c>
      <c r="I771" s="192">
        <v>57</v>
      </c>
    </row>
    <row r="772" spans="1:9" x14ac:dyDescent="0.65">
      <c r="A772" s="188">
        <v>40771</v>
      </c>
      <c r="B772" s="35" t="s">
        <v>1386</v>
      </c>
      <c r="C772" t="s">
        <v>1769</v>
      </c>
      <c r="D772" t="s">
        <v>18</v>
      </c>
      <c r="E772" s="141">
        <v>8</v>
      </c>
      <c r="F772" s="141">
        <v>57.7</v>
      </c>
      <c r="G772" s="142"/>
      <c r="H772" s="142">
        <v>461.6</v>
      </c>
      <c r="I772" s="192">
        <v>57</v>
      </c>
    </row>
    <row r="773" spans="1:9" x14ac:dyDescent="0.65">
      <c r="A773" s="188">
        <v>40771</v>
      </c>
      <c r="B773" s="35" t="s">
        <v>7</v>
      </c>
      <c r="C773" t="s">
        <v>7</v>
      </c>
      <c r="D773" t="s">
        <v>18</v>
      </c>
      <c r="E773" s="141">
        <v>8</v>
      </c>
      <c r="F773" s="141">
        <v>32.200000000000003</v>
      </c>
      <c r="G773" s="142"/>
      <c r="H773" s="142">
        <v>257.60000000000002</v>
      </c>
      <c r="I773" s="192">
        <v>57</v>
      </c>
    </row>
    <row r="774" spans="1:9" x14ac:dyDescent="0.65">
      <c r="A774" s="188">
        <v>40771</v>
      </c>
      <c r="B774" s="35" t="s">
        <v>7</v>
      </c>
      <c r="C774" t="s">
        <v>7</v>
      </c>
      <c r="D774" t="s">
        <v>18</v>
      </c>
      <c r="E774" s="141">
        <v>4</v>
      </c>
      <c r="F774" s="141">
        <v>32.200000000000003</v>
      </c>
      <c r="G774" s="142"/>
      <c r="H774" s="142">
        <v>128.80000000000001</v>
      </c>
      <c r="I774" s="192">
        <v>57</v>
      </c>
    </row>
    <row r="775" spans="1:9" x14ac:dyDescent="0.65">
      <c r="A775" s="188">
        <v>40771</v>
      </c>
      <c r="B775" s="35" t="s">
        <v>7</v>
      </c>
      <c r="C775" t="s">
        <v>7</v>
      </c>
      <c r="D775" t="s">
        <v>18</v>
      </c>
      <c r="E775" s="141">
        <v>4.5</v>
      </c>
      <c r="F775" s="141">
        <v>39.39</v>
      </c>
      <c r="G775" s="142"/>
      <c r="H775" s="142">
        <v>177.255</v>
      </c>
      <c r="I775" s="192">
        <v>57</v>
      </c>
    </row>
    <row r="776" spans="1:9" x14ac:dyDescent="0.65">
      <c r="A776" s="188">
        <v>40771</v>
      </c>
      <c r="B776" s="35" t="s">
        <v>7</v>
      </c>
      <c r="C776" t="s">
        <v>7</v>
      </c>
      <c r="D776" t="s">
        <v>18</v>
      </c>
      <c r="E776" s="141">
        <v>4</v>
      </c>
      <c r="F776" s="141">
        <v>39.39</v>
      </c>
      <c r="G776" s="142"/>
      <c r="H776" s="142">
        <v>157.56</v>
      </c>
      <c r="I776" s="192">
        <v>57</v>
      </c>
    </row>
    <row r="777" spans="1:9" x14ac:dyDescent="0.65">
      <c r="A777" s="188">
        <v>40771</v>
      </c>
      <c r="B777" s="35" t="s">
        <v>1347</v>
      </c>
      <c r="C777" t="s">
        <v>1348</v>
      </c>
      <c r="D777" t="s">
        <v>18</v>
      </c>
      <c r="E777" s="141">
        <v>7</v>
      </c>
      <c r="F777" s="141">
        <v>90</v>
      </c>
      <c r="G777" s="142"/>
      <c r="H777" s="142">
        <v>630</v>
      </c>
      <c r="I777" s="192">
        <v>57</v>
      </c>
    </row>
    <row r="778" spans="1:9" x14ac:dyDescent="0.65">
      <c r="A778" s="188">
        <v>40771</v>
      </c>
      <c r="B778" s="35" t="s">
        <v>1336</v>
      </c>
      <c r="C778" t="s">
        <v>7</v>
      </c>
      <c r="D778" t="s">
        <v>18</v>
      </c>
      <c r="E778" s="141">
        <v>2.5</v>
      </c>
      <c r="F778" s="141">
        <v>95</v>
      </c>
      <c r="G778" s="142"/>
      <c r="H778" s="142">
        <v>237.5</v>
      </c>
      <c r="I778" s="192">
        <v>57</v>
      </c>
    </row>
    <row r="779" spans="1:9" x14ac:dyDescent="0.65">
      <c r="A779" s="188">
        <v>40771</v>
      </c>
      <c r="B779" s="35" t="s">
        <v>401</v>
      </c>
      <c r="C779" t="s">
        <v>1357</v>
      </c>
      <c r="D779" t="s">
        <v>98</v>
      </c>
      <c r="E779" s="141">
        <v>1</v>
      </c>
      <c r="F779" s="141">
        <v>365</v>
      </c>
      <c r="G779" s="142"/>
      <c r="H779" s="142">
        <v>365</v>
      </c>
      <c r="I779" s="192">
        <v>57</v>
      </c>
    </row>
    <row r="780" spans="1:9" x14ac:dyDescent="0.65">
      <c r="A780" s="188">
        <v>40771</v>
      </c>
      <c r="B780" s="35" t="s">
        <v>1344</v>
      </c>
      <c r="C780" t="s">
        <v>1345</v>
      </c>
      <c r="D780" t="s">
        <v>18</v>
      </c>
      <c r="E780" s="141">
        <v>2</v>
      </c>
      <c r="F780" s="141">
        <v>80</v>
      </c>
      <c r="G780" s="142"/>
      <c r="H780" s="142">
        <v>160</v>
      </c>
      <c r="I780" s="192">
        <v>57</v>
      </c>
    </row>
    <row r="781" spans="1:9" x14ac:dyDescent="0.65">
      <c r="A781" s="188">
        <v>40771</v>
      </c>
      <c r="B781" s="35" t="s">
        <v>398</v>
      </c>
      <c r="C781" t="s">
        <v>1355</v>
      </c>
      <c r="D781" t="s">
        <v>98</v>
      </c>
      <c r="E781" s="141">
        <v>1</v>
      </c>
      <c r="F781" s="141">
        <v>365</v>
      </c>
      <c r="G781" s="142"/>
      <c r="H781" s="142">
        <v>365</v>
      </c>
      <c r="I781" s="192">
        <v>57</v>
      </c>
    </row>
    <row r="782" spans="1:9" x14ac:dyDescent="0.65">
      <c r="A782" s="188">
        <v>40771</v>
      </c>
      <c r="B782" s="35" t="s">
        <v>382</v>
      </c>
      <c r="C782" t="s">
        <v>1384</v>
      </c>
      <c r="D782" t="s">
        <v>18</v>
      </c>
      <c r="E782" s="141">
        <v>7.5</v>
      </c>
      <c r="F782" s="141">
        <v>66.069999999999993</v>
      </c>
      <c r="G782" s="142"/>
      <c r="H782" s="142">
        <v>495.52499999999998</v>
      </c>
      <c r="I782" s="192">
        <v>57</v>
      </c>
    </row>
    <row r="783" spans="1:9" x14ac:dyDescent="0.65">
      <c r="A783" s="188">
        <v>40771</v>
      </c>
      <c r="B783" s="35" t="s">
        <v>7</v>
      </c>
      <c r="C783" t="s">
        <v>7</v>
      </c>
      <c r="D783" t="s">
        <v>18</v>
      </c>
      <c r="E783" s="141">
        <v>8</v>
      </c>
      <c r="F783" s="141">
        <v>32.200000000000003</v>
      </c>
      <c r="G783" s="142"/>
      <c r="H783" s="142">
        <v>257.60000000000002</v>
      </c>
      <c r="I783" s="192">
        <v>57</v>
      </c>
    </row>
    <row r="784" spans="1:9" x14ac:dyDescent="0.65">
      <c r="A784" s="188">
        <v>40771</v>
      </c>
      <c r="B784" s="35" t="s">
        <v>409</v>
      </c>
      <c r="C784" t="s">
        <v>1385</v>
      </c>
      <c r="D784" t="s">
        <v>18</v>
      </c>
      <c r="E784" s="141">
        <v>7.5</v>
      </c>
      <c r="F784" s="141">
        <v>21.61</v>
      </c>
      <c r="G784" s="142"/>
      <c r="H784" s="142">
        <v>162.07499999999999</v>
      </c>
      <c r="I784" s="192">
        <v>57</v>
      </c>
    </row>
    <row r="785" spans="1:9" x14ac:dyDescent="0.65">
      <c r="A785" s="188">
        <v>40772</v>
      </c>
      <c r="B785" s="35" t="s">
        <v>398</v>
      </c>
      <c r="C785" t="s">
        <v>1355</v>
      </c>
      <c r="D785" t="s">
        <v>98</v>
      </c>
      <c r="E785" s="141">
        <v>1</v>
      </c>
      <c r="F785" s="141">
        <v>365</v>
      </c>
      <c r="G785" s="142"/>
      <c r="H785" s="142">
        <v>365</v>
      </c>
      <c r="I785" s="192">
        <v>57</v>
      </c>
    </row>
    <row r="786" spans="1:9" x14ac:dyDescent="0.65">
      <c r="A786" s="188">
        <v>40773</v>
      </c>
      <c r="B786" s="35" t="s">
        <v>398</v>
      </c>
      <c r="C786" t="s">
        <v>1355</v>
      </c>
      <c r="D786" t="s">
        <v>98</v>
      </c>
      <c r="E786" s="141">
        <v>1</v>
      </c>
      <c r="F786" s="141">
        <v>365</v>
      </c>
      <c r="G786" s="142"/>
      <c r="H786" s="142">
        <v>365</v>
      </c>
      <c r="I786" s="192">
        <v>57</v>
      </c>
    </row>
    <row r="787" spans="1:9" x14ac:dyDescent="0.65">
      <c r="A787" s="188">
        <v>40774</v>
      </c>
      <c r="B787" s="35" t="s">
        <v>398</v>
      </c>
      <c r="C787" t="s">
        <v>1355</v>
      </c>
      <c r="D787" t="s">
        <v>98</v>
      </c>
      <c r="E787" s="141">
        <v>1</v>
      </c>
      <c r="F787" s="141">
        <v>365</v>
      </c>
      <c r="G787" s="142"/>
      <c r="H787" s="142">
        <v>365</v>
      </c>
      <c r="I787" s="192">
        <v>57</v>
      </c>
    </row>
    <row r="788" spans="1:9" x14ac:dyDescent="0.65">
      <c r="A788" s="188">
        <v>40789</v>
      </c>
      <c r="B788" s="35" t="s">
        <v>1334</v>
      </c>
      <c r="C788" t="s">
        <v>1335</v>
      </c>
      <c r="D788" t="s">
        <v>18</v>
      </c>
      <c r="E788" s="141">
        <v>3.5</v>
      </c>
      <c r="F788" s="141">
        <v>135</v>
      </c>
      <c r="G788" s="142"/>
      <c r="H788" s="142">
        <v>472.5</v>
      </c>
      <c r="I788" s="192">
        <v>57</v>
      </c>
    </row>
    <row r="789" spans="1:9" x14ac:dyDescent="0.65">
      <c r="A789" s="188">
        <v>40789</v>
      </c>
      <c r="B789" s="35" t="s">
        <v>7</v>
      </c>
      <c r="C789" t="s">
        <v>7</v>
      </c>
      <c r="D789" t="s">
        <v>18</v>
      </c>
      <c r="E789" s="141">
        <v>4.5</v>
      </c>
      <c r="F789" s="141">
        <v>39.39</v>
      </c>
      <c r="G789" s="142"/>
      <c r="H789" s="142">
        <v>177.255</v>
      </c>
      <c r="I789" s="192">
        <v>57</v>
      </c>
    </row>
    <row r="790" spans="1:9" x14ac:dyDescent="0.65">
      <c r="A790" s="188">
        <v>40789</v>
      </c>
      <c r="B790" s="35" t="s">
        <v>1336</v>
      </c>
      <c r="C790" t="s">
        <v>7</v>
      </c>
      <c r="D790" t="s">
        <v>18</v>
      </c>
      <c r="E790" s="141">
        <v>4</v>
      </c>
      <c r="F790" s="141">
        <v>95</v>
      </c>
      <c r="G790" s="142"/>
      <c r="H790" s="142">
        <v>380</v>
      </c>
      <c r="I790" s="192">
        <v>57</v>
      </c>
    </row>
    <row r="791" spans="1:9" x14ac:dyDescent="0.65">
      <c r="A791" s="189" t="s">
        <v>448</v>
      </c>
      <c r="B791" s="183" t="s">
        <v>1387</v>
      </c>
      <c r="C791" s="184" t="s">
        <v>448</v>
      </c>
      <c r="D791" s="184" t="s">
        <v>448</v>
      </c>
      <c r="E791" s="185"/>
      <c r="F791" s="185"/>
      <c r="G791" s="186"/>
      <c r="H791" s="186">
        <v>41783.660000000003</v>
      </c>
      <c r="I791" s="193" t="s">
        <v>1767</v>
      </c>
    </row>
    <row r="792" spans="1:9" x14ac:dyDescent="0.65">
      <c r="A792" s="188" t="s">
        <v>448</v>
      </c>
      <c r="B792" s="35" t="s">
        <v>448</v>
      </c>
      <c r="C792" t="s">
        <v>448</v>
      </c>
      <c r="D792" t="s">
        <v>448</v>
      </c>
      <c r="E792" s="141"/>
      <c r="F792" s="141"/>
      <c r="G792" s="142"/>
      <c r="H792" s="142"/>
      <c r="I792" s="191" t="s">
        <v>1767</v>
      </c>
    </row>
    <row r="793" spans="1:9" x14ac:dyDescent="0.65">
      <c r="A793" s="187" t="s">
        <v>448</v>
      </c>
      <c r="B793" s="29" t="s">
        <v>1820</v>
      </c>
      <c r="C793" s="27" t="s">
        <v>448</v>
      </c>
      <c r="D793" s="27" t="s">
        <v>448</v>
      </c>
      <c r="E793" s="181"/>
      <c r="F793" s="181"/>
      <c r="G793" s="182"/>
      <c r="H793" s="182"/>
      <c r="I793" s="140" t="s">
        <v>1767</v>
      </c>
    </row>
    <row r="794" spans="1:9" x14ac:dyDescent="0.65">
      <c r="A794" s="188">
        <v>40688</v>
      </c>
      <c r="B794" s="35" t="s">
        <v>7</v>
      </c>
      <c r="C794" t="s">
        <v>7</v>
      </c>
      <c r="D794" t="s">
        <v>18</v>
      </c>
      <c r="E794" s="141">
        <v>5</v>
      </c>
      <c r="F794" s="141">
        <v>39.39</v>
      </c>
      <c r="G794" s="142"/>
      <c r="H794" s="142">
        <v>196.95</v>
      </c>
      <c r="I794" s="192">
        <v>61</v>
      </c>
    </row>
    <row r="795" spans="1:9" x14ac:dyDescent="0.65">
      <c r="A795" s="188">
        <v>40688</v>
      </c>
      <c r="B795" s="35" t="s">
        <v>1344</v>
      </c>
      <c r="C795" t="s">
        <v>1345</v>
      </c>
      <c r="D795" t="s">
        <v>18</v>
      </c>
      <c r="E795" s="141">
        <v>4</v>
      </c>
      <c r="F795" s="141">
        <v>80</v>
      </c>
      <c r="G795" s="142"/>
      <c r="H795" s="142">
        <v>320</v>
      </c>
      <c r="I795" s="192">
        <v>61</v>
      </c>
    </row>
    <row r="796" spans="1:9" x14ac:dyDescent="0.65">
      <c r="A796" s="188">
        <v>40689</v>
      </c>
      <c r="B796" s="35" t="s">
        <v>7</v>
      </c>
      <c r="C796" t="s">
        <v>7</v>
      </c>
      <c r="D796" t="s">
        <v>18</v>
      </c>
      <c r="E796" s="141">
        <v>6</v>
      </c>
      <c r="F796" s="141">
        <v>39.39</v>
      </c>
      <c r="G796" s="142"/>
      <c r="H796" s="142">
        <v>236.34</v>
      </c>
      <c r="I796" s="192">
        <v>61</v>
      </c>
    </row>
    <row r="797" spans="1:9" x14ac:dyDescent="0.65">
      <c r="A797" s="188">
        <v>40689</v>
      </c>
      <c r="B797" s="35" t="s">
        <v>7</v>
      </c>
      <c r="C797" t="s">
        <v>7</v>
      </c>
      <c r="D797" t="s">
        <v>18</v>
      </c>
      <c r="E797" s="141">
        <v>3</v>
      </c>
      <c r="F797" s="141">
        <v>39.39</v>
      </c>
      <c r="G797" s="142"/>
      <c r="H797" s="142">
        <v>118.17</v>
      </c>
      <c r="I797" s="192">
        <v>61</v>
      </c>
    </row>
    <row r="798" spans="1:9" x14ac:dyDescent="0.65">
      <c r="A798" s="188">
        <v>40689</v>
      </c>
      <c r="B798" s="35" t="s">
        <v>1344</v>
      </c>
      <c r="C798" t="s">
        <v>1345</v>
      </c>
      <c r="D798" t="s">
        <v>18</v>
      </c>
      <c r="E798" s="141">
        <v>4</v>
      </c>
      <c r="F798" s="141">
        <v>80</v>
      </c>
      <c r="G798" s="142"/>
      <c r="H798" s="142">
        <v>320</v>
      </c>
      <c r="I798" s="192">
        <v>61</v>
      </c>
    </row>
    <row r="799" spans="1:9" x14ac:dyDescent="0.65">
      <c r="A799" s="188">
        <v>40689</v>
      </c>
      <c r="B799" s="35" t="s">
        <v>398</v>
      </c>
      <c r="C799" t="s">
        <v>1355</v>
      </c>
      <c r="D799" t="s">
        <v>98</v>
      </c>
      <c r="E799" s="141">
        <v>1</v>
      </c>
      <c r="F799" s="141">
        <v>365</v>
      </c>
      <c r="G799" s="142"/>
      <c r="H799" s="142">
        <v>365</v>
      </c>
      <c r="I799" s="192">
        <v>61</v>
      </c>
    </row>
    <row r="800" spans="1:9" x14ac:dyDescent="0.65">
      <c r="A800" s="188">
        <v>40690</v>
      </c>
      <c r="B800" s="35" t="s">
        <v>1354</v>
      </c>
      <c r="C800" t="s">
        <v>1355</v>
      </c>
      <c r="D800" t="s">
        <v>98</v>
      </c>
      <c r="E800" s="141">
        <v>1</v>
      </c>
      <c r="F800" s="141">
        <v>365</v>
      </c>
      <c r="G800" s="142"/>
      <c r="H800" s="142">
        <v>365</v>
      </c>
      <c r="I800" s="192">
        <v>61</v>
      </c>
    </row>
    <row r="801" spans="1:9" x14ac:dyDescent="0.65">
      <c r="A801" s="188">
        <v>40690</v>
      </c>
      <c r="B801" s="35" t="s">
        <v>7</v>
      </c>
      <c r="C801" t="s">
        <v>7</v>
      </c>
      <c r="D801" t="s">
        <v>18</v>
      </c>
      <c r="E801" s="141">
        <v>2</v>
      </c>
      <c r="F801" s="141">
        <v>39.39</v>
      </c>
      <c r="G801" s="142"/>
      <c r="H801" s="142">
        <v>78.78</v>
      </c>
      <c r="I801" s="192">
        <v>61</v>
      </c>
    </row>
    <row r="802" spans="1:9" x14ac:dyDescent="0.65">
      <c r="A802" s="188">
        <v>40693</v>
      </c>
      <c r="B802" s="35" t="s">
        <v>1354</v>
      </c>
      <c r="C802" t="s">
        <v>1355</v>
      </c>
      <c r="D802" t="s">
        <v>98</v>
      </c>
      <c r="E802" s="141">
        <v>1</v>
      </c>
      <c r="F802" s="141">
        <v>365</v>
      </c>
      <c r="G802" s="142"/>
      <c r="H802" s="142">
        <v>365</v>
      </c>
      <c r="I802" s="192">
        <v>61</v>
      </c>
    </row>
    <row r="803" spans="1:9" x14ac:dyDescent="0.65">
      <c r="A803" s="188">
        <v>40694</v>
      </c>
      <c r="B803" s="35" t="s">
        <v>1354</v>
      </c>
      <c r="C803" t="s">
        <v>1355</v>
      </c>
      <c r="D803" t="s">
        <v>98</v>
      </c>
      <c r="E803" s="141">
        <v>1</v>
      </c>
      <c r="F803" s="141">
        <v>365</v>
      </c>
      <c r="G803" s="142"/>
      <c r="H803" s="142">
        <v>365</v>
      </c>
      <c r="I803" s="192">
        <v>61</v>
      </c>
    </row>
    <row r="804" spans="1:9" x14ac:dyDescent="0.65">
      <c r="A804" s="188">
        <v>40697</v>
      </c>
      <c r="B804" s="35" t="s">
        <v>7</v>
      </c>
      <c r="C804" t="s">
        <v>7</v>
      </c>
      <c r="D804" t="s">
        <v>18</v>
      </c>
      <c r="E804" s="141">
        <v>4</v>
      </c>
      <c r="F804" s="141">
        <v>39.39</v>
      </c>
      <c r="G804" s="142"/>
      <c r="H804" s="142">
        <v>157.56</v>
      </c>
      <c r="I804" s="192">
        <v>61</v>
      </c>
    </row>
    <row r="805" spans="1:9" x14ac:dyDescent="0.65">
      <c r="A805" s="188">
        <v>40697</v>
      </c>
      <c r="B805" s="35" t="s">
        <v>7</v>
      </c>
      <c r="C805" t="s">
        <v>7</v>
      </c>
      <c r="D805" t="s">
        <v>18</v>
      </c>
      <c r="E805" s="141">
        <v>4</v>
      </c>
      <c r="F805" s="141">
        <v>39.39</v>
      </c>
      <c r="G805" s="142"/>
      <c r="H805" s="142">
        <v>157.56</v>
      </c>
      <c r="I805" s="192">
        <v>61</v>
      </c>
    </row>
    <row r="806" spans="1:9" x14ac:dyDescent="0.65">
      <c r="A806" s="188">
        <v>40697</v>
      </c>
      <c r="B806" s="35" t="s">
        <v>1344</v>
      </c>
      <c r="C806" t="s">
        <v>1345</v>
      </c>
      <c r="D806" t="s">
        <v>18</v>
      </c>
      <c r="E806" s="141">
        <v>3</v>
      </c>
      <c r="F806" s="141">
        <v>80</v>
      </c>
      <c r="G806" s="142"/>
      <c r="H806" s="142">
        <v>240</v>
      </c>
      <c r="I806" s="192">
        <v>61</v>
      </c>
    </row>
    <row r="807" spans="1:9" x14ac:dyDescent="0.65">
      <c r="A807" s="188">
        <v>40717</v>
      </c>
      <c r="B807" s="35" t="s">
        <v>1388</v>
      </c>
      <c r="C807" t="s">
        <v>1389</v>
      </c>
      <c r="D807" t="s">
        <v>451</v>
      </c>
      <c r="E807" s="141">
        <v>84</v>
      </c>
      <c r="F807" s="141">
        <v>7.82</v>
      </c>
      <c r="G807" s="142"/>
      <c r="H807" s="142">
        <v>656.88</v>
      </c>
      <c r="I807" s="192">
        <v>61</v>
      </c>
    </row>
    <row r="808" spans="1:9" x14ac:dyDescent="0.65">
      <c r="A808" s="188">
        <v>40717</v>
      </c>
      <c r="B808" s="35" t="s">
        <v>1390</v>
      </c>
      <c r="C808" t="s">
        <v>1391</v>
      </c>
      <c r="D808" t="s">
        <v>451</v>
      </c>
      <c r="E808" s="141">
        <v>1</v>
      </c>
      <c r="F808" s="141">
        <v>31.82</v>
      </c>
      <c r="G808" s="142"/>
      <c r="H808" s="142">
        <v>31.82</v>
      </c>
      <c r="I808" s="192">
        <v>61</v>
      </c>
    </row>
    <row r="809" spans="1:9" x14ac:dyDescent="0.65">
      <c r="A809" s="188">
        <v>40721</v>
      </c>
      <c r="B809" s="35" t="s">
        <v>1336</v>
      </c>
      <c r="C809" t="s">
        <v>1337</v>
      </c>
      <c r="D809" t="s">
        <v>18</v>
      </c>
      <c r="E809" s="141">
        <v>4</v>
      </c>
      <c r="F809" s="141">
        <v>95</v>
      </c>
      <c r="G809" s="142"/>
      <c r="H809" s="142">
        <v>380</v>
      </c>
      <c r="I809" s="192">
        <v>61</v>
      </c>
    </row>
    <row r="810" spans="1:9" x14ac:dyDescent="0.65">
      <c r="A810" s="188">
        <v>40763</v>
      </c>
      <c r="B810" s="35" t="s">
        <v>7</v>
      </c>
      <c r="C810" t="s">
        <v>7</v>
      </c>
      <c r="D810" t="s">
        <v>18</v>
      </c>
      <c r="E810" s="141">
        <v>3</v>
      </c>
      <c r="F810" s="141">
        <v>39.39</v>
      </c>
      <c r="G810" s="142"/>
      <c r="H810" s="142">
        <v>118.17</v>
      </c>
      <c r="I810" s="192">
        <v>61</v>
      </c>
    </row>
    <row r="811" spans="1:9" x14ac:dyDescent="0.65">
      <c r="A811" s="188">
        <v>40763</v>
      </c>
      <c r="B811" s="35" t="s">
        <v>7</v>
      </c>
      <c r="C811" t="s">
        <v>7</v>
      </c>
      <c r="D811" t="s">
        <v>18</v>
      </c>
      <c r="E811" s="141">
        <v>2</v>
      </c>
      <c r="F811" s="141">
        <v>39.39</v>
      </c>
      <c r="G811" s="142"/>
      <c r="H811" s="142">
        <v>78.78</v>
      </c>
      <c r="I811" s="192">
        <v>61</v>
      </c>
    </row>
    <row r="812" spans="1:9" x14ac:dyDescent="0.65">
      <c r="A812" s="188">
        <v>40763</v>
      </c>
      <c r="B812" s="35" t="s">
        <v>1347</v>
      </c>
      <c r="C812" t="s">
        <v>1348</v>
      </c>
      <c r="D812" t="s">
        <v>18</v>
      </c>
      <c r="E812" s="141">
        <v>2</v>
      </c>
      <c r="F812" s="141">
        <v>90</v>
      </c>
      <c r="G812" s="142"/>
      <c r="H812" s="142">
        <v>180</v>
      </c>
      <c r="I812" s="192">
        <v>61</v>
      </c>
    </row>
    <row r="813" spans="1:9" x14ac:dyDescent="0.65">
      <c r="A813" s="188">
        <v>40763</v>
      </c>
      <c r="B813" s="35" t="s">
        <v>1334</v>
      </c>
      <c r="C813" t="s">
        <v>1335</v>
      </c>
      <c r="D813" t="s">
        <v>451</v>
      </c>
      <c r="E813" s="141">
        <v>3</v>
      </c>
      <c r="F813" s="141">
        <v>135</v>
      </c>
      <c r="G813" s="142"/>
      <c r="H813" s="142">
        <v>405</v>
      </c>
      <c r="I813" s="192">
        <v>61</v>
      </c>
    </row>
    <row r="814" spans="1:9" x14ac:dyDescent="0.65">
      <c r="A814" s="188">
        <v>40764</v>
      </c>
      <c r="B814" s="35" t="s">
        <v>7</v>
      </c>
      <c r="C814" t="s">
        <v>7</v>
      </c>
      <c r="D814" t="s">
        <v>18</v>
      </c>
      <c r="E814" s="141">
        <v>3</v>
      </c>
      <c r="F814" s="141">
        <v>39.39</v>
      </c>
      <c r="G814" s="142"/>
      <c r="H814" s="142">
        <v>118.17</v>
      </c>
      <c r="I814" s="192">
        <v>61</v>
      </c>
    </row>
    <row r="815" spans="1:9" x14ac:dyDescent="0.65">
      <c r="A815" s="188">
        <v>40764</v>
      </c>
      <c r="B815" s="35" t="s">
        <v>7</v>
      </c>
      <c r="C815" t="s">
        <v>7</v>
      </c>
      <c r="D815" t="s">
        <v>18</v>
      </c>
      <c r="E815" s="141">
        <v>2</v>
      </c>
      <c r="F815" s="141">
        <v>39.39</v>
      </c>
      <c r="G815" s="142"/>
      <c r="H815" s="142">
        <v>78.78</v>
      </c>
      <c r="I815" s="192">
        <v>61</v>
      </c>
    </row>
    <row r="816" spans="1:9" x14ac:dyDescent="0.65">
      <c r="A816" s="188">
        <v>40765</v>
      </c>
      <c r="B816" s="35" t="s">
        <v>1347</v>
      </c>
      <c r="C816" t="s">
        <v>1348</v>
      </c>
      <c r="D816" t="s">
        <v>18</v>
      </c>
      <c r="E816" s="141">
        <v>1</v>
      </c>
      <c r="F816" s="141">
        <v>90</v>
      </c>
      <c r="G816" s="142"/>
      <c r="H816" s="142">
        <v>90</v>
      </c>
      <c r="I816" s="192">
        <v>61</v>
      </c>
    </row>
    <row r="817" spans="1:9" x14ac:dyDescent="0.65">
      <c r="A817" s="188">
        <v>40765</v>
      </c>
      <c r="B817" s="35" t="s">
        <v>1381</v>
      </c>
      <c r="C817" t="s">
        <v>7</v>
      </c>
      <c r="D817" t="s">
        <v>18</v>
      </c>
      <c r="E817" s="141">
        <v>2</v>
      </c>
      <c r="F817" s="141">
        <v>95</v>
      </c>
      <c r="G817" s="142"/>
      <c r="H817" s="142">
        <v>190</v>
      </c>
      <c r="I817" s="192">
        <v>61</v>
      </c>
    </row>
    <row r="818" spans="1:9" x14ac:dyDescent="0.65">
      <c r="A818" s="188">
        <v>40765</v>
      </c>
      <c r="B818" s="35" t="s">
        <v>1344</v>
      </c>
      <c r="C818" t="s">
        <v>1345</v>
      </c>
      <c r="D818" t="s">
        <v>18</v>
      </c>
      <c r="E818" s="141">
        <v>1</v>
      </c>
      <c r="F818" s="141">
        <v>80</v>
      </c>
      <c r="G818" s="142"/>
      <c r="H818" s="142">
        <v>80</v>
      </c>
      <c r="I818" s="192">
        <v>61</v>
      </c>
    </row>
    <row r="819" spans="1:9" x14ac:dyDescent="0.65">
      <c r="A819" s="188">
        <v>40765</v>
      </c>
      <c r="B819" s="35" t="s">
        <v>7</v>
      </c>
      <c r="C819" t="s">
        <v>7</v>
      </c>
      <c r="D819" t="s">
        <v>18</v>
      </c>
      <c r="E819" s="141">
        <v>2</v>
      </c>
      <c r="F819" s="141">
        <v>39.39</v>
      </c>
      <c r="G819" s="142"/>
      <c r="H819" s="142">
        <v>78.78</v>
      </c>
      <c r="I819" s="192">
        <v>61</v>
      </c>
    </row>
    <row r="820" spans="1:9" x14ac:dyDescent="0.65">
      <c r="A820" s="188">
        <v>40765</v>
      </c>
      <c r="B820" s="35" t="s">
        <v>401</v>
      </c>
      <c r="C820" t="s">
        <v>1357</v>
      </c>
      <c r="D820" t="s">
        <v>98</v>
      </c>
      <c r="E820" s="141">
        <v>1</v>
      </c>
      <c r="F820" s="141">
        <v>365</v>
      </c>
      <c r="G820" s="142"/>
      <c r="H820" s="142">
        <v>365</v>
      </c>
      <c r="I820" s="192">
        <v>61</v>
      </c>
    </row>
    <row r="821" spans="1:9" x14ac:dyDescent="0.65">
      <c r="A821" s="188">
        <v>40765</v>
      </c>
      <c r="B821" s="35" t="s">
        <v>7</v>
      </c>
      <c r="C821" t="s">
        <v>7</v>
      </c>
      <c r="D821" t="s">
        <v>18</v>
      </c>
      <c r="E821" s="141">
        <v>2</v>
      </c>
      <c r="F821" s="141">
        <v>39.39</v>
      </c>
      <c r="G821" s="142"/>
      <c r="H821" s="142">
        <v>78.78</v>
      </c>
      <c r="I821" s="192">
        <v>61</v>
      </c>
    </row>
    <row r="822" spans="1:9" x14ac:dyDescent="0.65">
      <c r="A822" s="188">
        <v>40765</v>
      </c>
      <c r="B822" s="35" t="s">
        <v>7</v>
      </c>
      <c r="C822" t="s">
        <v>7</v>
      </c>
      <c r="D822" t="s">
        <v>18</v>
      </c>
      <c r="E822" s="141">
        <v>2</v>
      </c>
      <c r="F822" s="141">
        <v>32.200000000000003</v>
      </c>
      <c r="G822" s="142"/>
      <c r="H822" s="142">
        <v>64.400000000000006</v>
      </c>
      <c r="I822" s="192">
        <v>61</v>
      </c>
    </row>
    <row r="823" spans="1:9" x14ac:dyDescent="0.65">
      <c r="A823" s="188">
        <v>40800</v>
      </c>
      <c r="B823" s="35" t="s">
        <v>1344</v>
      </c>
      <c r="C823" t="s">
        <v>1345</v>
      </c>
      <c r="D823" t="s">
        <v>18</v>
      </c>
      <c r="E823" s="141">
        <v>2</v>
      </c>
      <c r="F823" s="141">
        <v>80</v>
      </c>
      <c r="G823" s="142"/>
      <c r="H823" s="142">
        <v>160</v>
      </c>
      <c r="I823" s="192">
        <v>61</v>
      </c>
    </row>
    <row r="824" spans="1:9" x14ac:dyDescent="0.65">
      <c r="A824" s="188">
        <v>40800</v>
      </c>
      <c r="B824" s="35" t="s">
        <v>7</v>
      </c>
      <c r="C824" t="s">
        <v>7</v>
      </c>
      <c r="D824" t="s">
        <v>18</v>
      </c>
      <c r="E824" s="141">
        <v>4</v>
      </c>
      <c r="F824" s="141">
        <v>35.35</v>
      </c>
      <c r="G824" s="142"/>
      <c r="H824" s="142">
        <v>141.4</v>
      </c>
      <c r="I824" s="192">
        <v>61</v>
      </c>
    </row>
    <row r="825" spans="1:9" x14ac:dyDescent="0.65">
      <c r="A825" s="188">
        <v>40800</v>
      </c>
      <c r="B825" s="35" t="s">
        <v>7</v>
      </c>
      <c r="C825" t="s">
        <v>7</v>
      </c>
      <c r="D825" t="s">
        <v>18</v>
      </c>
      <c r="E825" s="141">
        <v>4</v>
      </c>
      <c r="F825" s="141">
        <v>35.35</v>
      </c>
      <c r="G825" s="142"/>
      <c r="H825" s="142">
        <v>141.4</v>
      </c>
      <c r="I825" s="192">
        <v>61</v>
      </c>
    </row>
    <row r="826" spans="1:9" x14ac:dyDescent="0.65">
      <c r="A826" s="189" t="s">
        <v>448</v>
      </c>
      <c r="B826" s="183" t="s">
        <v>1392</v>
      </c>
      <c r="C826" s="184" t="s">
        <v>448</v>
      </c>
      <c r="D826" s="184" t="s">
        <v>448</v>
      </c>
      <c r="E826" s="185"/>
      <c r="F826" s="185"/>
      <c r="G826" s="186"/>
      <c r="H826" s="186">
        <v>6722.72</v>
      </c>
      <c r="I826" s="193" t="s">
        <v>1767</v>
      </c>
    </row>
    <row r="827" spans="1:9" x14ac:dyDescent="0.65">
      <c r="A827" s="188" t="s">
        <v>448</v>
      </c>
      <c r="B827" s="35" t="s">
        <v>448</v>
      </c>
      <c r="C827" t="s">
        <v>448</v>
      </c>
      <c r="D827" t="s">
        <v>448</v>
      </c>
      <c r="E827" s="141"/>
      <c r="F827" s="141"/>
      <c r="G827" s="142"/>
      <c r="H827" s="142"/>
      <c r="I827" s="191" t="s">
        <v>1767</v>
      </c>
    </row>
    <row r="828" spans="1:9" x14ac:dyDescent="0.65">
      <c r="A828" s="187" t="s">
        <v>448</v>
      </c>
      <c r="B828" s="29" t="s">
        <v>1821</v>
      </c>
      <c r="C828" s="27" t="s">
        <v>448</v>
      </c>
      <c r="D828" s="27" t="s">
        <v>448</v>
      </c>
      <c r="E828" s="181"/>
      <c r="F828" s="181"/>
      <c r="G828" s="182"/>
      <c r="H828" s="182"/>
      <c r="I828" s="140" t="s">
        <v>1767</v>
      </c>
    </row>
    <row r="829" spans="1:9" x14ac:dyDescent="0.65">
      <c r="A829" s="188">
        <v>40721</v>
      </c>
      <c r="B829" s="35" t="s">
        <v>1369</v>
      </c>
      <c r="C829" t="s">
        <v>1367</v>
      </c>
      <c r="D829" t="s">
        <v>20</v>
      </c>
      <c r="E829" s="141">
        <v>1</v>
      </c>
      <c r="F829" s="141">
        <v>169</v>
      </c>
      <c r="G829" s="142"/>
      <c r="H829" s="142">
        <v>169</v>
      </c>
      <c r="I829" s="192">
        <v>62</v>
      </c>
    </row>
    <row r="830" spans="1:9" x14ac:dyDescent="0.65">
      <c r="A830" s="188">
        <v>40721</v>
      </c>
      <c r="B830" s="35" t="s">
        <v>1336</v>
      </c>
      <c r="C830" t="s">
        <v>1371</v>
      </c>
      <c r="D830" t="s">
        <v>18</v>
      </c>
      <c r="E830" s="141">
        <v>6.5</v>
      </c>
      <c r="F830" s="141">
        <v>65</v>
      </c>
      <c r="G830" s="142"/>
      <c r="H830" s="142">
        <v>422.5</v>
      </c>
      <c r="I830" s="192">
        <v>62</v>
      </c>
    </row>
    <row r="831" spans="1:9" x14ac:dyDescent="0.65">
      <c r="A831" s="188">
        <v>40721</v>
      </c>
      <c r="B831" s="35" t="s">
        <v>1370</v>
      </c>
      <c r="C831" t="s">
        <v>7</v>
      </c>
      <c r="D831" t="s">
        <v>18</v>
      </c>
      <c r="E831" s="141">
        <v>6.5</v>
      </c>
      <c r="F831" s="141">
        <v>39.18</v>
      </c>
      <c r="G831" s="142"/>
      <c r="H831" s="142">
        <v>254.67</v>
      </c>
      <c r="I831" s="192">
        <v>62</v>
      </c>
    </row>
    <row r="832" spans="1:9" x14ac:dyDescent="0.65">
      <c r="A832" s="188">
        <v>40721</v>
      </c>
      <c r="B832" s="35" t="s">
        <v>1356</v>
      </c>
      <c r="C832" t="s">
        <v>1357</v>
      </c>
      <c r="D832" t="s">
        <v>98</v>
      </c>
      <c r="E832" s="141">
        <v>1</v>
      </c>
      <c r="F832" s="141">
        <v>365</v>
      </c>
      <c r="G832" s="142"/>
      <c r="H832" s="142">
        <v>365</v>
      </c>
      <c r="I832" s="192">
        <v>62</v>
      </c>
    </row>
    <row r="833" spans="1:9" x14ac:dyDescent="0.65">
      <c r="A833" s="188">
        <v>40721</v>
      </c>
      <c r="B833" s="35" t="s">
        <v>1336</v>
      </c>
      <c r="C833" t="s">
        <v>1337</v>
      </c>
      <c r="D833" t="s">
        <v>18</v>
      </c>
      <c r="E833" s="141">
        <v>5</v>
      </c>
      <c r="F833" s="141">
        <v>95</v>
      </c>
      <c r="G833" s="142"/>
      <c r="H833" s="142">
        <v>475</v>
      </c>
      <c r="I833" s="192">
        <v>62</v>
      </c>
    </row>
    <row r="834" spans="1:9" x14ac:dyDescent="0.65">
      <c r="A834" s="188">
        <v>40721</v>
      </c>
      <c r="B834" s="35" t="s">
        <v>1344</v>
      </c>
      <c r="C834" t="s">
        <v>1345</v>
      </c>
      <c r="D834" t="s">
        <v>18</v>
      </c>
      <c r="E834" s="141">
        <v>4</v>
      </c>
      <c r="F834" s="141">
        <v>80</v>
      </c>
      <c r="G834" s="142"/>
      <c r="H834" s="142">
        <v>320</v>
      </c>
      <c r="I834" s="192">
        <v>62</v>
      </c>
    </row>
    <row r="835" spans="1:9" x14ac:dyDescent="0.65">
      <c r="A835" s="188">
        <v>40722</v>
      </c>
      <c r="B835" s="35" t="s">
        <v>1370</v>
      </c>
      <c r="C835" t="s">
        <v>7</v>
      </c>
      <c r="D835" t="s">
        <v>18</v>
      </c>
      <c r="E835" s="141">
        <v>2</v>
      </c>
      <c r="F835" s="141">
        <v>39.18</v>
      </c>
      <c r="G835" s="142"/>
      <c r="H835" s="142">
        <v>78.36</v>
      </c>
      <c r="I835" s="192">
        <v>62</v>
      </c>
    </row>
    <row r="836" spans="1:9" x14ac:dyDescent="0.65">
      <c r="A836" s="188">
        <v>40722</v>
      </c>
      <c r="B836" s="35" t="s">
        <v>7</v>
      </c>
      <c r="C836" t="s">
        <v>7</v>
      </c>
      <c r="D836" t="s">
        <v>18</v>
      </c>
      <c r="E836" s="141">
        <v>2</v>
      </c>
      <c r="F836" s="141">
        <v>39.39</v>
      </c>
      <c r="G836" s="142"/>
      <c r="H836" s="142">
        <v>78.78</v>
      </c>
      <c r="I836" s="192">
        <v>62</v>
      </c>
    </row>
    <row r="837" spans="1:9" x14ac:dyDescent="0.65">
      <c r="A837" s="188">
        <v>40722</v>
      </c>
      <c r="B837" s="35" t="s">
        <v>7</v>
      </c>
      <c r="C837" t="s">
        <v>7</v>
      </c>
      <c r="D837" t="s">
        <v>18</v>
      </c>
      <c r="E837" s="141">
        <v>2</v>
      </c>
      <c r="F837" s="141">
        <v>39.39</v>
      </c>
      <c r="G837" s="142"/>
      <c r="H837" s="142">
        <v>78.78</v>
      </c>
      <c r="I837" s="192">
        <v>62</v>
      </c>
    </row>
    <row r="838" spans="1:9" x14ac:dyDescent="0.65">
      <c r="A838" s="188">
        <v>40724</v>
      </c>
      <c r="B838" s="35" t="s">
        <v>7</v>
      </c>
      <c r="C838" t="s">
        <v>7</v>
      </c>
      <c r="D838" t="s">
        <v>18</v>
      </c>
      <c r="E838" s="141">
        <v>8</v>
      </c>
      <c r="F838" s="141">
        <v>39.39</v>
      </c>
      <c r="G838" s="142"/>
      <c r="H838" s="142">
        <v>315.12</v>
      </c>
      <c r="I838" s="192">
        <v>62</v>
      </c>
    </row>
    <row r="839" spans="1:9" x14ac:dyDescent="0.65">
      <c r="A839" s="188">
        <v>40724</v>
      </c>
      <c r="B839" s="35" t="s">
        <v>1344</v>
      </c>
      <c r="C839" t="s">
        <v>1345</v>
      </c>
      <c r="D839" t="s">
        <v>18</v>
      </c>
      <c r="E839" s="141">
        <v>7</v>
      </c>
      <c r="F839" s="141">
        <v>80</v>
      </c>
      <c r="G839" s="142"/>
      <c r="H839" s="142">
        <v>560</v>
      </c>
      <c r="I839" s="192">
        <v>62</v>
      </c>
    </row>
    <row r="840" spans="1:9" x14ac:dyDescent="0.65">
      <c r="A840" s="188">
        <v>40724</v>
      </c>
      <c r="B840" s="35" t="s">
        <v>1336</v>
      </c>
      <c r="C840" t="s">
        <v>1371</v>
      </c>
      <c r="D840" t="s">
        <v>18</v>
      </c>
      <c r="E840" s="141">
        <v>6</v>
      </c>
      <c r="F840" s="141">
        <v>65</v>
      </c>
      <c r="G840" s="142"/>
      <c r="H840" s="142">
        <v>390</v>
      </c>
      <c r="I840" s="192">
        <v>62</v>
      </c>
    </row>
    <row r="841" spans="1:9" x14ac:dyDescent="0.65">
      <c r="A841" s="188">
        <v>40724</v>
      </c>
      <c r="B841" s="35" t="s">
        <v>1356</v>
      </c>
      <c r="C841" t="s">
        <v>1357</v>
      </c>
      <c r="D841" t="s">
        <v>98</v>
      </c>
      <c r="E841" s="141">
        <v>1</v>
      </c>
      <c r="F841" s="141">
        <v>365</v>
      </c>
      <c r="G841" s="142"/>
      <c r="H841" s="142">
        <v>365</v>
      </c>
      <c r="I841" s="192">
        <v>62</v>
      </c>
    </row>
    <row r="842" spans="1:9" x14ac:dyDescent="0.65">
      <c r="A842" s="188">
        <v>40724</v>
      </c>
      <c r="B842" s="35" t="s">
        <v>7</v>
      </c>
      <c r="C842" t="s">
        <v>7</v>
      </c>
      <c r="D842" t="s">
        <v>18</v>
      </c>
      <c r="E842" s="141">
        <v>8</v>
      </c>
      <c r="F842" s="141">
        <v>39.39</v>
      </c>
      <c r="G842" s="142"/>
      <c r="H842" s="142">
        <v>315.12</v>
      </c>
      <c r="I842" s="192">
        <v>62</v>
      </c>
    </row>
    <row r="843" spans="1:9" x14ac:dyDescent="0.65">
      <c r="A843" s="188">
        <v>40724</v>
      </c>
      <c r="B843" s="35" t="s">
        <v>1369</v>
      </c>
      <c r="C843" t="s">
        <v>1367</v>
      </c>
      <c r="D843" t="s">
        <v>20</v>
      </c>
      <c r="E843" s="141">
        <v>1</v>
      </c>
      <c r="F843" s="141">
        <v>169</v>
      </c>
      <c r="G843" s="142"/>
      <c r="H843" s="142">
        <v>169</v>
      </c>
      <c r="I843" s="192">
        <v>62</v>
      </c>
    </row>
    <row r="844" spans="1:9" x14ac:dyDescent="0.65">
      <c r="A844" s="188">
        <v>40724</v>
      </c>
      <c r="B844" s="35" t="s">
        <v>1370</v>
      </c>
      <c r="C844" t="s">
        <v>7</v>
      </c>
      <c r="D844" t="s">
        <v>18</v>
      </c>
      <c r="E844" s="141">
        <v>7.5</v>
      </c>
      <c r="F844" s="141">
        <v>39.18</v>
      </c>
      <c r="G844" s="142"/>
      <c r="H844" s="142">
        <v>293.85000000000002</v>
      </c>
      <c r="I844" s="192">
        <v>62</v>
      </c>
    </row>
    <row r="845" spans="1:9" x14ac:dyDescent="0.65">
      <c r="A845" s="188">
        <v>40725</v>
      </c>
      <c r="B845" s="35" t="s">
        <v>7</v>
      </c>
      <c r="C845" t="s">
        <v>7</v>
      </c>
      <c r="D845" t="s">
        <v>18</v>
      </c>
      <c r="E845" s="141">
        <v>7.5</v>
      </c>
      <c r="F845" s="141">
        <v>39.39</v>
      </c>
      <c r="G845" s="142"/>
      <c r="H845" s="142">
        <v>295.42500000000001</v>
      </c>
      <c r="I845" s="192">
        <v>62</v>
      </c>
    </row>
    <row r="846" spans="1:9" x14ac:dyDescent="0.65">
      <c r="A846" s="188">
        <v>40725</v>
      </c>
      <c r="B846" s="35" t="s">
        <v>7</v>
      </c>
      <c r="C846" t="s">
        <v>7</v>
      </c>
      <c r="D846" t="s">
        <v>18</v>
      </c>
      <c r="E846" s="141">
        <v>7.5</v>
      </c>
      <c r="F846" s="141">
        <v>39.39</v>
      </c>
      <c r="G846" s="142"/>
      <c r="H846" s="142">
        <v>295.42500000000001</v>
      </c>
      <c r="I846" s="192">
        <v>62</v>
      </c>
    </row>
    <row r="847" spans="1:9" x14ac:dyDescent="0.65">
      <c r="A847" s="188">
        <v>40725</v>
      </c>
      <c r="B847" s="35" t="s">
        <v>1336</v>
      </c>
      <c r="C847" t="s">
        <v>1337</v>
      </c>
      <c r="D847" t="s">
        <v>18</v>
      </c>
      <c r="E847" s="141">
        <v>9</v>
      </c>
      <c r="F847" s="141">
        <v>95</v>
      </c>
      <c r="G847" s="142"/>
      <c r="H847" s="142">
        <v>855</v>
      </c>
      <c r="I847" s="192">
        <v>62</v>
      </c>
    </row>
    <row r="848" spans="1:9" x14ac:dyDescent="0.65">
      <c r="A848" s="188">
        <v>40725</v>
      </c>
      <c r="B848" s="35" t="s">
        <v>1356</v>
      </c>
      <c r="C848" t="s">
        <v>1357</v>
      </c>
      <c r="D848" t="s">
        <v>98</v>
      </c>
      <c r="E848" s="141">
        <v>1</v>
      </c>
      <c r="F848" s="141">
        <v>365</v>
      </c>
      <c r="G848" s="142"/>
      <c r="H848" s="142">
        <v>365</v>
      </c>
      <c r="I848" s="192">
        <v>62</v>
      </c>
    </row>
    <row r="849" spans="1:9" x14ac:dyDescent="0.65">
      <c r="A849" s="188">
        <v>40725</v>
      </c>
      <c r="B849" s="35" t="s">
        <v>1344</v>
      </c>
      <c r="C849" t="s">
        <v>1345</v>
      </c>
      <c r="D849" t="s">
        <v>18</v>
      </c>
      <c r="E849" s="141">
        <v>7</v>
      </c>
      <c r="F849" s="141">
        <v>80</v>
      </c>
      <c r="G849" s="142"/>
      <c r="H849" s="142">
        <v>560</v>
      </c>
      <c r="I849" s="192">
        <v>62</v>
      </c>
    </row>
    <row r="850" spans="1:9" x14ac:dyDescent="0.65">
      <c r="A850" s="188">
        <v>40725</v>
      </c>
      <c r="B850" s="35" t="s">
        <v>1370</v>
      </c>
      <c r="C850" t="s">
        <v>7</v>
      </c>
      <c r="D850" t="s">
        <v>18</v>
      </c>
      <c r="E850" s="141">
        <v>7.5</v>
      </c>
      <c r="F850" s="141">
        <v>39.18</v>
      </c>
      <c r="G850" s="142"/>
      <c r="H850" s="142">
        <v>293.85000000000002</v>
      </c>
      <c r="I850" s="192">
        <v>62</v>
      </c>
    </row>
    <row r="851" spans="1:9" x14ac:dyDescent="0.65">
      <c r="A851" s="188">
        <v>40725</v>
      </c>
      <c r="B851" s="35" t="s">
        <v>1336</v>
      </c>
      <c r="C851" t="s">
        <v>1371</v>
      </c>
      <c r="D851" t="s">
        <v>18</v>
      </c>
      <c r="E851" s="141">
        <v>6</v>
      </c>
      <c r="F851" s="141">
        <v>65</v>
      </c>
      <c r="G851" s="142"/>
      <c r="H851" s="142">
        <v>390</v>
      </c>
      <c r="I851" s="192">
        <v>62</v>
      </c>
    </row>
    <row r="852" spans="1:9" x14ac:dyDescent="0.65">
      <c r="A852" s="188">
        <v>40728</v>
      </c>
      <c r="B852" s="35" t="s">
        <v>1356</v>
      </c>
      <c r="C852" t="s">
        <v>1357</v>
      </c>
      <c r="D852" t="s">
        <v>98</v>
      </c>
      <c r="E852" s="141">
        <v>1</v>
      </c>
      <c r="F852" s="141">
        <v>365</v>
      </c>
      <c r="G852" s="142"/>
      <c r="H852" s="142">
        <v>365</v>
      </c>
      <c r="I852" s="192">
        <v>62</v>
      </c>
    </row>
    <row r="853" spans="1:9" x14ac:dyDescent="0.65">
      <c r="A853" s="188">
        <v>40728</v>
      </c>
      <c r="B853" s="35" t="s">
        <v>1370</v>
      </c>
      <c r="C853" t="s">
        <v>7</v>
      </c>
      <c r="D853" t="s">
        <v>18</v>
      </c>
      <c r="E853" s="141">
        <v>2</v>
      </c>
      <c r="F853" s="141">
        <v>39.18</v>
      </c>
      <c r="G853" s="142"/>
      <c r="H853" s="142">
        <v>78.36</v>
      </c>
      <c r="I853" s="192">
        <v>62</v>
      </c>
    </row>
    <row r="854" spans="1:9" x14ac:dyDescent="0.65">
      <c r="A854" s="188">
        <v>40728</v>
      </c>
      <c r="B854" s="35" t="s">
        <v>7</v>
      </c>
      <c r="C854" t="s">
        <v>7</v>
      </c>
      <c r="D854" t="s">
        <v>18</v>
      </c>
      <c r="E854" s="141">
        <v>2</v>
      </c>
      <c r="F854" s="141">
        <v>39.39</v>
      </c>
      <c r="G854" s="142"/>
      <c r="H854" s="142">
        <v>78.78</v>
      </c>
      <c r="I854" s="192">
        <v>62</v>
      </c>
    </row>
    <row r="855" spans="1:9" x14ac:dyDescent="0.65">
      <c r="A855" s="188">
        <v>40735</v>
      </c>
      <c r="B855" s="35" t="s">
        <v>7</v>
      </c>
      <c r="C855" t="s">
        <v>7</v>
      </c>
      <c r="D855" t="s">
        <v>18</v>
      </c>
      <c r="E855" s="141">
        <v>3</v>
      </c>
      <c r="F855" s="141">
        <v>39.39</v>
      </c>
      <c r="G855" s="142"/>
      <c r="H855" s="142">
        <v>118.17</v>
      </c>
      <c r="I855" s="192">
        <v>62</v>
      </c>
    </row>
    <row r="856" spans="1:9" x14ac:dyDescent="0.65">
      <c r="A856" s="188">
        <v>40735</v>
      </c>
      <c r="B856" s="35" t="s">
        <v>1336</v>
      </c>
      <c r="C856" t="s">
        <v>1337</v>
      </c>
      <c r="D856" t="s">
        <v>18</v>
      </c>
      <c r="E856" s="141">
        <v>5</v>
      </c>
      <c r="F856" s="141">
        <v>95</v>
      </c>
      <c r="G856" s="142"/>
      <c r="H856" s="142">
        <v>475</v>
      </c>
      <c r="I856" s="192">
        <v>62</v>
      </c>
    </row>
    <row r="857" spans="1:9" x14ac:dyDescent="0.65">
      <c r="A857" s="188">
        <v>40735</v>
      </c>
      <c r="B857" s="35" t="s">
        <v>1344</v>
      </c>
      <c r="C857" t="s">
        <v>1345</v>
      </c>
      <c r="D857" t="s">
        <v>18</v>
      </c>
      <c r="E857" s="141">
        <v>4</v>
      </c>
      <c r="F857" s="141">
        <v>80</v>
      </c>
      <c r="G857" s="142"/>
      <c r="H857" s="142">
        <v>320</v>
      </c>
      <c r="I857" s="192">
        <v>62</v>
      </c>
    </row>
    <row r="858" spans="1:9" x14ac:dyDescent="0.65">
      <c r="A858" s="188">
        <v>40738</v>
      </c>
      <c r="B858" s="35" t="s">
        <v>1336</v>
      </c>
      <c r="C858" t="s">
        <v>1342</v>
      </c>
      <c r="D858" t="s">
        <v>18</v>
      </c>
      <c r="E858" s="141">
        <v>2</v>
      </c>
      <c r="F858" s="141">
        <v>90</v>
      </c>
      <c r="G858" s="142"/>
      <c r="H858" s="142">
        <v>180</v>
      </c>
      <c r="I858" s="192">
        <v>62</v>
      </c>
    </row>
    <row r="859" spans="1:9" x14ac:dyDescent="0.65">
      <c r="A859" s="188">
        <v>40745</v>
      </c>
      <c r="B859" s="35" t="s">
        <v>1336</v>
      </c>
      <c r="C859" t="s">
        <v>7</v>
      </c>
      <c r="D859" t="s">
        <v>18</v>
      </c>
      <c r="E859" s="141">
        <v>3</v>
      </c>
      <c r="F859" s="141">
        <v>95</v>
      </c>
      <c r="G859" s="142"/>
      <c r="H859" s="142">
        <v>285</v>
      </c>
      <c r="I859" s="192">
        <v>62</v>
      </c>
    </row>
    <row r="860" spans="1:9" x14ac:dyDescent="0.65">
      <c r="A860" s="188">
        <v>40745</v>
      </c>
      <c r="B860" s="35" t="s">
        <v>1344</v>
      </c>
      <c r="C860" t="s">
        <v>1345</v>
      </c>
      <c r="D860" t="s">
        <v>18</v>
      </c>
      <c r="E860" s="141">
        <v>1</v>
      </c>
      <c r="F860" s="141">
        <v>80</v>
      </c>
      <c r="G860" s="142"/>
      <c r="H860" s="142">
        <v>80</v>
      </c>
      <c r="I860" s="192">
        <v>62</v>
      </c>
    </row>
    <row r="861" spans="1:9" x14ac:dyDescent="0.65">
      <c r="A861" s="188">
        <v>40745</v>
      </c>
      <c r="B861" s="35" t="s">
        <v>1356</v>
      </c>
      <c r="C861" t="s">
        <v>1357</v>
      </c>
      <c r="D861" t="s">
        <v>98</v>
      </c>
      <c r="E861" s="141">
        <v>1</v>
      </c>
      <c r="F861" s="141">
        <v>365</v>
      </c>
      <c r="G861" s="142"/>
      <c r="H861" s="142">
        <v>365</v>
      </c>
      <c r="I861" s="192">
        <v>62</v>
      </c>
    </row>
    <row r="862" spans="1:9" x14ac:dyDescent="0.65">
      <c r="A862" s="188">
        <v>40745</v>
      </c>
      <c r="B862" s="35" t="s">
        <v>7</v>
      </c>
      <c r="C862" t="s">
        <v>7</v>
      </c>
      <c r="D862" t="s">
        <v>18</v>
      </c>
      <c r="E862" s="141">
        <v>3.5</v>
      </c>
      <c r="F862" s="141">
        <v>39.39</v>
      </c>
      <c r="G862" s="142"/>
      <c r="H862" s="142">
        <v>137.86500000000001</v>
      </c>
      <c r="I862" s="192">
        <v>62</v>
      </c>
    </row>
    <row r="863" spans="1:9" x14ac:dyDescent="0.65">
      <c r="A863" s="188">
        <v>40746</v>
      </c>
      <c r="B863" s="35" t="s">
        <v>1336</v>
      </c>
      <c r="C863" t="s">
        <v>7</v>
      </c>
      <c r="D863" t="s">
        <v>18</v>
      </c>
      <c r="E863" s="141">
        <v>3.5</v>
      </c>
      <c r="F863" s="141">
        <v>95</v>
      </c>
      <c r="G863" s="142"/>
      <c r="H863" s="142">
        <v>332.5</v>
      </c>
      <c r="I863" s="192">
        <v>62</v>
      </c>
    </row>
    <row r="864" spans="1:9" x14ac:dyDescent="0.65">
      <c r="A864" s="188">
        <v>40746</v>
      </c>
      <c r="B864" s="35" t="s">
        <v>7</v>
      </c>
      <c r="C864" t="s">
        <v>7</v>
      </c>
      <c r="D864" t="s">
        <v>18</v>
      </c>
      <c r="E864" s="141">
        <v>7</v>
      </c>
      <c r="F864" s="141">
        <v>39.39</v>
      </c>
      <c r="G864" s="142"/>
      <c r="H864" s="142">
        <v>275.73</v>
      </c>
      <c r="I864" s="192">
        <v>62</v>
      </c>
    </row>
    <row r="865" spans="1:9" x14ac:dyDescent="0.65">
      <c r="A865" s="188">
        <v>40746</v>
      </c>
      <c r="B865" s="35" t="s">
        <v>1356</v>
      </c>
      <c r="C865" t="s">
        <v>1357</v>
      </c>
      <c r="D865" t="s">
        <v>98</v>
      </c>
      <c r="E865" s="141">
        <v>1</v>
      </c>
      <c r="F865" s="141">
        <v>365</v>
      </c>
      <c r="G865" s="142"/>
      <c r="H865" s="142">
        <v>365</v>
      </c>
      <c r="I865" s="192">
        <v>62</v>
      </c>
    </row>
    <row r="866" spans="1:9" x14ac:dyDescent="0.65">
      <c r="A866" s="188">
        <v>40746</v>
      </c>
      <c r="B866" s="35" t="s">
        <v>1347</v>
      </c>
      <c r="C866" t="s">
        <v>1348</v>
      </c>
      <c r="D866" t="s">
        <v>451</v>
      </c>
      <c r="E866" s="141">
        <v>6.5</v>
      </c>
      <c r="F866" s="141">
        <v>90</v>
      </c>
      <c r="G866" s="142"/>
      <c r="H866" s="142">
        <v>585</v>
      </c>
      <c r="I866" s="192">
        <v>62</v>
      </c>
    </row>
    <row r="867" spans="1:9" x14ac:dyDescent="0.65">
      <c r="A867" s="188">
        <v>40749</v>
      </c>
      <c r="B867" s="35" t="s">
        <v>1336</v>
      </c>
      <c r="C867" t="s">
        <v>7</v>
      </c>
      <c r="D867" t="s">
        <v>18</v>
      </c>
      <c r="E867" s="141">
        <v>5</v>
      </c>
      <c r="F867" s="141">
        <v>95</v>
      </c>
      <c r="G867" s="142"/>
      <c r="H867" s="142">
        <v>475</v>
      </c>
      <c r="I867" s="192">
        <v>62</v>
      </c>
    </row>
    <row r="868" spans="1:9" x14ac:dyDescent="0.65">
      <c r="A868" s="188">
        <v>40749</v>
      </c>
      <c r="B868" s="35" t="s">
        <v>1347</v>
      </c>
      <c r="C868" t="s">
        <v>1348</v>
      </c>
      <c r="D868" t="s">
        <v>18</v>
      </c>
      <c r="E868" s="141">
        <v>5</v>
      </c>
      <c r="F868" s="141">
        <v>90</v>
      </c>
      <c r="G868" s="142"/>
      <c r="H868" s="142">
        <v>450</v>
      </c>
      <c r="I868" s="192">
        <v>62</v>
      </c>
    </row>
    <row r="869" spans="1:9" x14ac:dyDescent="0.65">
      <c r="A869" s="188">
        <v>40749</v>
      </c>
      <c r="B869" s="35" t="s">
        <v>1361</v>
      </c>
      <c r="C869" t="s">
        <v>1357</v>
      </c>
      <c r="D869" t="s">
        <v>98</v>
      </c>
      <c r="E869" s="141">
        <v>1</v>
      </c>
      <c r="F869" s="141">
        <v>365</v>
      </c>
      <c r="G869" s="142"/>
      <c r="H869" s="142">
        <v>365</v>
      </c>
      <c r="I869" s="192">
        <v>62</v>
      </c>
    </row>
    <row r="870" spans="1:9" x14ac:dyDescent="0.65">
      <c r="A870" s="188">
        <v>40749</v>
      </c>
      <c r="B870" s="35" t="s">
        <v>7</v>
      </c>
      <c r="C870" t="s">
        <v>7</v>
      </c>
      <c r="D870" t="s">
        <v>18</v>
      </c>
      <c r="E870" s="141">
        <v>5</v>
      </c>
      <c r="F870" s="141">
        <v>39.39</v>
      </c>
      <c r="G870" s="142"/>
      <c r="H870" s="142">
        <v>196.95</v>
      </c>
      <c r="I870" s="192">
        <v>62</v>
      </c>
    </row>
    <row r="871" spans="1:9" x14ac:dyDescent="0.65">
      <c r="A871" s="188">
        <v>40750</v>
      </c>
      <c r="B871" s="35" t="s">
        <v>1344</v>
      </c>
      <c r="C871" t="s">
        <v>1345</v>
      </c>
      <c r="D871" t="s">
        <v>18</v>
      </c>
      <c r="E871" s="141">
        <v>4</v>
      </c>
      <c r="F871" s="141">
        <v>80</v>
      </c>
      <c r="G871" s="142"/>
      <c r="H871" s="142">
        <v>320</v>
      </c>
      <c r="I871" s="192">
        <v>62</v>
      </c>
    </row>
    <row r="872" spans="1:9" x14ac:dyDescent="0.65">
      <c r="A872" s="188">
        <v>40750</v>
      </c>
      <c r="B872" s="35" t="s">
        <v>1361</v>
      </c>
      <c r="C872" t="s">
        <v>1357</v>
      </c>
      <c r="D872" t="s">
        <v>98</v>
      </c>
      <c r="E872" s="141">
        <v>1</v>
      </c>
      <c r="F872" s="141">
        <v>365</v>
      </c>
      <c r="G872" s="142"/>
      <c r="H872" s="142">
        <v>365</v>
      </c>
      <c r="I872" s="192">
        <v>62</v>
      </c>
    </row>
    <row r="873" spans="1:9" x14ac:dyDescent="0.65">
      <c r="A873" s="188">
        <v>40750</v>
      </c>
      <c r="B873" s="35" t="s">
        <v>7</v>
      </c>
      <c r="C873" t="s">
        <v>7</v>
      </c>
      <c r="D873" t="s">
        <v>18</v>
      </c>
      <c r="E873" s="141">
        <v>4</v>
      </c>
      <c r="F873" s="141">
        <v>32.200000000000003</v>
      </c>
      <c r="G873" s="142"/>
      <c r="H873" s="142">
        <v>128.80000000000001</v>
      </c>
      <c r="I873" s="192">
        <v>62</v>
      </c>
    </row>
    <row r="874" spans="1:9" x14ac:dyDescent="0.65">
      <c r="A874" s="188">
        <v>40750</v>
      </c>
      <c r="B874" s="35" t="s">
        <v>7</v>
      </c>
      <c r="C874" t="s">
        <v>7</v>
      </c>
      <c r="D874" t="s">
        <v>18</v>
      </c>
      <c r="E874" s="141">
        <v>2</v>
      </c>
      <c r="F874" s="141">
        <v>39.39</v>
      </c>
      <c r="G874" s="142"/>
      <c r="H874" s="142">
        <v>78.78</v>
      </c>
      <c r="I874" s="192">
        <v>62</v>
      </c>
    </row>
    <row r="875" spans="1:9" x14ac:dyDescent="0.65">
      <c r="A875" s="188">
        <v>40751</v>
      </c>
      <c r="B875" s="35" t="s">
        <v>1361</v>
      </c>
      <c r="C875" t="s">
        <v>1357</v>
      </c>
      <c r="D875" t="s">
        <v>98</v>
      </c>
      <c r="E875" s="141">
        <v>1</v>
      </c>
      <c r="F875" s="141">
        <v>365</v>
      </c>
      <c r="G875" s="142"/>
      <c r="H875" s="142">
        <v>365</v>
      </c>
      <c r="I875" s="192">
        <v>62</v>
      </c>
    </row>
    <row r="876" spans="1:9" x14ac:dyDescent="0.65">
      <c r="A876" s="188">
        <v>40752</v>
      </c>
      <c r="B876" s="35" t="s">
        <v>1347</v>
      </c>
      <c r="C876" t="s">
        <v>1348</v>
      </c>
      <c r="D876" t="s">
        <v>18</v>
      </c>
      <c r="E876" s="141">
        <v>4</v>
      </c>
      <c r="F876" s="141">
        <v>90</v>
      </c>
      <c r="G876" s="142"/>
      <c r="H876" s="142">
        <v>360</v>
      </c>
      <c r="I876" s="192">
        <v>62</v>
      </c>
    </row>
    <row r="877" spans="1:9" x14ac:dyDescent="0.65">
      <c r="A877" s="188">
        <v>40752</v>
      </c>
      <c r="B877" s="35" t="s">
        <v>1336</v>
      </c>
      <c r="C877" t="s">
        <v>7</v>
      </c>
      <c r="D877" t="s">
        <v>18</v>
      </c>
      <c r="E877" s="141">
        <v>6</v>
      </c>
      <c r="F877" s="141">
        <v>95</v>
      </c>
      <c r="G877" s="142"/>
      <c r="H877" s="142">
        <v>570</v>
      </c>
      <c r="I877" s="192">
        <v>62</v>
      </c>
    </row>
    <row r="878" spans="1:9" x14ac:dyDescent="0.65">
      <c r="A878" s="188">
        <v>40752</v>
      </c>
      <c r="B878" s="35" t="s">
        <v>7</v>
      </c>
      <c r="C878" t="s">
        <v>7</v>
      </c>
      <c r="D878" t="s">
        <v>18</v>
      </c>
      <c r="E878" s="141">
        <v>6</v>
      </c>
      <c r="F878" s="141">
        <v>39.39</v>
      </c>
      <c r="G878" s="142"/>
      <c r="H878" s="142">
        <v>236.34</v>
      </c>
      <c r="I878" s="192">
        <v>62</v>
      </c>
    </row>
    <row r="879" spans="1:9" x14ac:dyDescent="0.65">
      <c r="A879" s="188">
        <v>40752</v>
      </c>
      <c r="B879" s="35" t="s">
        <v>7</v>
      </c>
      <c r="C879" t="s">
        <v>7</v>
      </c>
      <c r="D879" t="s">
        <v>451</v>
      </c>
      <c r="E879" s="141">
        <v>6</v>
      </c>
      <c r="F879" s="141">
        <v>39.39</v>
      </c>
      <c r="G879" s="142"/>
      <c r="H879" s="142">
        <v>236.34</v>
      </c>
      <c r="I879" s="192">
        <v>62</v>
      </c>
    </row>
    <row r="880" spans="1:9" x14ac:dyDescent="0.65">
      <c r="A880" s="188">
        <v>40752</v>
      </c>
      <c r="B880" s="35" t="s">
        <v>7</v>
      </c>
      <c r="C880" t="s">
        <v>7</v>
      </c>
      <c r="D880" t="s">
        <v>18</v>
      </c>
      <c r="E880" s="141">
        <v>6</v>
      </c>
      <c r="F880" s="141">
        <v>32.200000000000003</v>
      </c>
      <c r="G880" s="142"/>
      <c r="H880" s="142">
        <v>193.2</v>
      </c>
      <c r="I880" s="192">
        <v>62</v>
      </c>
    </row>
    <row r="881" spans="1:9" x14ac:dyDescent="0.65">
      <c r="A881" s="188">
        <v>40752</v>
      </c>
      <c r="B881" s="35" t="s">
        <v>1361</v>
      </c>
      <c r="C881" t="s">
        <v>1357</v>
      </c>
      <c r="D881" t="s">
        <v>98</v>
      </c>
      <c r="E881" s="141">
        <v>1</v>
      </c>
      <c r="F881" s="141">
        <v>365</v>
      </c>
      <c r="G881" s="142"/>
      <c r="H881" s="142">
        <v>365</v>
      </c>
      <c r="I881" s="192">
        <v>62</v>
      </c>
    </row>
    <row r="882" spans="1:9" x14ac:dyDescent="0.65">
      <c r="A882" s="188">
        <v>40752</v>
      </c>
      <c r="B882" s="35" t="s">
        <v>1344</v>
      </c>
      <c r="C882" t="s">
        <v>1345</v>
      </c>
      <c r="D882" t="s">
        <v>18</v>
      </c>
      <c r="E882" s="141">
        <v>3</v>
      </c>
      <c r="F882" s="141">
        <v>80</v>
      </c>
      <c r="G882" s="142"/>
      <c r="H882" s="142">
        <v>240</v>
      </c>
      <c r="I882" s="192">
        <v>62</v>
      </c>
    </row>
    <row r="883" spans="1:9" x14ac:dyDescent="0.65">
      <c r="A883" s="188">
        <v>40752</v>
      </c>
      <c r="B883" s="35" t="s">
        <v>1358</v>
      </c>
      <c r="C883" t="s">
        <v>1359</v>
      </c>
      <c r="D883" t="s">
        <v>98</v>
      </c>
      <c r="E883" s="141">
        <v>1</v>
      </c>
      <c r="F883" s="141">
        <v>365</v>
      </c>
      <c r="G883" s="142"/>
      <c r="H883" s="142">
        <v>365</v>
      </c>
      <c r="I883" s="192">
        <v>62</v>
      </c>
    </row>
    <row r="884" spans="1:9" x14ac:dyDescent="0.65">
      <c r="A884" s="188">
        <v>40753</v>
      </c>
      <c r="B884" s="35" t="s">
        <v>1336</v>
      </c>
      <c r="C884" t="s">
        <v>7</v>
      </c>
      <c r="D884" t="s">
        <v>18</v>
      </c>
      <c r="E884" s="141">
        <v>2</v>
      </c>
      <c r="F884" s="141">
        <v>95</v>
      </c>
      <c r="G884" s="142"/>
      <c r="H884" s="142">
        <v>190</v>
      </c>
      <c r="I884" s="192">
        <v>62</v>
      </c>
    </row>
    <row r="885" spans="1:9" x14ac:dyDescent="0.65">
      <c r="A885" s="188">
        <v>40753</v>
      </c>
      <c r="B885" s="35" t="s">
        <v>1361</v>
      </c>
      <c r="C885" t="s">
        <v>1357</v>
      </c>
      <c r="D885" t="s">
        <v>98</v>
      </c>
      <c r="E885" s="141">
        <v>1</v>
      </c>
      <c r="F885" s="141">
        <v>365</v>
      </c>
      <c r="G885" s="142"/>
      <c r="H885" s="142">
        <v>365</v>
      </c>
      <c r="I885" s="192">
        <v>62</v>
      </c>
    </row>
    <row r="886" spans="1:9" x14ac:dyDescent="0.65">
      <c r="A886" s="188">
        <v>40759</v>
      </c>
      <c r="B886" s="35" t="s">
        <v>1347</v>
      </c>
      <c r="C886" t="s">
        <v>1348</v>
      </c>
      <c r="D886" t="s">
        <v>18</v>
      </c>
      <c r="E886" s="141">
        <v>3.75</v>
      </c>
      <c r="F886" s="141">
        <v>90</v>
      </c>
      <c r="G886" s="142"/>
      <c r="H886" s="142">
        <v>337.5</v>
      </c>
      <c r="I886" s="192">
        <v>62</v>
      </c>
    </row>
    <row r="887" spans="1:9" x14ac:dyDescent="0.65">
      <c r="A887" s="188">
        <v>40759</v>
      </c>
      <c r="B887" s="35" t="s">
        <v>1336</v>
      </c>
      <c r="C887" t="s">
        <v>1342</v>
      </c>
      <c r="D887" t="s">
        <v>18</v>
      </c>
      <c r="E887" s="141">
        <v>9.5</v>
      </c>
      <c r="F887" s="141">
        <v>90</v>
      </c>
      <c r="G887" s="142"/>
      <c r="H887" s="142">
        <v>855</v>
      </c>
      <c r="I887" s="192">
        <v>62</v>
      </c>
    </row>
    <row r="888" spans="1:9" x14ac:dyDescent="0.65">
      <c r="A888" s="188">
        <v>40760</v>
      </c>
      <c r="B888" s="35" t="s">
        <v>1347</v>
      </c>
      <c r="C888" t="s">
        <v>1348</v>
      </c>
      <c r="D888" t="s">
        <v>18</v>
      </c>
      <c r="E888" s="141">
        <v>3</v>
      </c>
      <c r="F888" s="141">
        <v>90</v>
      </c>
      <c r="G888" s="142"/>
      <c r="H888" s="142">
        <v>270</v>
      </c>
      <c r="I888" s="192">
        <v>62</v>
      </c>
    </row>
    <row r="889" spans="1:9" x14ac:dyDescent="0.65">
      <c r="A889" s="188">
        <v>40763</v>
      </c>
      <c r="B889" s="35" t="s">
        <v>1347</v>
      </c>
      <c r="C889" t="s">
        <v>1348</v>
      </c>
      <c r="D889" t="s">
        <v>18</v>
      </c>
      <c r="E889" s="141">
        <v>2</v>
      </c>
      <c r="F889" s="141">
        <v>90</v>
      </c>
      <c r="G889" s="142"/>
      <c r="H889" s="142">
        <v>180</v>
      </c>
      <c r="I889" s="192">
        <v>62</v>
      </c>
    </row>
    <row r="890" spans="1:9" x14ac:dyDescent="0.65">
      <c r="A890" s="188">
        <v>40763</v>
      </c>
      <c r="B890" s="35" t="s">
        <v>1358</v>
      </c>
      <c r="C890" t="s">
        <v>1359</v>
      </c>
      <c r="D890" t="s">
        <v>98</v>
      </c>
      <c r="E890" s="141">
        <v>1</v>
      </c>
      <c r="F890" s="141">
        <v>365</v>
      </c>
      <c r="G890" s="142"/>
      <c r="H890" s="142">
        <v>365</v>
      </c>
      <c r="I890" s="192">
        <v>62</v>
      </c>
    </row>
    <row r="891" spans="1:9" x14ac:dyDescent="0.65">
      <c r="A891" s="188">
        <v>40766</v>
      </c>
      <c r="B891" s="35" t="s">
        <v>1344</v>
      </c>
      <c r="C891" t="s">
        <v>1345</v>
      </c>
      <c r="D891" t="s">
        <v>18</v>
      </c>
      <c r="E891" s="141">
        <v>7</v>
      </c>
      <c r="F891" s="141">
        <v>80</v>
      </c>
      <c r="G891" s="142"/>
      <c r="H891" s="142">
        <v>560</v>
      </c>
      <c r="I891" s="192">
        <v>62</v>
      </c>
    </row>
    <row r="892" spans="1:9" x14ac:dyDescent="0.65">
      <c r="A892" s="188">
        <v>40766</v>
      </c>
      <c r="B892" s="35" t="s">
        <v>1358</v>
      </c>
      <c r="C892" t="s">
        <v>1359</v>
      </c>
      <c r="D892" t="s">
        <v>98</v>
      </c>
      <c r="E892" s="141">
        <v>1</v>
      </c>
      <c r="F892" s="141">
        <v>365</v>
      </c>
      <c r="G892" s="142"/>
      <c r="H892" s="142">
        <v>365</v>
      </c>
      <c r="I892" s="192">
        <v>62</v>
      </c>
    </row>
    <row r="893" spans="1:9" x14ac:dyDescent="0.65">
      <c r="A893" s="188">
        <v>40766</v>
      </c>
      <c r="B893" s="35" t="s">
        <v>7</v>
      </c>
      <c r="C893" t="s">
        <v>7</v>
      </c>
      <c r="D893" t="s">
        <v>18</v>
      </c>
      <c r="E893" s="141">
        <v>9.5</v>
      </c>
      <c r="F893" s="141">
        <v>32.200000000000003</v>
      </c>
      <c r="G893" s="142"/>
      <c r="H893" s="142">
        <v>305.89999999999998</v>
      </c>
      <c r="I893" s="192">
        <v>62</v>
      </c>
    </row>
    <row r="894" spans="1:9" x14ac:dyDescent="0.65">
      <c r="A894" s="188">
        <v>40766</v>
      </c>
      <c r="B894" s="35" t="s">
        <v>401</v>
      </c>
      <c r="C894" t="s">
        <v>1357</v>
      </c>
      <c r="D894" t="s">
        <v>98</v>
      </c>
      <c r="E894" s="141">
        <v>1</v>
      </c>
      <c r="F894" s="141">
        <v>365</v>
      </c>
      <c r="G894" s="142"/>
      <c r="H894" s="142">
        <v>365</v>
      </c>
      <c r="I894" s="192">
        <v>62</v>
      </c>
    </row>
    <row r="895" spans="1:9" x14ac:dyDescent="0.65">
      <c r="A895" s="188">
        <v>40766</v>
      </c>
      <c r="B895" s="35" t="s">
        <v>1347</v>
      </c>
      <c r="C895" t="s">
        <v>1348</v>
      </c>
      <c r="D895" t="s">
        <v>18</v>
      </c>
      <c r="E895" s="141">
        <v>1</v>
      </c>
      <c r="F895" s="141">
        <v>90</v>
      </c>
      <c r="G895" s="142"/>
      <c r="H895" s="142">
        <v>90</v>
      </c>
      <c r="I895" s="192">
        <v>62</v>
      </c>
    </row>
    <row r="896" spans="1:9" x14ac:dyDescent="0.65">
      <c r="A896" s="188">
        <v>40766</v>
      </c>
      <c r="B896" s="35" t="s">
        <v>7</v>
      </c>
      <c r="C896" t="s">
        <v>7</v>
      </c>
      <c r="D896" t="s">
        <v>18</v>
      </c>
      <c r="E896" s="141">
        <v>4</v>
      </c>
      <c r="F896" s="141">
        <v>39.39</v>
      </c>
      <c r="G896" s="142"/>
      <c r="H896" s="142">
        <v>157.56</v>
      </c>
      <c r="I896" s="192">
        <v>62</v>
      </c>
    </row>
    <row r="897" spans="1:9" x14ac:dyDescent="0.65">
      <c r="A897" s="188">
        <v>40766</v>
      </c>
      <c r="B897" s="35" t="s">
        <v>7</v>
      </c>
      <c r="C897" t="s">
        <v>7</v>
      </c>
      <c r="D897" t="s">
        <v>18</v>
      </c>
      <c r="E897" s="141">
        <v>10</v>
      </c>
      <c r="F897" s="141">
        <v>39.39</v>
      </c>
      <c r="G897" s="142"/>
      <c r="H897" s="142">
        <v>393.9</v>
      </c>
      <c r="I897" s="192">
        <v>62</v>
      </c>
    </row>
    <row r="898" spans="1:9" x14ac:dyDescent="0.65">
      <c r="A898" s="188">
        <v>40766</v>
      </c>
      <c r="B898" s="35" t="s">
        <v>7</v>
      </c>
      <c r="C898" t="s">
        <v>7</v>
      </c>
      <c r="D898" t="s">
        <v>18</v>
      </c>
      <c r="E898" s="141">
        <v>4</v>
      </c>
      <c r="F898" s="141">
        <v>39.39</v>
      </c>
      <c r="G898" s="142"/>
      <c r="H898" s="142">
        <v>157.56</v>
      </c>
      <c r="I898" s="192">
        <v>62</v>
      </c>
    </row>
    <row r="899" spans="1:9" x14ac:dyDescent="0.65">
      <c r="A899" s="188">
        <v>40766</v>
      </c>
      <c r="B899" s="35" t="s">
        <v>1381</v>
      </c>
      <c r="C899" t="s">
        <v>7</v>
      </c>
      <c r="D899" t="s">
        <v>18</v>
      </c>
      <c r="E899" s="141">
        <v>10</v>
      </c>
      <c r="F899" s="141">
        <v>95</v>
      </c>
      <c r="G899" s="142"/>
      <c r="H899" s="142">
        <v>950</v>
      </c>
      <c r="I899" s="192">
        <v>62</v>
      </c>
    </row>
    <row r="900" spans="1:9" x14ac:dyDescent="0.65">
      <c r="A900" s="188">
        <v>40767</v>
      </c>
      <c r="B900" s="35" t="s">
        <v>1344</v>
      </c>
      <c r="C900" t="s">
        <v>1345</v>
      </c>
      <c r="D900" t="s">
        <v>18</v>
      </c>
      <c r="E900" s="141">
        <v>1</v>
      </c>
      <c r="F900" s="141">
        <v>80</v>
      </c>
      <c r="G900" s="142"/>
      <c r="H900" s="142">
        <v>80</v>
      </c>
      <c r="I900" s="192">
        <v>62</v>
      </c>
    </row>
    <row r="901" spans="1:9" x14ac:dyDescent="0.65">
      <c r="A901" s="188">
        <v>40767</v>
      </c>
      <c r="B901" s="35" t="s">
        <v>401</v>
      </c>
      <c r="C901" t="s">
        <v>1357</v>
      </c>
      <c r="D901" t="s">
        <v>98</v>
      </c>
      <c r="E901" s="141">
        <v>1</v>
      </c>
      <c r="F901" s="141">
        <v>365</v>
      </c>
      <c r="G901" s="142"/>
      <c r="H901" s="142">
        <v>365</v>
      </c>
      <c r="I901" s="192">
        <v>62</v>
      </c>
    </row>
    <row r="902" spans="1:9" x14ac:dyDescent="0.65">
      <c r="A902" s="188">
        <v>40767</v>
      </c>
      <c r="B902" s="35" t="s">
        <v>1347</v>
      </c>
      <c r="C902" t="s">
        <v>1348</v>
      </c>
      <c r="D902" t="s">
        <v>18</v>
      </c>
      <c r="E902" s="141">
        <v>3.5</v>
      </c>
      <c r="F902" s="141">
        <v>90</v>
      </c>
      <c r="G902" s="142"/>
      <c r="H902" s="142">
        <v>315</v>
      </c>
      <c r="I902" s="192">
        <v>62</v>
      </c>
    </row>
    <row r="903" spans="1:9" x14ac:dyDescent="0.65">
      <c r="A903" s="188">
        <v>40767</v>
      </c>
      <c r="B903" s="35" t="s">
        <v>1336</v>
      </c>
      <c r="C903" t="s">
        <v>7</v>
      </c>
      <c r="D903" t="s">
        <v>18</v>
      </c>
      <c r="E903" s="141">
        <v>8.5</v>
      </c>
      <c r="F903" s="141">
        <v>95</v>
      </c>
      <c r="G903" s="142"/>
      <c r="H903" s="142">
        <v>807.5</v>
      </c>
      <c r="I903" s="192">
        <v>62</v>
      </c>
    </row>
    <row r="904" spans="1:9" x14ac:dyDescent="0.65">
      <c r="A904" s="188">
        <v>40767</v>
      </c>
      <c r="B904" s="35" t="s">
        <v>7</v>
      </c>
      <c r="C904" t="s">
        <v>7</v>
      </c>
      <c r="D904" t="s">
        <v>18</v>
      </c>
      <c r="E904" s="141">
        <v>9</v>
      </c>
      <c r="F904" s="141">
        <v>32.200000000000003</v>
      </c>
      <c r="G904" s="142"/>
      <c r="H904" s="142">
        <v>289.8</v>
      </c>
      <c r="I904" s="192">
        <v>62</v>
      </c>
    </row>
    <row r="905" spans="1:9" x14ac:dyDescent="0.65">
      <c r="A905" s="188">
        <v>40767</v>
      </c>
      <c r="B905" s="35" t="s">
        <v>1358</v>
      </c>
      <c r="C905" t="s">
        <v>1359</v>
      </c>
      <c r="D905" t="s">
        <v>98</v>
      </c>
      <c r="E905" s="141">
        <v>1</v>
      </c>
      <c r="F905" s="141">
        <v>365</v>
      </c>
      <c r="G905" s="142"/>
      <c r="H905" s="142">
        <v>365</v>
      </c>
      <c r="I905" s="192">
        <v>62</v>
      </c>
    </row>
    <row r="906" spans="1:9" x14ac:dyDescent="0.65">
      <c r="A906" s="188">
        <v>40767</v>
      </c>
      <c r="B906" s="35" t="s">
        <v>7</v>
      </c>
      <c r="C906" t="s">
        <v>7</v>
      </c>
      <c r="D906" t="s">
        <v>18</v>
      </c>
      <c r="E906" s="141">
        <v>9</v>
      </c>
      <c r="F906" s="141">
        <v>32.200000000000003</v>
      </c>
      <c r="G906" s="142"/>
      <c r="H906" s="142">
        <v>289.8</v>
      </c>
      <c r="I906" s="192">
        <v>62</v>
      </c>
    </row>
    <row r="907" spans="1:9" x14ac:dyDescent="0.65">
      <c r="A907" s="188">
        <v>40767</v>
      </c>
      <c r="B907" s="35" t="s">
        <v>7</v>
      </c>
      <c r="C907" t="s">
        <v>7</v>
      </c>
      <c r="D907" t="s">
        <v>18</v>
      </c>
      <c r="E907" s="141">
        <v>6</v>
      </c>
      <c r="F907" s="141">
        <v>39.39</v>
      </c>
      <c r="G907" s="142"/>
      <c r="H907" s="142">
        <v>236.34</v>
      </c>
      <c r="I907" s="192">
        <v>62</v>
      </c>
    </row>
    <row r="908" spans="1:9" x14ac:dyDescent="0.65">
      <c r="A908" s="188">
        <v>40767</v>
      </c>
      <c r="B908" s="35" t="s">
        <v>7</v>
      </c>
      <c r="C908" t="s">
        <v>7</v>
      </c>
      <c r="D908" t="s">
        <v>18</v>
      </c>
      <c r="E908" s="141">
        <v>9</v>
      </c>
      <c r="F908" s="141">
        <v>39.39</v>
      </c>
      <c r="G908" s="142"/>
      <c r="H908" s="142">
        <v>354.51</v>
      </c>
      <c r="I908" s="192">
        <v>62</v>
      </c>
    </row>
    <row r="909" spans="1:9" x14ac:dyDescent="0.65">
      <c r="A909" s="188">
        <v>40768</v>
      </c>
      <c r="B909" s="35" t="s">
        <v>7</v>
      </c>
      <c r="C909" t="s">
        <v>7</v>
      </c>
      <c r="D909" t="s">
        <v>18</v>
      </c>
      <c r="E909" s="141">
        <v>4</v>
      </c>
      <c r="F909" s="141">
        <v>32.200000000000003</v>
      </c>
      <c r="G909" s="142"/>
      <c r="H909" s="142">
        <v>128.80000000000001</v>
      </c>
      <c r="I909" s="192">
        <v>62</v>
      </c>
    </row>
    <row r="910" spans="1:9" x14ac:dyDescent="0.65">
      <c r="A910" s="188">
        <v>40768</v>
      </c>
      <c r="B910" s="35" t="s">
        <v>1347</v>
      </c>
      <c r="C910" t="s">
        <v>1348</v>
      </c>
      <c r="D910" t="s">
        <v>18</v>
      </c>
      <c r="E910" s="141">
        <v>5.5</v>
      </c>
      <c r="F910" s="141">
        <v>90</v>
      </c>
      <c r="G910" s="142"/>
      <c r="H910" s="142">
        <v>495</v>
      </c>
      <c r="I910" s="192">
        <v>62</v>
      </c>
    </row>
    <row r="911" spans="1:9" x14ac:dyDescent="0.65">
      <c r="A911" s="188">
        <v>40768</v>
      </c>
      <c r="B911" s="35" t="s">
        <v>1336</v>
      </c>
      <c r="C911" t="s">
        <v>7</v>
      </c>
      <c r="D911" t="s">
        <v>18</v>
      </c>
      <c r="E911" s="141">
        <v>4</v>
      </c>
      <c r="F911" s="141">
        <v>95</v>
      </c>
      <c r="G911" s="142"/>
      <c r="H911" s="142">
        <v>380</v>
      </c>
      <c r="I911" s="192">
        <v>62</v>
      </c>
    </row>
    <row r="912" spans="1:9" x14ac:dyDescent="0.65">
      <c r="A912" s="188">
        <v>40768</v>
      </c>
      <c r="B912" s="35" t="s">
        <v>7</v>
      </c>
      <c r="C912" t="s">
        <v>7</v>
      </c>
      <c r="D912" t="s">
        <v>18</v>
      </c>
      <c r="E912" s="141">
        <v>3</v>
      </c>
      <c r="F912" s="141">
        <v>39.39</v>
      </c>
      <c r="G912" s="142"/>
      <c r="H912" s="142">
        <v>118.17</v>
      </c>
      <c r="I912" s="192">
        <v>62</v>
      </c>
    </row>
    <row r="913" spans="1:9" x14ac:dyDescent="0.65">
      <c r="A913" s="188">
        <v>40768</v>
      </c>
      <c r="B913" s="35" t="s">
        <v>1386</v>
      </c>
      <c r="C913" t="s">
        <v>1769</v>
      </c>
      <c r="D913" t="s">
        <v>18</v>
      </c>
      <c r="E913" s="141">
        <v>6</v>
      </c>
      <c r="F913" s="141">
        <v>57.7</v>
      </c>
      <c r="G913" s="142"/>
      <c r="H913" s="142">
        <v>346.2</v>
      </c>
      <c r="I913" s="192">
        <v>62</v>
      </c>
    </row>
    <row r="914" spans="1:9" x14ac:dyDescent="0.65">
      <c r="A914" s="188">
        <v>40768</v>
      </c>
      <c r="B914" s="35" t="s">
        <v>7</v>
      </c>
      <c r="C914" t="s">
        <v>7</v>
      </c>
      <c r="D914" t="s">
        <v>18</v>
      </c>
      <c r="E914" s="141">
        <v>7</v>
      </c>
      <c r="F914" s="141">
        <v>32.200000000000003</v>
      </c>
      <c r="G914" s="142"/>
      <c r="H914" s="142">
        <v>225.4</v>
      </c>
      <c r="I914" s="192">
        <v>62</v>
      </c>
    </row>
    <row r="915" spans="1:9" x14ac:dyDescent="0.65">
      <c r="A915" s="188">
        <v>40768</v>
      </c>
      <c r="B915" s="35" t="s">
        <v>7</v>
      </c>
      <c r="C915" t="s">
        <v>7</v>
      </c>
      <c r="D915" t="s">
        <v>18</v>
      </c>
      <c r="E915" s="141">
        <v>6</v>
      </c>
      <c r="F915" s="141">
        <v>32.200000000000003</v>
      </c>
      <c r="G915" s="142"/>
      <c r="H915" s="142">
        <v>193.2</v>
      </c>
      <c r="I915" s="192">
        <v>62</v>
      </c>
    </row>
    <row r="916" spans="1:9" x14ac:dyDescent="0.65">
      <c r="A916" s="188">
        <v>40768</v>
      </c>
      <c r="B916" s="35" t="s">
        <v>1344</v>
      </c>
      <c r="C916" t="s">
        <v>1345</v>
      </c>
      <c r="D916" t="s">
        <v>18</v>
      </c>
      <c r="E916" s="141">
        <v>2</v>
      </c>
      <c r="F916" s="141">
        <v>80</v>
      </c>
      <c r="G916" s="142"/>
      <c r="H916" s="142">
        <v>160</v>
      </c>
      <c r="I916" s="192">
        <v>62</v>
      </c>
    </row>
    <row r="917" spans="1:9" x14ac:dyDescent="0.65">
      <c r="A917" s="188">
        <v>40768</v>
      </c>
      <c r="B917" s="35" t="s">
        <v>1358</v>
      </c>
      <c r="C917" t="s">
        <v>1359</v>
      </c>
      <c r="D917" t="s">
        <v>98</v>
      </c>
      <c r="E917" s="141">
        <v>1</v>
      </c>
      <c r="F917" s="141">
        <v>365</v>
      </c>
      <c r="G917" s="142"/>
      <c r="H917" s="142">
        <v>365</v>
      </c>
      <c r="I917" s="192">
        <v>62</v>
      </c>
    </row>
    <row r="918" spans="1:9" x14ac:dyDescent="0.65">
      <c r="A918" s="188">
        <v>40768</v>
      </c>
      <c r="B918" s="35" t="s">
        <v>7</v>
      </c>
      <c r="C918" t="s">
        <v>7</v>
      </c>
      <c r="D918" t="s">
        <v>18</v>
      </c>
      <c r="E918" s="141">
        <v>3</v>
      </c>
      <c r="F918" s="141">
        <v>39.39</v>
      </c>
      <c r="G918" s="142"/>
      <c r="H918" s="142">
        <v>118.17</v>
      </c>
      <c r="I918" s="192">
        <v>62</v>
      </c>
    </row>
    <row r="919" spans="1:9" x14ac:dyDescent="0.65">
      <c r="A919" s="188">
        <v>40770</v>
      </c>
      <c r="B919" s="35" t="s">
        <v>7</v>
      </c>
      <c r="C919" t="s">
        <v>7</v>
      </c>
      <c r="D919" t="s">
        <v>18</v>
      </c>
      <c r="E919" s="141">
        <v>3</v>
      </c>
      <c r="F919" s="141">
        <v>39.39</v>
      </c>
      <c r="G919" s="142"/>
      <c r="H919" s="142">
        <v>118.17</v>
      </c>
      <c r="I919" s="192">
        <v>62</v>
      </c>
    </row>
    <row r="920" spans="1:9" x14ac:dyDescent="0.65">
      <c r="A920" s="188">
        <v>40770</v>
      </c>
      <c r="B920" s="35" t="s">
        <v>1370</v>
      </c>
      <c r="C920" t="s">
        <v>7</v>
      </c>
      <c r="D920" t="s">
        <v>18</v>
      </c>
      <c r="E920" s="141">
        <v>3</v>
      </c>
      <c r="F920" s="141">
        <v>39.18</v>
      </c>
      <c r="G920" s="142"/>
      <c r="H920" s="142">
        <v>117.54</v>
      </c>
      <c r="I920" s="192">
        <v>62</v>
      </c>
    </row>
    <row r="921" spans="1:9" x14ac:dyDescent="0.65">
      <c r="A921" s="188">
        <v>40770</v>
      </c>
      <c r="B921" s="35" t="s">
        <v>1344</v>
      </c>
      <c r="C921" t="s">
        <v>1345</v>
      </c>
      <c r="D921" t="s">
        <v>18</v>
      </c>
      <c r="E921" s="141">
        <v>2</v>
      </c>
      <c r="F921" s="141">
        <v>80</v>
      </c>
      <c r="G921" s="142"/>
      <c r="H921" s="142">
        <v>160</v>
      </c>
      <c r="I921" s="192">
        <v>62</v>
      </c>
    </row>
    <row r="922" spans="1:9" x14ac:dyDescent="0.65">
      <c r="A922" s="188">
        <v>40770</v>
      </c>
      <c r="B922" s="35" t="s">
        <v>7</v>
      </c>
      <c r="C922" t="s">
        <v>7</v>
      </c>
      <c r="D922" t="s">
        <v>18</v>
      </c>
      <c r="E922" s="141">
        <v>3</v>
      </c>
      <c r="F922" s="141">
        <v>39.39</v>
      </c>
      <c r="G922" s="142"/>
      <c r="H922" s="142">
        <v>118.17</v>
      </c>
      <c r="I922" s="192">
        <v>62</v>
      </c>
    </row>
    <row r="923" spans="1:9" x14ac:dyDescent="0.65">
      <c r="A923" s="188">
        <v>40770</v>
      </c>
      <c r="B923" s="35" t="s">
        <v>7</v>
      </c>
      <c r="C923" t="s">
        <v>7</v>
      </c>
      <c r="D923" t="s">
        <v>18</v>
      </c>
      <c r="E923" s="141">
        <v>3</v>
      </c>
      <c r="F923" s="141">
        <v>32.200000000000003</v>
      </c>
      <c r="G923" s="142"/>
      <c r="H923" s="142">
        <v>96.6</v>
      </c>
      <c r="I923" s="192">
        <v>62</v>
      </c>
    </row>
    <row r="924" spans="1:9" x14ac:dyDescent="0.65">
      <c r="A924" s="188">
        <v>40770</v>
      </c>
      <c r="B924" s="35" t="s">
        <v>1358</v>
      </c>
      <c r="C924" t="s">
        <v>1359</v>
      </c>
      <c r="D924" t="s">
        <v>98</v>
      </c>
      <c r="E924" s="141">
        <v>1</v>
      </c>
      <c r="F924" s="141">
        <v>365</v>
      </c>
      <c r="G924" s="142"/>
      <c r="H924" s="142">
        <v>365</v>
      </c>
      <c r="I924" s="192">
        <v>62</v>
      </c>
    </row>
    <row r="925" spans="1:9" x14ac:dyDescent="0.65">
      <c r="A925" s="188">
        <v>40771</v>
      </c>
      <c r="B925" s="35" t="s">
        <v>1358</v>
      </c>
      <c r="C925" t="s">
        <v>1359</v>
      </c>
      <c r="D925" t="s">
        <v>98</v>
      </c>
      <c r="E925" s="141">
        <v>1</v>
      </c>
      <c r="F925" s="141">
        <v>365</v>
      </c>
      <c r="G925" s="142"/>
      <c r="H925" s="142">
        <v>365</v>
      </c>
      <c r="I925" s="192">
        <v>62</v>
      </c>
    </row>
    <row r="926" spans="1:9" x14ac:dyDescent="0.65">
      <c r="A926" s="188">
        <v>40771</v>
      </c>
      <c r="B926" s="35" t="s">
        <v>7</v>
      </c>
      <c r="C926" t="s">
        <v>7</v>
      </c>
      <c r="D926" t="s">
        <v>18</v>
      </c>
      <c r="E926" s="141">
        <v>3</v>
      </c>
      <c r="F926" s="141">
        <v>32.200000000000003</v>
      </c>
      <c r="G926" s="142"/>
      <c r="H926" s="142">
        <v>96.6</v>
      </c>
      <c r="I926" s="192">
        <v>62</v>
      </c>
    </row>
    <row r="927" spans="1:9" x14ac:dyDescent="0.65">
      <c r="A927" s="188">
        <v>40771</v>
      </c>
      <c r="B927" s="35" t="s">
        <v>1370</v>
      </c>
      <c r="C927" t="s">
        <v>7</v>
      </c>
      <c r="D927" t="s">
        <v>18</v>
      </c>
      <c r="E927" s="141">
        <v>3</v>
      </c>
      <c r="F927" s="141">
        <v>39.18</v>
      </c>
      <c r="G927" s="142"/>
      <c r="H927" s="142">
        <v>117.54</v>
      </c>
      <c r="I927" s="192">
        <v>62</v>
      </c>
    </row>
    <row r="928" spans="1:9" x14ac:dyDescent="0.65">
      <c r="A928" s="188">
        <v>40771</v>
      </c>
      <c r="B928" s="35" t="s">
        <v>1336</v>
      </c>
      <c r="C928" t="s">
        <v>7</v>
      </c>
      <c r="D928" t="s">
        <v>18</v>
      </c>
      <c r="E928" s="141">
        <v>4</v>
      </c>
      <c r="F928" s="141">
        <v>95</v>
      </c>
      <c r="G928" s="142"/>
      <c r="H928" s="142">
        <v>380</v>
      </c>
      <c r="I928" s="192">
        <v>62</v>
      </c>
    </row>
    <row r="929" spans="1:9" x14ac:dyDescent="0.65">
      <c r="A929" s="188">
        <v>40771</v>
      </c>
      <c r="B929" s="35" t="s">
        <v>7</v>
      </c>
      <c r="C929" t="s">
        <v>7</v>
      </c>
      <c r="D929" t="s">
        <v>18</v>
      </c>
      <c r="E929" s="141">
        <v>3</v>
      </c>
      <c r="F929" s="141">
        <v>39.39</v>
      </c>
      <c r="G929" s="142"/>
      <c r="H929" s="142">
        <v>118.17</v>
      </c>
      <c r="I929" s="192">
        <v>62</v>
      </c>
    </row>
    <row r="930" spans="1:9" x14ac:dyDescent="0.65">
      <c r="A930" s="188">
        <v>40771</v>
      </c>
      <c r="B930" s="35" t="s">
        <v>1344</v>
      </c>
      <c r="C930" t="s">
        <v>1345</v>
      </c>
      <c r="D930" t="s">
        <v>18</v>
      </c>
      <c r="E930" s="141">
        <v>2</v>
      </c>
      <c r="F930" s="141">
        <v>80</v>
      </c>
      <c r="G930" s="142"/>
      <c r="H930" s="142">
        <v>160</v>
      </c>
      <c r="I930" s="192">
        <v>62</v>
      </c>
    </row>
    <row r="931" spans="1:9" x14ac:dyDescent="0.65">
      <c r="A931" s="188">
        <v>40772</v>
      </c>
      <c r="B931" s="35" t="s">
        <v>1344</v>
      </c>
      <c r="C931" t="s">
        <v>1345</v>
      </c>
      <c r="D931" t="s">
        <v>18</v>
      </c>
      <c r="E931" s="141">
        <v>4</v>
      </c>
      <c r="F931" s="141">
        <v>80</v>
      </c>
      <c r="G931" s="142"/>
      <c r="H931" s="142">
        <v>320</v>
      </c>
      <c r="I931" s="192">
        <v>62</v>
      </c>
    </row>
    <row r="932" spans="1:9" x14ac:dyDescent="0.65">
      <c r="A932" s="188">
        <v>40772</v>
      </c>
      <c r="B932" s="35" t="s">
        <v>7</v>
      </c>
      <c r="C932" t="s">
        <v>7</v>
      </c>
      <c r="D932" t="s">
        <v>18</v>
      </c>
      <c r="E932" s="141">
        <v>7</v>
      </c>
      <c r="F932" s="141">
        <v>39.39</v>
      </c>
      <c r="G932" s="142"/>
      <c r="H932" s="142">
        <v>275.73</v>
      </c>
      <c r="I932" s="192">
        <v>62</v>
      </c>
    </row>
    <row r="933" spans="1:9" x14ac:dyDescent="0.65">
      <c r="A933" s="188">
        <v>40772</v>
      </c>
      <c r="B933" s="35" t="s">
        <v>7</v>
      </c>
      <c r="C933" t="s">
        <v>7</v>
      </c>
      <c r="D933" t="s">
        <v>18</v>
      </c>
      <c r="E933" s="141">
        <v>7</v>
      </c>
      <c r="F933" s="141">
        <v>39.39</v>
      </c>
      <c r="G933" s="142"/>
      <c r="H933" s="142">
        <v>275.73</v>
      </c>
      <c r="I933" s="192">
        <v>62</v>
      </c>
    </row>
    <row r="934" spans="1:9" x14ac:dyDescent="0.65">
      <c r="A934" s="188">
        <v>40772</v>
      </c>
      <c r="B934" s="35" t="s">
        <v>7</v>
      </c>
      <c r="C934" t="s">
        <v>7</v>
      </c>
      <c r="D934" t="s">
        <v>18</v>
      </c>
      <c r="E934" s="141">
        <v>7</v>
      </c>
      <c r="F934" s="141">
        <v>32.200000000000003</v>
      </c>
      <c r="G934" s="142"/>
      <c r="H934" s="142">
        <v>225.4</v>
      </c>
      <c r="I934" s="192">
        <v>62</v>
      </c>
    </row>
    <row r="935" spans="1:9" x14ac:dyDescent="0.65">
      <c r="A935" s="188">
        <v>40772</v>
      </c>
      <c r="B935" s="35" t="s">
        <v>401</v>
      </c>
      <c r="C935" t="s">
        <v>1357</v>
      </c>
      <c r="D935" t="s">
        <v>98</v>
      </c>
      <c r="E935" s="141">
        <v>1</v>
      </c>
      <c r="F935" s="141">
        <v>365</v>
      </c>
      <c r="G935" s="142"/>
      <c r="H935" s="142">
        <v>365</v>
      </c>
      <c r="I935" s="192">
        <v>62</v>
      </c>
    </row>
    <row r="936" spans="1:9" x14ac:dyDescent="0.65">
      <c r="A936" s="188">
        <v>40772</v>
      </c>
      <c r="B936" s="35" t="s">
        <v>1336</v>
      </c>
      <c r="C936" t="s">
        <v>7</v>
      </c>
      <c r="D936" t="s">
        <v>18</v>
      </c>
      <c r="E936" s="141">
        <v>7</v>
      </c>
      <c r="F936" s="141">
        <v>95</v>
      </c>
      <c r="G936" s="142"/>
      <c r="H936" s="142">
        <v>665</v>
      </c>
      <c r="I936" s="192">
        <v>62</v>
      </c>
    </row>
    <row r="937" spans="1:9" x14ac:dyDescent="0.65">
      <c r="A937" s="188">
        <v>40773</v>
      </c>
      <c r="B937" s="35" t="s">
        <v>1358</v>
      </c>
      <c r="C937" t="s">
        <v>1359</v>
      </c>
      <c r="D937" t="s">
        <v>98</v>
      </c>
      <c r="E937" s="141">
        <v>1</v>
      </c>
      <c r="F937" s="141">
        <v>365</v>
      </c>
      <c r="G937" s="142"/>
      <c r="H937" s="142">
        <v>365</v>
      </c>
      <c r="I937" s="192">
        <v>62</v>
      </c>
    </row>
    <row r="938" spans="1:9" x14ac:dyDescent="0.65">
      <c r="A938" s="188">
        <v>40773</v>
      </c>
      <c r="B938" s="35" t="s">
        <v>7</v>
      </c>
      <c r="C938" t="s">
        <v>7</v>
      </c>
      <c r="D938" t="s">
        <v>18</v>
      </c>
      <c r="E938" s="141">
        <v>8</v>
      </c>
      <c r="F938" s="141">
        <v>32.200000000000003</v>
      </c>
      <c r="G938" s="142"/>
      <c r="H938" s="142">
        <v>257.60000000000002</v>
      </c>
      <c r="I938" s="192">
        <v>62</v>
      </c>
    </row>
    <row r="939" spans="1:9" x14ac:dyDescent="0.65">
      <c r="A939" s="188">
        <v>40773</v>
      </c>
      <c r="B939" s="35" t="s">
        <v>1336</v>
      </c>
      <c r="C939" t="s">
        <v>7</v>
      </c>
      <c r="D939" t="s">
        <v>18</v>
      </c>
      <c r="E939" s="141">
        <v>7.5</v>
      </c>
      <c r="F939" s="141">
        <v>95</v>
      </c>
      <c r="G939" s="142"/>
      <c r="H939" s="142">
        <v>712.5</v>
      </c>
      <c r="I939" s="192">
        <v>62</v>
      </c>
    </row>
    <row r="940" spans="1:9" x14ac:dyDescent="0.65">
      <c r="A940" s="188">
        <v>40773</v>
      </c>
      <c r="B940" s="35" t="s">
        <v>401</v>
      </c>
      <c r="C940" t="s">
        <v>1357</v>
      </c>
      <c r="D940" t="s">
        <v>98</v>
      </c>
      <c r="E940" s="141">
        <v>1</v>
      </c>
      <c r="F940" s="141">
        <v>365</v>
      </c>
      <c r="G940" s="142"/>
      <c r="H940" s="142">
        <v>365</v>
      </c>
      <c r="I940" s="192">
        <v>62</v>
      </c>
    </row>
    <row r="941" spans="1:9" x14ac:dyDescent="0.65">
      <c r="A941" s="188">
        <v>40773</v>
      </c>
      <c r="B941" s="35" t="s">
        <v>1344</v>
      </c>
      <c r="C941" t="s">
        <v>1345</v>
      </c>
      <c r="D941" t="s">
        <v>18</v>
      </c>
      <c r="E941" s="141">
        <v>5</v>
      </c>
      <c r="F941" s="141">
        <v>80</v>
      </c>
      <c r="G941" s="142"/>
      <c r="H941" s="142">
        <v>400</v>
      </c>
      <c r="I941" s="192">
        <v>62</v>
      </c>
    </row>
    <row r="942" spans="1:9" x14ac:dyDescent="0.65">
      <c r="A942" s="188">
        <v>40773</v>
      </c>
      <c r="B942" s="35" t="s">
        <v>7</v>
      </c>
      <c r="C942" t="s">
        <v>7</v>
      </c>
      <c r="D942" t="s">
        <v>18</v>
      </c>
      <c r="E942" s="141">
        <v>8</v>
      </c>
      <c r="F942" s="141">
        <v>39.39</v>
      </c>
      <c r="G942" s="142"/>
      <c r="H942" s="142">
        <v>315.12</v>
      </c>
      <c r="I942" s="192">
        <v>62</v>
      </c>
    </row>
    <row r="943" spans="1:9" x14ac:dyDescent="0.65">
      <c r="A943" s="188">
        <v>40773</v>
      </c>
      <c r="B943" s="35" t="s">
        <v>7</v>
      </c>
      <c r="C943" t="s">
        <v>7</v>
      </c>
      <c r="D943" t="s">
        <v>18</v>
      </c>
      <c r="E943" s="141">
        <v>10</v>
      </c>
      <c r="F943" s="141">
        <v>39.39</v>
      </c>
      <c r="G943" s="142"/>
      <c r="H943" s="142">
        <v>393.9</v>
      </c>
      <c r="I943" s="192">
        <v>62</v>
      </c>
    </row>
    <row r="944" spans="1:9" x14ac:dyDescent="0.65">
      <c r="A944" s="188">
        <v>40774</v>
      </c>
      <c r="B944" s="35" t="s">
        <v>1344</v>
      </c>
      <c r="C944" t="s">
        <v>1345</v>
      </c>
      <c r="D944" t="s">
        <v>18</v>
      </c>
      <c r="E944" s="141">
        <v>2</v>
      </c>
      <c r="F944" s="141">
        <v>80</v>
      </c>
      <c r="G944" s="142"/>
      <c r="H944" s="142">
        <v>160</v>
      </c>
      <c r="I944" s="192">
        <v>62</v>
      </c>
    </row>
    <row r="945" spans="1:9" x14ac:dyDescent="0.65">
      <c r="A945" s="188">
        <v>40774</v>
      </c>
      <c r="B945" s="35" t="s">
        <v>7</v>
      </c>
      <c r="C945" t="s">
        <v>7</v>
      </c>
      <c r="D945" t="s">
        <v>18</v>
      </c>
      <c r="E945" s="141">
        <v>3</v>
      </c>
      <c r="F945" s="141">
        <v>32.200000000000003</v>
      </c>
      <c r="G945" s="142"/>
      <c r="H945" s="142">
        <v>96.6</v>
      </c>
      <c r="I945" s="192">
        <v>62</v>
      </c>
    </row>
    <row r="946" spans="1:9" x14ac:dyDescent="0.65">
      <c r="A946" s="188">
        <v>40774</v>
      </c>
      <c r="B946" s="35" t="s">
        <v>7</v>
      </c>
      <c r="C946" t="s">
        <v>7</v>
      </c>
      <c r="D946" t="s">
        <v>18</v>
      </c>
      <c r="E946" s="141">
        <v>4.5</v>
      </c>
      <c r="F946" s="141">
        <v>39.39</v>
      </c>
      <c r="G946" s="142"/>
      <c r="H946" s="142">
        <v>177.255</v>
      </c>
      <c r="I946" s="192">
        <v>62</v>
      </c>
    </row>
    <row r="947" spans="1:9" x14ac:dyDescent="0.65">
      <c r="A947" s="188">
        <v>40774</v>
      </c>
      <c r="B947" s="35" t="s">
        <v>1336</v>
      </c>
      <c r="C947" t="s">
        <v>7</v>
      </c>
      <c r="D947" t="s">
        <v>18</v>
      </c>
      <c r="E947" s="141">
        <v>9</v>
      </c>
      <c r="F947" s="141">
        <v>95</v>
      </c>
      <c r="G947" s="142"/>
      <c r="H947" s="142">
        <v>855</v>
      </c>
      <c r="I947" s="192">
        <v>62</v>
      </c>
    </row>
    <row r="948" spans="1:9" x14ac:dyDescent="0.65">
      <c r="A948" s="188">
        <v>40774</v>
      </c>
      <c r="B948" s="35" t="s">
        <v>401</v>
      </c>
      <c r="C948" t="s">
        <v>1357</v>
      </c>
      <c r="D948" t="s">
        <v>98</v>
      </c>
      <c r="E948" s="141">
        <v>1</v>
      </c>
      <c r="F948" s="141">
        <v>365</v>
      </c>
      <c r="G948" s="142"/>
      <c r="H948" s="142">
        <v>365</v>
      </c>
      <c r="I948" s="192">
        <v>62</v>
      </c>
    </row>
    <row r="949" spans="1:9" x14ac:dyDescent="0.65">
      <c r="A949" s="188">
        <v>40774</v>
      </c>
      <c r="B949" s="35" t="s">
        <v>1347</v>
      </c>
      <c r="C949" t="s">
        <v>1348</v>
      </c>
      <c r="D949" t="s">
        <v>18</v>
      </c>
      <c r="E949" s="141">
        <v>2</v>
      </c>
      <c r="F949" s="141">
        <v>90</v>
      </c>
      <c r="G949" s="142"/>
      <c r="H949" s="142">
        <v>180</v>
      </c>
      <c r="I949" s="192">
        <v>62</v>
      </c>
    </row>
    <row r="950" spans="1:9" x14ac:dyDescent="0.65">
      <c r="A950" s="188">
        <v>40777</v>
      </c>
      <c r="B950" s="35" t="s">
        <v>1344</v>
      </c>
      <c r="C950" t="s">
        <v>1345</v>
      </c>
      <c r="D950" t="s">
        <v>18</v>
      </c>
      <c r="E950" s="141">
        <v>2</v>
      </c>
      <c r="F950" s="141">
        <v>80</v>
      </c>
      <c r="G950" s="142"/>
      <c r="H950" s="142">
        <v>160</v>
      </c>
      <c r="I950" s="192">
        <v>62</v>
      </c>
    </row>
    <row r="951" spans="1:9" x14ac:dyDescent="0.65">
      <c r="A951" s="188">
        <v>40777</v>
      </c>
      <c r="B951" s="35" t="s">
        <v>401</v>
      </c>
      <c r="C951" t="s">
        <v>1357</v>
      </c>
      <c r="D951" t="s">
        <v>98</v>
      </c>
      <c r="E951" s="141">
        <v>1</v>
      </c>
      <c r="F951" s="141">
        <v>365</v>
      </c>
      <c r="G951" s="142"/>
      <c r="H951" s="142">
        <v>365</v>
      </c>
      <c r="I951" s="192">
        <v>62</v>
      </c>
    </row>
    <row r="952" spans="1:9" x14ac:dyDescent="0.65">
      <c r="A952" s="188">
        <v>40777</v>
      </c>
      <c r="B952" s="35" t="s">
        <v>1336</v>
      </c>
      <c r="C952" t="s">
        <v>7</v>
      </c>
      <c r="D952" t="s">
        <v>18</v>
      </c>
      <c r="E952" s="141">
        <v>7</v>
      </c>
      <c r="F952" s="141">
        <v>95</v>
      </c>
      <c r="G952" s="142"/>
      <c r="H952" s="142">
        <v>665</v>
      </c>
      <c r="I952" s="192">
        <v>62</v>
      </c>
    </row>
    <row r="953" spans="1:9" x14ac:dyDescent="0.65">
      <c r="A953" s="188">
        <v>40777</v>
      </c>
      <c r="B953" s="35" t="s">
        <v>7</v>
      </c>
      <c r="C953" t="s">
        <v>7</v>
      </c>
      <c r="D953" t="s">
        <v>18</v>
      </c>
      <c r="E953" s="141">
        <v>2</v>
      </c>
      <c r="F953" s="141">
        <v>39.39</v>
      </c>
      <c r="G953" s="142"/>
      <c r="H953" s="142">
        <v>78.78</v>
      </c>
      <c r="I953" s="192">
        <v>62</v>
      </c>
    </row>
    <row r="954" spans="1:9" x14ac:dyDescent="0.65">
      <c r="A954" s="188">
        <v>40777</v>
      </c>
      <c r="B954" s="35" t="s">
        <v>1347</v>
      </c>
      <c r="C954" t="s">
        <v>1348</v>
      </c>
      <c r="D954" t="s">
        <v>18</v>
      </c>
      <c r="E954" s="141">
        <v>2</v>
      </c>
      <c r="F954" s="141">
        <v>90</v>
      </c>
      <c r="G954" s="142"/>
      <c r="H954" s="142">
        <v>180</v>
      </c>
      <c r="I954" s="192">
        <v>62</v>
      </c>
    </row>
    <row r="955" spans="1:9" x14ac:dyDescent="0.65">
      <c r="A955" s="188">
        <v>40777</v>
      </c>
      <c r="B955" s="35" t="s">
        <v>7</v>
      </c>
      <c r="C955" t="s">
        <v>7</v>
      </c>
      <c r="D955" t="s">
        <v>18</v>
      </c>
      <c r="E955" s="141">
        <v>7.5</v>
      </c>
      <c r="F955" s="141">
        <v>32.200000000000003</v>
      </c>
      <c r="G955" s="142"/>
      <c r="H955" s="142">
        <v>241.5</v>
      </c>
      <c r="I955" s="192">
        <v>62</v>
      </c>
    </row>
    <row r="956" spans="1:9" x14ac:dyDescent="0.65">
      <c r="A956" s="188">
        <v>40778</v>
      </c>
      <c r="B956" s="35" t="s">
        <v>1358</v>
      </c>
      <c r="C956" t="s">
        <v>1359</v>
      </c>
      <c r="D956" t="s">
        <v>98</v>
      </c>
      <c r="E956" s="141">
        <v>1</v>
      </c>
      <c r="F956" s="141">
        <v>365</v>
      </c>
      <c r="G956" s="142"/>
      <c r="H956" s="142">
        <v>365</v>
      </c>
      <c r="I956" s="192">
        <v>62</v>
      </c>
    </row>
    <row r="957" spans="1:9" x14ac:dyDescent="0.65">
      <c r="A957" s="188">
        <v>40778</v>
      </c>
      <c r="B957" s="35" t="s">
        <v>1347</v>
      </c>
      <c r="C957" t="s">
        <v>1348</v>
      </c>
      <c r="D957" t="s">
        <v>18</v>
      </c>
      <c r="E957" s="141">
        <v>2</v>
      </c>
      <c r="F957" s="141">
        <v>90</v>
      </c>
      <c r="G957" s="142"/>
      <c r="H957" s="142">
        <v>180</v>
      </c>
      <c r="I957" s="192">
        <v>62</v>
      </c>
    </row>
    <row r="958" spans="1:9" x14ac:dyDescent="0.65">
      <c r="A958" s="188">
        <v>40778</v>
      </c>
      <c r="B958" s="35" t="s">
        <v>1344</v>
      </c>
      <c r="C958" t="s">
        <v>1345</v>
      </c>
      <c r="D958" t="s">
        <v>18</v>
      </c>
      <c r="E958" s="141">
        <v>8</v>
      </c>
      <c r="F958" s="141">
        <v>80</v>
      </c>
      <c r="G958" s="142"/>
      <c r="H958" s="142">
        <v>640</v>
      </c>
      <c r="I958" s="192">
        <v>62</v>
      </c>
    </row>
    <row r="959" spans="1:9" x14ac:dyDescent="0.65">
      <c r="A959" s="188">
        <v>40778</v>
      </c>
      <c r="B959" s="35" t="s">
        <v>7</v>
      </c>
      <c r="C959" t="s">
        <v>7</v>
      </c>
      <c r="D959" t="s">
        <v>18</v>
      </c>
      <c r="E959" s="141">
        <v>6</v>
      </c>
      <c r="F959" s="141">
        <v>39.39</v>
      </c>
      <c r="G959" s="142"/>
      <c r="H959" s="142">
        <v>236.34</v>
      </c>
      <c r="I959" s="192">
        <v>62</v>
      </c>
    </row>
    <row r="960" spans="1:9" x14ac:dyDescent="0.65">
      <c r="A960" s="188">
        <v>40778</v>
      </c>
      <c r="B960" s="35" t="s">
        <v>7</v>
      </c>
      <c r="C960" t="s">
        <v>7</v>
      </c>
      <c r="D960" t="s">
        <v>18</v>
      </c>
      <c r="E960" s="141">
        <v>5.5</v>
      </c>
      <c r="F960" s="141">
        <v>39.39</v>
      </c>
      <c r="G960" s="142"/>
      <c r="H960" s="142">
        <v>216.64500000000001</v>
      </c>
      <c r="I960" s="192">
        <v>62</v>
      </c>
    </row>
    <row r="961" spans="1:9" x14ac:dyDescent="0.65">
      <c r="A961" s="188">
        <v>40778</v>
      </c>
      <c r="B961" s="35" t="s">
        <v>7</v>
      </c>
      <c r="C961" t="s">
        <v>7</v>
      </c>
      <c r="D961" t="s">
        <v>18</v>
      </c>
      <c r="E961" s="141">
        <v>9.5</v>
      </c>
      <c r="F961" s="141">
        <v>32.200000000000003</v>
      </c>
      <c r="G961" s="142"/>
      <c r="H961" s="142">
        <v>305.89999999999998</v>
      </c>
      <c r="I961" s="192">
        <v>62</v>
      </c>
    </row>
    <row r="962" spans="1:9" x14ac:dyDescent="0.65">
      <c r="A962" s="188">
        <v>40778</v>
      </c>
      <c r="B962" s="35" t="s">
        <v>401</v>
      </c>
      <c r="C962" t="s">
        <v>1357</v>
      </c>
      <c r="D962" t="s">
        <v>98</v>
      </c>
      <c r="E962" s="141">
        <v>1</v>
      </c>
      <c r="F962" s="141">
        <v>365</v>
      </c>
      <c r="G962" s="142"/>
      <c r="H962" s="142">
        <v>365</v>
      </c>
      <c r="I962" s="192">
        <v>62</v>
      </c>
    </row>
    <row r="963" spans="1:9" x14ac:dyDescent="0.65">
      <c r="A963" s="188">
        <v>40778</v>
      </c>
      <c r="B963" s="35" t="s">
        <v>1336</v>
      </c>
      <c r="C963" t="s">
        <v>7</v>
      </c>
      <c r="D963" t="s">
        <v>18</v>
      </c>
      <c r="E963" s="141">
        <v>7</v>
      </c>
      <c r="F963" s="141">
        <v>95</v>
      </c>
      <c r="G963" s="142"/>
      <c r="H963" s="142">
        <v>665</v>
      </c>
      <c r="I963" s="192">
        <v>62</v>
      </c>
    </row>
    <row r="964" spans="1:9" x14ac:dyDescent="0.65">
      <c r="A964" s="188">
        <v>40779</v>
      </c>
      <c r="B964" s="35" t="s">
        <v>401</v>
      </c>
      <c r="C964" t="s">
        <v>1357</v>
      </c>
      <c r="D964" t="s">
        <v>98</v>
      </c>
      <c r="E964" s="141">
        <v>1</v>
      </c>
      <c r="F964" s="141">
        <v>365</v>
      </c>
      <c r="G964" s="142"/>
      <c r="H964" s="142">
        <v>365</v>
      </c>
      <c r="I964" s="192">
        <v>62</v>
      </c>
    </row>
    <row r="965" spans="1:9" x14ac:dyDescent="0.65">
      <c r="A965" s="188">
        <v>40779</v>
      </c>
      <c r="B965" s="35" t="s">
        <v>1358</v>
      </c>
      <c r="C965" t="s">
        <v>1359</v>
      </c>
      <c r="D965" t="s">
        <v>98</v>
      </c>
      <c r="E965" s="141">
        <v>1</v>
      </c>
      <c r="F965" s="141">
        <v>365</v>
      </c>
      <c r="G965" s="142"/>
      <c r="H965" s="142">
        <v>365</v>
      </c>
      <c r="I965" s="192">
        <v>62</v>
      </c>
    </row>
    <row r="966" spans="1:9" x14ac:dyDescent="0.65">
      <c r="A966" s="188">
        <v>40779</v>
      </c>
      <c r="B966" s="35" t="s">
        <v>1344</v>
      </c>
      <c r="C966" t="s">
        <v>1345</v>
      </c>
      <c r="D966" t="s">
        <v>18</v>
      </c>
      <c r="E966" s="141">
        <v>4.5</v>
      </c>
      <c r="F966" s="141">
        <v>80</v>
      </c>
      <c r="G966" s="142"/>
      <c r="H966" s="142">
        <v>360</v>
      </c>
      <c r="I966" s="192">
        <v>62</v>
      </c>
    </row>
    <row r="967" spans="1:9" x14ac:dyDescent="0.65">
      <c r="A967" s="188">
        <v>40779</v>
      </c>
      <c r="B967" s="35" t="s">
        <v>7</v>
      </c>
      <c r="C967" t="s">
        <v>7</v>
      </c>
      <c r="D967" t="s">
        <v>18</v>
      </c>
      <c r="E967" s="141">
        <v>5</v>
      </c>
      <c r="F967" s="141">
        <v>39.39</v>
      </c>
      <c r="G967" s="142"/>
      <c r="H967" s="142">
        <v>196.95</v>
      </c>
      <c r="I967" s="192">
        <v>62</v>
      </c>
    </row>
    <row r="968" spans="1:9" x14ac:dyDescent="0.65">
      <c r="A968" s="188">
        <v>40779</v>
      </c>
      <c r="B968" s="35" t="s">
        <v>7</v>
      </c>
      <c r="C968" t="s">
        <v>7</v>
      </c>
      <c r="D968" t="s">
        <v>18</v>
      </c>
      <c r="E968" s="141">
        <v>5</v>
      </c>
      <c r="F968" s="141">
        <v>39.39</v>
      </c>
      <c r="G968" s="142"/>
      <c r="H968" s="142">
        <v>196.95</v>
      </c>
      <c r="I968" s="192">
        <v>62</v>
      </c>
    </row>
    <row r="969" spans="1:9" x14ac:dyDescent="0.65">
      <c r="A969" s="188">
        <v>40779</v>
      </c>
      <c r="B969" s="35" t="s">
        <v>7</v>
      </c>
      <c r="C969" t="s">
        <v>7</v>
      </c>
      <c r="D969" t="s">
        <v>18</v>
      </c>
      <c r="E969" s="141">
        <v>5</v>
      </c>
      <c r="F969" s="141">
        <v>32.200000000000003</v>
      </c>
      <c r="G969" s="142"/>
      <c r="H969" s="142">
        <v>161</v>
      </c>
      <c r="I969" s="192">
        <v>62</v>
      </c>
    </row>
    <row r="970" spans="1:9" x14ac:dyDescent="0.65">
      <c r="A970" s="188">
        <v>40779</v>
      </c>
      <c r="B970" s="35" t="s">
        <v>1347</v>
      </c>
      <c r="C970" t="s">
        <v>1348</v>
      </c>
      <c r="D970" t="s">
        <v>18</v>
      </c>
      <c r="E970" s="141">
        <v>2</v>
      </c>
      <c r="F970" s="141">
        <v>90</v>
      </c>
      <c r="G970" s="142"/>
      <c r="H970" s="142">
        <v>180</v>
      </c>
      <c r="I970" s="192">
        <v>62</v>
      </c>
    </row>
    <row r="971" spans="1:9" x14ac:dyDescent="0.65">
      <c r="A971" s="188">
        <v>40779</v>
      </c>
      <c r="B971" s="35" t="s">
        <v>1336</v>
      </c>
      <c r="C971" t="s">
        <v>7</v>
      </c>
      <c r="D971" t="s">
        <v>18</v>
      </c>
      <c r="E971" s="141">
        <v>7</v>
      </c>
      <c r="F971" s="141">
        <v>95</v>
      </c>
      <c r="G971" s="142"/>
      <c r="H971" s="142">
        <v>665</v>
      </c>
      <c r="I971" s="192">
        <v>62</v>
      </c>
    </row>
    <row r="972" spans="1:9" x14ac:dyDescent="0.65">
      <c r="A972" s="188">
        <v>40780</v>
      </c>
      <c r="B972" s="35" t="s">
        <v>401</v>
      </c>
      <c r="C972" t="s">
        <v>1357</v>
      </c>
      <c r="D972" t="s">
        <v>98</v>
      </c>
      <c r="E972" s="141">
        <v>1</v>
      </c>
      <c r="F972" s="141">
        <v>365</v>
      </c>
      <c r="G972" s="142"/>
      <c r="H972" s="142">
        <v>365</v>
      </c>
      <c r="I972" s="192">
        <v>62</v>
      </c>
    </row>
    <row r="973" spans="1:9" x14ac:dyDescent="0.65">
      <c r="A973" s="188">
        <v>40780</v>
      </c>
      <c r="B973" s="35" t="s">
        <v>1344</v>
      </c>
      <c r="C973" t="s">
        <v>1345</v>
      </c>
      <c r="D973" t="s">
        <v>18</v>
      </c>
      <c r="E973" s="141">
        <v>1</v>
      </c>
      <c r="F973" s="141">
        <v>80</v>
      </c>
      <c r="G973" s="142"/>
      <c r="H973" s="142">
        <v>80</v>
      </c>
      <c r="I973" s="192">
        <v>62</v>
      </c>
    </row>
    <row r="974" spans="1:9" x14ac:dyDescent="0.65">
      <c r="A974" s="188">
        <v>40780</v>
      </c>
      <c r="B974" s="35" t="s">
        <v>1358</v>
      </c>
      <c r="C974" t="s">
        <v>1359</v>
      </c>
      <c r="D974" t="s">
        <v>98</v>
      </c>
      <c r="E974" s="141">
        <v>1</v>
      </c>
      <c r="F974" s="141">
        <v>365</v>
      </c>
      <c r="G974" s="142"/>
      <c r="H974" s="142">
        <v>365</v>
      </c>
      <c r="I974" s="192">
        <v>62</v>
      </c>
    </row>
    <row r="975" spans="1:9" x14ac:dyDescent="0.65">
      <c r="A975" s="188">
        <v>40780</v>
      </c>
      <c r="B975" s="35" t="s">
        <v>7</v>
      </c>
      <c r="C975" t="s">
        <v>7</v>
      </c>
      <c r="D975" t="s">
        <v>18</v>
      </c>
      <c r="E975" s="141">
        <v>6.5</v>
      </c>
      <c r="F975" s="141">
        <v>39.39</v>
      </c>
      <c r="G975" s="142"/>
      <c r="H975" s="142">
        <v>256.03500000000003</v>
      </c>
      <c r="I975" s="192">
        <v>62</v>
      </c>
    </row>
    <row r="976" spans="1:9" x14ac:dyDescent="0.65">
      <c r="A976" s="188">
        <v>40780</v>
      </c>
      <c r="B976" s="35" t="s">
        <v>7</v>
      </c>
      <c r="C976" t="s">
        <v>7</v>
      </c>
      <c r="D976" t="s">
        <v>18</v>
      </c>
      <c r="E976" s="141">
        <v>5</v>
      </c>
      <c r="F976" s="141">
        <v>39.39</v>
      </c>
      <c r="G976" s="142"/>
      <c r="H976" s="142">
        <v>196.95</v>
      </c>
      <c r="I976" s="192">
        <v>62</v>
      </c>
    </row>
    <row r="977" spans="1:9" x14ac:dyDescent="0.65">
      <c r="A977" s="188">
        <v>40780</v>
      </c>
      <c r="B977" s="35" t="s">
        <v>7</v>
      </c>
      <c r="C977" t="s">
        <v>7</v>
      </c>
      <c r="D977" t="s">
        <v>18</v>
      </c>
      <c r="E977" s="141">
        <v>6.5</v>
      </c>
      <c r="F977" s="141">
        <v>32.200000000000003</v>
      </c>
      <c r="G977" s="142"/>
      <c r="H977" s="142">
        <v>209.3</v>
      </c>
      <c r="I977" s="192">
        <v>62</v>
      </c>
    </row>
    <row r="978" spans="1:9" x14ac:dyDescent="0.65">
      <c r="A978" s="188">
        <v>40780</v>
      </c>
      <c r="B978" s="35" t="s">
        <v>1347</v>
      </c>
      <c r="C978" t="s">
        <v>1348</v>
      </c>
      <c r="D978" t="s">
        <v>18</v>
      </c>
      <c r="E978" s="141">
        <v>2</v>
      </c>
      <c r="F978" s="141">
        <v>90</v>
      </c>
      <c r="G978" s="142"/>
      <c r="H978" s="142">
        <v>180</v>
      </c>
      <c r="I978" s="192">
        <v>62</v>
      </c>
    </row>
    <row r="979" spans="1:9" x14ac:dyDescent="0.65">
      <c r="A979" s="188">
        <v>40780</v>
      </c>
      <c r="B979" s="35" t="s">
        <v>1336</v>
      </c>
      <c r="C979" t="s">
        <v>7</v>
      </c>
      <c r="D979" t="s">
        <v>18</v>
      </c>
      <c r="E979" s="141">
        <v>7</v>
      </c>
      <c r="F979" s="141">
        <v>95</v>
      </c>
      <c r="G979" s="142"/>
      <c r="H979" s="142">
        <v>665</v>
      </c>
      <c r="I979" s="192">
        <v>62</v>
      </c>
    </row>
    <row r="980" spans="1:9" x14ac:dyDescent="0.65">
      <c r="A980" s="188">
        <v>40781</v>
      </c>
      <c r="B980" s="35" t="s">
        <v>1361</v>
      </c>
      <c r="C980" t="s">
        <v>1357</v>
      </c>
      <c r="D980" t="s">
        <v>98</v>
      </c>
      <c r="E980" s="141">
        <v>1</v>
      </c>
      <c r="F980" s="141">
        <v>365</v>
      </c>
      <c r="G980" s="142"/>
      <c r="H980" s="142">
        <v>365</v>
      </c>
      <c r="I980" s="192">
        <v>62</v>
      </c>
    </row>
    <row r="981" spans="1:9" x14ac:dyDescent="0.65">
      <c r="A981" s="188">
        <v>40781</v>
      </c>
      <c r="B981" s="35" t="s">
        <v>1336</v>
      </c>
      <c r="C981" t="s">
        <v>7</v>
      </c>
      <c r="D981" t="s">
        <v>18</v>
      </c>
      <c r="E981" s="141">
        <v>8</v>
      </c>
      <c r="F981" s="141">
        <v>95</v>
      </c>
      <c r="G981" s="142"/>
      <c r="H981" s="142">
        <v>760</v>
      </c>
      <c r="I981" s="192">
        <v>62</v>
      </c>
    </row>
    <row r="982" spans="1:9" x14ac:dyDescent="0.65">
      <c r="A982" s="188">
        <v>40781</v>
      </c>
      <c r="B982" s="35" t="s">
        <v>1393</v>
      </c>
      <c r="C982" t="s">
        <v>1394</v>
      </c>
      <c r="D982" t="s">
        <v>451</v>
      </c>
      <c r="E982" s="141">
        <v>1</v>
      </c>
      <c r="F982" s="141">
        <v>238.56</v>
      </c>
      <c r="G982" s="142"/>
      <c r="H982" s="142">
        <v>238.56</v>
      </c>
      <c r="I982" s="192">
        <v>62</v>
      </c>
    </row>
    <row r="983" spans="1:9" x14ac:dyDescent="0.65">
      <c r="A983" s="188">
        <v>40781</v>
      </c>
      <c r="B983" s="35" t="s">
        <v>1358</v>
      </c>
      <c r="C983" t="s">
        <v>1359</v>
      </c>
      <c r="D983" t="s">
        <v>98</v>
      </c>
      <c r="E983" s="141">
        <v>1</v>
      </c>
      <c r="F983" s="141">
        <v>365</v>
      </c>
      <c r="G983" s="142"/>
      <c r="H983" s="142">
        <v>365</v>
      </c>
      <c r="I983" s="192">
        <v>62</v>
      </c>
    </row>
    <row r="984" spans="1:9" x14ac:dyDescent="0.65">
      <c r="A984" s="188">
        <v>40791</v>
      </c>
      <c r="B984" s="35" t="s">
        <v>1336</v>
      </c>
      <c r="C984" t="s">
        <v>7</v>
      </c>
      <c r="D984" t="s">
        <v>18</v>
      </c>
      <c r="E984" s="141">
        <v>4</v>
      </c>
      <c r="F984" s="141">
        <v>95</v>
      </c>
      <c r="G984" s="142"/>
      <c r="H984" s="142">
        <v>380</v>
      </c>
      <c r="I984" s="192">
        <v>62</v>
      </c>
    </row>
    <row r="985" spans="1:9" x14ac:dyDescent="0.65">
      <c r="A985" s="188">
        <v>40791</v>
      </c>
      <c r="B985" s="35" t="s">
        <v>1344</v>
      </c>
      <c r="C985" t="s">
        <v>1345</v>
      </c>
      <c r="D985" t="s">
        <v>18</v>
      </c>
      <c r="E985" s="141">
        <v>5</v>
      </c>
      <c r="F985" s="141">
        <v>80</v>
      </c>
      <c r="G985" s="142"/>
      <c r="H985" s="142">
        <v>400</v>
      </c>
      <c r="I985" s="192">
        <v>62</v>
      </c>
    </row>
    <row r="986" spans="1:9" x14ac:dyDescent="0.65">
      <c r="A986" s="188">
        <v>40791</v>
      </c>
      <c r="B986" s="35" t="s">
        <v>7</v>
      </c>
      <c r="C986" t="s">
        <v>7</v>
      </c>
      <c r="D986" t="s">
        <v>18</v>
      </c>
      <c r="E986" s="141">
        <v>6.5</v>
      </c>
      <c r="F986" s="141">
        <v>32.200000000000003</v>
      </c>
      <c r="G986" s="142"/>
      <c r="H986" s="142">
        <v>209.3</v>
      </c>
      <c r="I986" s="192">
        <v>62</v>
      </c>
    </row>
    <row r="987" spans="1:9" x14ac:dyDescent="0.65">
      <c r="A987" s="188">
        <v>40791</v>
      </c>
      <c r="B987" s="35" t="s">
        <v>7</v>
      </c>
      <c r="C987" t="s">
        <v>7</v>
      </c>
      <c r="D987" t="s">
        <v>18</v>
      </c>
      <c r="E987" s="141">
        <v>3.5</v>
      </c>
      <c r="F987" s="141">
        <v>39.39</v>
      </c>
      <c r="G987" s="142"/>
      <c r="H987" s="142">
        <v>137.86500000000001</v>
      </c>
      <c r="I987" s="192">
        <v>62</v>
      </c>
    </row>
    <row r="988" spans="1:9" x14ac:dyDescent="0.65">
      <c r="A988" s="188">
        <v>40791</v>
      </c>
      <c r="B988" s="35" t="s">
        <v>7</v>
      </c>
      <c r="C988" t="s">
        <v>7</v>
      </c>
      <c r="D988" t="s">
        <v>18</v>
      </c>
      <c r="E988" s="141">
        <v>3.5</v>
      </c>
      <c r="F988" s="141">
        <v>39.39</v>
      </c>
      <c r="G988" s="142"/>
      <c r="H988" s="142">
        <v>137.86500000000001</v>
      </c>
      <c r="I988" s="192">
        <v>62</v>
      </c>
    </row>
    <row r="989" spans="1:9" x14ac:dyDescent="0.65">
      <c r="A989" s="188">
        <v>40792</v>
      </c>
      <c r="B989" s="35" t="s">
        <v>7</v>
      </c>
      <c r="C989" t="s">
        <v>7</v>
      </c>
      <c r="D989" t="s">
        <v>18</v>
      </c>
      <c r="E989" s="141">
        <v>11</v>
      </c>
      <c r="F989" s="141">
        <v>39.39</v>
      </c>
      <c r="G989" s="142"/>
      <c r="H989" s="142">
        <v>433.29</v>
      </c>
      <c r="I989" s="192">
        <v>62</v>
      </c>
    </row>
    <row r="990" spans="1:9" x14ac:dyDescent="0.65">
      <c r="A990" s="188">
        <v>40792</v>
      </c>
      <c r="B990" s="35" t="s">
        <v>7</v>
      </c>
      <c r="C990" t="s">
        <v>7</v>
      </c>
      <c r="D990" t="s">
        <v>18</v>
      </c>
      <c r="E990" s="141">
        <v>6</v>
      </c>
      <c r="F990" s="141">
        <v>39.39</v>
      </c>
      <c r="G990" s="142"/>
      <c r="H990" s="142">
        <v>236.34</v>
      </c>
      <c r="I990" s="192">
        <v>62</v>
      </c>
    </row>
    <row r="991" spans="1:9" x14ac:dyDescent="0.65">
      <c r="A991" s="188">
        <v>40792</v>
      </c>
      <c r="B991" s="35" t="s">
        <v>7</v>
      </c>
      <c r="C991" t="s">
        <v>7</v>
      </c>
      <c r="D991" t="s">
        <v>18</v>
      </c>
      <c r="E991" s="141">
        <v>9.5</v>
      </c>
      <c r="F991" s="141">
        <v>32.200000000000003</v>
      </c>
      <c r="G991" s="142"/>
      <c r="H991" s="142">
        <v>305.89999999999998</v>
      </c>
      <c r="I991" s="192">
        <v>62</v>
      </c>
    </row>
    <row r="992" spans="1:9" x14ac:dyDescent="0.65">
      <c r="A992" s="188">
        <v>40792</v>
      </c>
      <c r="B992" s="35" t="s">
        <v>1358</v>
      </c>
      <c r="C992" t="s">
        <v>1359</v>
      </c>
      <c r="D992" t="s">
        <v>98</v>
      </c>
      <c r="E992" s="141">
        <v>1</v>
      </c>
      <c r="F992" s="141">
        <v>365</v>
      </c>
      <c r="G992" s="142"/>
      <c r="H992" s="142">
        <v>365</v>
      </c>
      <c r="I992" s="192">
        <v>62</v>
      </c>
    </row>
    <row r="993" spans="1:9" x14ac:dyDescent="0.65">
      <c r="A993" s="188">
        <v>40792</v>
      </c>
      <c r="B993" s="35" t="s">
        <v>1344</v>
      </c>
      <c r="C993" t="s">
        <v>1345</v>
      </c>
      <c r="D993" t="s">
        <v>18</v>
      </c>
      <c r="E993" s="141">
        <v>5</v>
      </c>
      <c r="F993" s="141">
        <v>80</v>
      </c>
      <c r="G993" s="142"/>
      <c r="H993" s="142">
        <v>400</v>
      </c>
      <c r="I993" s="192">
        <v>62</v>
      </c>
    </row>
    <row r="994" spans="1:9" x14ac:dyDescent="0.65">
      <c r="A994" s="188">
        <v>40792</v>
      </c>
      <c r="B994" s="35" t="s">
        <v>1336</v>
      </c>
      <c r="C994" t="s">
        <v>7</v>
      </c>
      <c r="D994" t="s">
        <v>18</v>
      </c>
      <c r="E994" s="141">
        <v>9</v>
      </c>
      <c r="F994" s="141">
        <v>95</v>
      </c>
      <c r="G994" s="142"/>
      <c r="H994" s="142">
        <v>855</v>
      </c>
      <c r="I994" s="192">
        <v>62</v>
      </c>
    </row>
    <row r="995" spans="1:9" x14ac:dyDescent="0.65">
      <c r="A995" s="188">
        <v>40793</v>
      </c>
      <c r="B995" s="35" t="s">
        <v>1336</v>
      </c>
      <c r="C995" t="s">
        <v>7</v>
      </c>
      <c r="D995" t="s">
        <v>18</v>
      </c>
      <c r="E995" s="141">
        <v>7</v>
      </c>
      <c r="F995" s="141">
        <v>95</v>
      </c>
      <c r="G995" s="142"/>
      <c r="H995" s="142">
        <v>665</v>
      </c>
      <c r="I995" s="192">
        <v>62</v>
      </c>
    </row>
    <row r="996" spans="1:9" x14ac:dyDescent="0.65">
      <c r="A996" s="188">
        <v>40793</v>
      </c>
      <c r="B996" s="35" t="s">
        <v>1347</v>
      </c>
      <c r="C996" t="s">
        <v>1348</v>
      </c>
      <c r="D996" t="s">
        <v>18</v>
      </c>
      <c r="E996" s="141">
        <v>10</v>
      </c>
      <c r="F996" s="141">
        <v>90</v>
      </c>
      <c r="G996" s="142"/>
      <c r="H996" s="142">
        <v>900</v>
      </c>
      <c r="I996" s="192">
        <v>62</v>
      </c>
    </row>
    <row r="997" spans="1:9" x14ac:dyDescent="0.65">
      <c r="A997" s="188">
        <v>40793</v>
      </c>
      <c r="B997" s="35" t="s">
        <v>1344</v>
      </c>
      <c r="C997" t="s">
        <v>1345</v>
      </c>
      <c r="D997" t="s">
        <v>18</v>
      </c>
      <c r="E997" s="141">
        <v>2</v>
      </c>
      <c r="F997" s="141">
        <v>80</v>
      </c>
      <c r="G997" s="142"/>
      <c r="H997" s="142">
        <v>160</v>
      </c>
      <c r="I997" s="192">
        <v>62</v>
      </c>
    </row>
    <row r="998" spans="1:9" x14ac:dyDescent="0.65">
      <c r="A998" s="188">
        <v>40793</v>
      </c>
      <c r="B998" s="35" t="s">
        <v>1334</v>
      </c>
      <c r="C998" t="s">
        <v>1335</v>
      </c>
      <c r="D998" t="s">
        <v>18</v>
      </c>
      <c r="E998" s="141">
        <v>4</v>
      </c>
      <c r="F998" s="141">
        <v>135</v>
      </c>
      <c r="G998" s="142"/>
      <c r="H998" s="142">
        <v>540</v>
      </c>
      <c r="I998" s="192">
        <v>62</v>
      </c>
    </row>
    <row r="999" spans="1:9" x14ac:dyDescent="0.65">
      <c r="A999" s="188">
        <v>40793</v>
      </c>
      <c r="B999" s="35" t="s">
        <v>7</v>
      </c>
      <c r="C999" t="s">
        <v>7</v>
      </c>
      <c r="D999" t="s">
        <v>18</v>
      </c>
      <c r="E999" s="141">
        <v>6</v>
      </c>
      <c r="F999" s="141">
        <v>39.39</v>
      </c>
      <c r="G999" s="142"/>
      <c r="H999" s="142">
        <v>236.34</v>
      </c>
      <c r="I999" s="192">
        <v>62</v>
      </c>
    </row>
    <row r="1000" spans="1:9" x14ac:dyDescent="0.65">
      <c r="A1000" s="188">
        <v>40793</v>
      </c>
      <c r="B1000" s="35" t="s">
        <v>7</v>
      </c>
      <c r="C1000" t="s">
        <v>7</v>
      </c>
      <c r="D1000" t="s">
        <v>18</v>
      </c>
      <c r="E1000" s="141">
        <v>7.5</v>
      </c>
      <c r="F1000" s="141">
        <v>39.39</v>
      </c>
      <c r="G1000" s="142"/>
      <c r="H1000" s="142">
        <v>295.42500000000001</v>
      </c>
      <c r="I1000" s="192">
        <v>62</v>
      </c>
    </row>
    <row r="1001" spans="1:9" x14ac:dyDescent="0.65">
      <c r="A1001" s="188">
        <v>40793</v>
      </c>
      <c r="B1001" s="35" t="s">
        <v>7</v>
      </c>
      <c r="C1001" t="s">
        <v>7</v>
      </c>
      <c r="D1001" t="s">
        <v>18</v>
      </c>
      <c r="E1001" s="141">
        <v>8</v>
      </c>
      <c r="F1001" s="141">
        <v>32.200000000000003</v>
      </c>
      <c r="G1001" s="142"/>
      <c r="H1001" s="142">
        <v>257.60000000000002</v>
      </c>
      <c r="I1001" s="192">
        <v>62</v>
      </c>
    </row>
    <row r="1002" spans="1:9" x14ac:dyDescent="0.65">
      <c r="A1002" s="188">
        <v>40794</v>
      </c>
      <c r="B1002" s="35" t="s">
        <v>1336</v>
      </c>
      <c r="C1002" t="s">
        <v>7</v>
      </c>
      <c r="D1002" t="s">
        <v>18</v>
      </c>
      <c r="E1002" s="141">
        <v>7</v>
      </c>
      <c r="F1002" s="141">
        <v>95</v>
      </c>
      <c r="G1002" s="142"/>
      <c r="H1002" s="142">
        <v>665</v>
      </c>
      <c r="I1002" s="192">
        <v>62</v>
      </c>
    </row>
    <row r="1003" spans="1:9" x14ac:dyDescent="0.65">
      <c r="A1003" s="188">
        <v>40794</v>
      </c>
      <c r="B1003" s="35" t="s">
        <v>1344</v>
      </c>
      <c r="C1003" t="s">
        <v>1345</v>
      </c>
      <c r="D1003" t="s">
        <v>18</v>
      </c>
      <c r="E1003" s="141">
        <v>2</v>
      </c>
      <c r="F1003" s="141">
        <v>80</v>
      </c>
      <c r="G1003" s="142"/>
      <c r="H1003" s="142">
        <v>160</v>
      </c>
      <c r="I1003" s="192">
        <v>62</v>
      </c>
    </row>
    <row r="1004" spans="1:9" x14ac:dyDescent="0.65">
      <c r="A1004" s="188">
        <v>40794</v>
      </c>
      <c r="B1004" s="35" t="s">
        <v>7</v>
      </c>
      <c r="C1004" t="s">
        <v>7</v>
      </c>
      <c r="D1004" t="s">
        <v>18</v>
      </c>
      <c r="E1004" s="141">
        <v>5.5</v>
      </c>
      <c r="F1004" s="141">
        <v>32.200000000000003</v>
      </c>
      <c r="G1004" s="142"/>
      <c r="H1004" s="142">
        <v>177.1</v>
      </c>
      <c r="I1004" s="192">
        <v>62</v>
      </c>
    </row>
    <row r="1005" spans="1:9" x14ac:dyDescent="0.65">
      <c r="A1005" s="188">
        <v>40794</v>
      </c>
      <c r="B1005" s="35" t="s">
        <v>7</v>
      </c>
      <c r="C1005" t="s">
        <v>7</v>
      </c>
      <c r="D1005" t="s">
        <v>18</v>
      </c>
      <c r="E1005" s="141">
        <v>2.5</v>
      </c>
      <c r="F1005" s="141">
        <v>39.39</v>
      </c>
      <c r="G1005" s="142"/>
      <c r="H1005" s="142">
        <v>98.474999999999994</v>
      </c>
      <c r="I1005" s="192">
        <v>62</v>
      </c>
    </row>
    <row r="1006" spans="1:9" x14ac:dyDescent="0.65">
      <c r="A1006" s="188">
        <v>40794</v>
      </c>
      <c r="B1006" s="35" t="s">
        <v>7</v>
      </c>
      <c r="C1006" t="s">
        <v>7</v>
      </c>
      <c r="D1006" t="s">
        <v>18</v>
      </c>
      <c r="E1006" s="141">
        <v>5.5</v>
      </c>
      <c r="F1006" s="141">
        <v>39.39</v>
      </c>
      <c r="G1006" s="142"/>
      <c r="H1006" s="142">
        <v>216.64500000000001</v>
      </c>
      <c r="I1006" s="192">
        <v>62</v>
      </c>
    </row>
    <row r="1007" spans="1:9" x14ac:dyDescent="0.65">
      <c r="A1007" s="188">
        <v>40795</v>
      </c>
      <c r="B1007" s="35" t="s">
        <v>1336</v>
      </c>
      <c r="C1007" t="s">
        <v>7</v>
      </c>
      <c r="D1007" t="s">
        <v>18</v>
      </c>
      <c r="E1007" s="141">
        <v>7.5</v>
      </c>
      <c r="F1007" s="141">
        <v>95</v>
      </c>
      <c r="G1007" s="142"/>
      <c r="H1007" s="142">
        <v>712.5</v>
      </c>
      <c r="I1007" s="192">
        <v>62</v>
      </c>
    </row>
    <row r="1008" spans="1:9" x14ac:dyDescent="0.65">
      <c r="A1008" s="188">
        <v>40795</v>
      </c>
      <c r="B1008" s="35" t="s">
        <v>1344</v>
      </c>
      <c r="C1008" t="s">
        <v>1345</v>
      </c>
      <c r="D1008" t="s">
        <v>18</v>
      </c>
      <c r="E1008" s="141">
        <v>5</v>
      </c>
      <c r="F1008" s="141">
        <v>80</v>
      </c>
      <c r="G1008" s="142"/>
      <c r="H1008" s="142">
        <v>400</v>
      </c>
      <c r="I1008" s="192">
        <v>62</v>
      </c>
    </row>
    <row r="1009" spans="1:9" x14ac:dyDescent="0.65">
      <c r="A1009" s="188">
        <v>40795</v>
      </c>
      <c r="B1009" s="35" t="s">
        <v>1347</v>
      </c>
      <c r="C1009" t="s">
        <v>1348</v>
      </c>
      <c r="D1009" t="s">
        <v>18</v>
      </c>
      <c r="E1009" s="141">
        <v>3</v>
      </c>
      <c r="F1009" s="141">
        <v>90</v>
      </c>
      <c r="G1009" s="142"/>
      <c r="H1009" s="142">
        <v>270</v>
      </c>
      <c r="I1009" s="192">
        <v>62</v>
      </c>
    </row>
    <row r="1010" spans="1:9" x14ac:dyDescent="0.65">
      <c r="A1010" s="188">
        <v>40795</v>
      </c>
      <c r="B1010" s="35" t="s">
        <v>7</v>
      </c>
      <c r="C1010" t="s">
        <v>7</v>
      </c>
      <c r="D1010" t="s">
        <v>18</v>
      </c>
      <c r="E1010" s="141">
        <v>7.5</v>
      </c>
      <c r="F1010" s="141">
        <v>39.39</v>
      </c>
      <c r="G1010" s="142"/>
      <c r="H1010" s="142">
        <v>295.42500000000001</v>
      </c>
      <c r="I1010" s="192">
        <v>62</v>
      </c>
    </row>
    <row r="1011" spans="1:9" x14ac:dyDescent="0.65">
      <c r="A1011" s="188">
        <v>40795</v>
      </c>
      <c r="B1011" s="35" t="s">
        <v>7</v>
      </c>
      <c r="C1011" t="s">
        <v>7</v>
      </c>
      <c r="D1011" t="s">
        <v>18</v>
      </c>
      <c r="E1011" s="141">
        <v>9.5</v>
      </c>
      <c r="F1011" s="141">
        <v>39.39</v>
      </c>
      <c r="G1011" s="142"/>
      <c r="H1011" s="142">
        <v>374.20499999999998</v>
      </c>
      <c r="I1011" s="192">
        <v>62</v>
      </c>
    </row>
    <row r="1012" spans="1:9" x14ac:dyDescent="0.65">
      <c r="A1012" s="188">
        <v>40795</v>
      </c>
      <c r="B1012" s="35" t="s">
        <v>7</v>
      </c>
      <c r="C1012" t="s">
        <v>7</v>
      </c>
      <c r="D1012" t="s">
        <v>18</v>
      </c>
      <c r="E1012" s="141">
        <v>8</v>
      </c>
      <c r="F1012" s="141">
        <v>32.200000000000003</v>
      </c>
      <c r="G1012" s="142"/>
      <c r="H1012" s="142">
        <v>257.60000000000002</v>
      </c>
      <c r="I1012" s="192">
        <v>62</v>
      </c>
    </row>
    <row r="1013" spans="1:9" x14ac:dyDescent="0.65">
      <c r="A1013" s="188">
        <v>40796</v>
      </c>
      <c r="B1013" s="35" t="s">
        <v>1344</v>
      </c>
      <c r="C1013" t="s">
        <v>1345</v>
      </c>
      <c r="D1013" t="s">
        <v>18</v>
      </c>
      <c r="E1013" s="141">
        <v>2</v>
      </c>
      <c r="F1013" s="141">
        <v>80</v>
      </c>
      <c r="G1013" s="142"/>
      <c r="H1013" s="142">
        <v>160</v>
      </c>
      <c r="I1013" s="192">
        <v>62</v>
      </c>
    </row>
    <row r="1014" spans="1:9" x14ac:dyDescent="0.65">
      <c r="A1014" s="188">
        <v>40796</v>
      </c>
      <c r="B1014" s="35" t="s">
        <v>1358</v>
      </c>
      <c r="C1014" t="s">
        <v>1359</v>
      </c>
      <c r="D1014" t="s">
        <v>98</v>
      </c>
      <c r="E1014" s="141">
        <v>1</v>
      </c>
      <c r="F1014" s="141">
        <v>365</v>
      </c>
      <c r="G1014" s="142"/>
      <c r="H1014" s="142">
        <v>365</v>
      </c>
      <c r="I1014" s="192">
        <v>62</v>
      </c>
    </row>
    <row r="1015" spans="1:9" x14ac:dyDescent="0.65">
      <c r="A1015" s="188">
        <v>40796</v>
      </c>
      <c r="B1015" s="35" t="s">
        <v>1336</v>
      </c>
      <c r="C1015" t="s">
        <v>7</v>
      </c>
      <c r="D1015" t="s">
        <v>18</v>
      </c>
      <c r="E1015" s="141">
        <v>4</v>
      </c>
      <c r="F1015" s="141">
        <v>95</v>
      </c>
      <c r="G1015" s="142"/>
      <c r="H1015" s="142">
        <v>380</v>
      </c>
      <c r="I1015" s="192">
        <v>62</v>
      </c>
    </row>
    <row r="1016" spans="1:9" x14ac:dyDescent="0.65">
      <c r="A1016" s="188">
        <v>40796</v>
      </c>
      <c r="B1016" s="35" t="s">
        <v>7</v>
      </c>
      <c r="C1016" t="s">
        <v>7</v>
      </c>
      <c r="D1016" t="s">
        <v>18</v>
      </c>
      <c r="E1016" s="141">
        <v>4</v>
      </c>
      <c r="F1016" s="141">
        <v>39.39</v>
      </c>
      <c r="G1016" s="142"/>
      <c r="H1016" s="142">
        <v>157.56</v>
      </c>
      <c r="I1016" s="192">
        <v>62</v>
      </c>
    </row>
    <row r="1017" spans="1:9" x14ac:dyDescent="0.65">
      <c r="A1017" s="188">
        <v>40798</v>
      </c>
      <c r="B1017" s="35" t="s">
        <v>1347</v>
      </c>
      <c r="C1017" t="s">
        <v>1348</v>
      </c>
      <c r="D1017" t="s">
        <v>18</v>
      </c>
      <c r="E1017" s="141">
        <v>3</v>
      </c>
      <c r="F1017" s="141">
        <v>90</v>
      </c>
      <c r="G1017" s="142"/>
      <c r="H1017" s="142">
        <v>270</v>
      </c>
      <c r="I1017" s="192">
        <v>62</v>
      </c>
    </row>
    <row r="1018" spans="1:9" x14ac:dyDescent="0.65">
      <c r="A1018" s="188">
        <v>40798</v>
      </c>
      <c r="B1018" s="35" t="s">
        <v>448</v>
      </c>
      <c r="C1018" t="s">
        <v>1351</v>
      </c>
      <c r="D1018" t="s">
        <v>451</v>
      </c>
      <c r="E1018" s="141">
        <v>3</v>
      </c>
      <c r="F1018" s="141">
        <v>125</v>
      </c>
      <c r="G1018" s="142"/>
      <c r="H1018" s="142">
        <v>375</v>
      </c>
      <c r="I1018" s="192">
        <v>62</v>
      </c>
    </row>
    <row r="1019" spans="1:9" x14ac:dyDescent="0.65">
      <c r="A1019" s="188">
        <v>40798</v>
      </c>
      <c r="B1019" s="35" t="s">
        <v>1336</v>
      </c>
      <c r="C1019" t="s">
        <v>7</v>
      </c>
      <c r="D1019" t="s">
        <v>18</v>
      </c>
      <c r="E1019" s="141">
        <v>8</v>
      </c>
      <c r="F1019" s="141">
        <v>95</v>
      </c>
      <c r="G1019" s="142"/>
      <c r="H1019" s="142">
        <v>760</v>
      </c>
      <c r="I1019" s="192">
        <v>62</v>
      </c>
    </row>
    <row r="1020" spans="1:9" x14ac:dyDescent="0.65">
      <c r="A1020" s="188">
        <v>40798</v>
      </c>
      <c r="B1020" s="35" t="s">
        <v>1334</v>
      </c>
      <c r="C1020" t="s">
        <v>1335</v>
      </c>
      <c r="D1020" t="s">
        <v>18</v>
      </c>
      <c r="E1020" s="141">
        <v>5</v>
      </c>
      <c r="F1020" s="141">
        <v>135</v>
      </c>
      <c r="G1020" s="142"/>
      <c r="H1020" s="142">
        <v>675</v>
      </c>
      <c r="I1020" s="192">
        <v>62</v>
      </c>
    </row>
    <row r="1021" spans="1:9" x14ac:dyDescent="0.65">
      <c r="A1021" s="188">
        <v>40799</v>
      </c>
      <c r="B1021" s="35" t="s">
        <v>1358</v>
      </c>
      <c r="C1021" t="s">
        <v>1359</v>
      </c>
      <c r="D1021" t="s">
        <v>98</v>
      </c>
      <c r="E1021" s="141">
        <v>1</v>
      </c>
      <c r="F1021" s="141">
        <v>365</v>
      </c>
      <c r="G1021" s="142"/>
      <c r="H1021" s="142">
        <v>365</v>
      </c>
      <c r="I1021" s="192">
        <v>62</v>
      </c>
    </row>
    <row r="1022" spans="1:9" x14ac:dyDescent="0.65">
      <c r="A1022" s="188">
        <v>40799</v>
      </c>
      <c r="B1022" s="35" t="s">
        <v>1336</v>
      </c>
      <c r="C1022" t="s">
        <v>7</v>
      </c>
      <c r="D1022" t="s">
        <v>18</v>
      </c>
      <c r="E1022" s="141">
        <v>9</v>
      </c>
      <c r="F1022" s="141">
        <v>95</v>
      </c>
      <c r="G1022" s="142"/>
      <c r="H1022" s="142">
        <v>855</v>
      </c>
      <c r="I1022" s="192">
        <v>62</v>
      </c>
    </row>
    <row r="1023" spans="1:9" x14ac:dyDescent="0.65">
      <c r="A1023" s="188">
        <v>40800</v>
      </c>
      <c r="B1023" s="35" t="s">
        <v>1344</v>
      </c>
      <c r="C1023" t="s">
        <v>1345</v>
      </c>
      <c r="D1023" t="s">
        <v>18</v>
      </c>
      <c r="E1023" s="141">
        <v>4</v>
      </c>
      <c r="F1023" s="141">
        <v>80</v>
      </c>
      <c r="G1023" s="142"/>
      <c r="H1023" s="142">
        <v>320</v>
      </c>
      <c r="I1023" s="192">
        <v>62</v>
      </c>
    </row>
    <row r="1024" spans="1:9" x14ac:dyDescent="0.65">
      <c r="A1024" s="188">
        <v>40800</v>
      </c>
      <c r="B1024" s="35" t="s">
        <v>1358</v>
      </c>
      <c r="C1024" t="s">
        <v>1359</v>
      </c>
      <c r="D1024" t="s">
        <v>98</v>
      </c>
      <c r="E1024" s="141">
        <v>1</v>
      </c>
      <c r="F1024" s="141">
        <v>365</v>
      </c>
      <c r="G1024" s="142"/>
      <c r="H1024" s="142">
        <v>365</v>
      </c>
      <c r="I1024" s="192">
        <v>62</v>
      </c>
    </row>
    <row r="1025" spans="1:9" x14ac:dyDescent="0.65">
      <c r="A1025" s="188">
        <v>40800</v>
      </c>
      <c r="B1025" s="35" t="s">
        <v>7</v>
      </c>
      <c r="C1025" t="s">
        <v>7</v>
      </c>
      <c r="D1025" t="s">
        <v>18</v>
      </c>
      <c r="E1025" s="141">
        <v>5.5</v>
      </c>
      <c r="F1025" s="141">
        <v>35.35</v>
      </c>
      <c r="G1025" s="142"/>
      <c r="H1025" s="142">
        <v>194.42500000000001</v>
      </c>
      <c r="I1025" s="192">
        <v>62</v>
      </c>
    </row>
    <row r="1026" spans="1:9" x14ac:dyDescent="0.65">
      <c r="A1026" s="188">
        <v>40800</v>
      </c>
      <c r="B1026" s="35" t="s">
        <v>7</v>
      </c>
      <c r="C1026" t="s">
        <v>7</v>
      </c>
      <c r="D1026" t="s">
        <v>18</v>
      </c>
      <c r="E1026" s="141">
        <v>5.5</v>
      </c>
      <c r="F1026" s="141">
        <v>35.35</v>
      </c>
      <c r="G1026" s="142"/>
      <c r="H1026" s="142">
        <v>194.42500000000001</v>
      </c>
      <c r="I1026" s="192">
        <v>62</v>
      </c>
    </row>
    <row r="1027" spans="1:9" x14ac:dyDescent="0.65">
      <c r="A1027" s="188">
        <v>40800</v>
      </c>
      <c r="B1027" s="35" t="s">
        <v>1336</v>
      </c>
      <c r="C1027" t="s">
        <v>7</v>
      </c>
      <c r="D1027" t="s">
        <v>18</v>
      </c>
      <c r="E1027" s="141">
        <v>7.5</v>
      </c>
      <c r="F1027" s="141">
        <v>95</v>
      </c>
      <c r="G1027" s="142"/>
      <c r="H1027" s="142">
        <v>712.5</v>
      </c>
      <c r="I1027" s="192">
        <v>62</v>
      </c>
    </row>
    <row r="1028" spans="1:9" x14ac:dyDescent="0.65">
      <c r="A1028" s="188">
        <v>40801</v>
      </c>
      <c r="B1028" s="35" t="s">
        <v>1344</v>
      </c>
      <c r="C1028" t="s">
        <v>1345</v>
      </c>
      <c r="D1028" t="s">
        <v>18</v>
      </c>
      <c r="E1028" s="141">
        <v>2</v>
      </c>
      <c r="F1028" s="141">
        <v>80</v>
      </c>
      <c r="G1028" s="142"/>
      <c r="H1028" s="142">
        <v>160</v>
      </c>
      <c r="I1028" s="192">
        <v>62</v>
      </c>
    </row>
    <row r="1029" spans="1:9" x14ac:dyDescent="0.65">
      <c r="A1029" s="188">
        <v>40801</v>
      </c>
      <c r="B1029" s="35" t="s">
        <v>1358</v>
      </c>
      <c r="C1029" t="s">
        <v>1359</v>
      </c>
      <c r="D1029" t="s">
        <v>98</v>
      </c>
      <c r="E1029" s="141">
        <v>1</v>
      </c>
      <c r="F1029" s="141">
        <v>365</v>
      </c>
      <c r="G1029" s="142"/>
      <c r="H1029" s="142">
        <v>365</v>
      </c>
      <c r="I1029" s="192">
        <v>62</v>
      </c>
    </row>
    <row r="1030" spans="1:9" x14ac:dyDescent="0.65">
      <c r="A1030" s="188">
        <v>40801</v>
      </c>
      <c r="B1030" s="35" t="s">
        <v>7</v>
      </c>
      <c r="C1030" t="s">
        <v>7</v>
      </c>
      <c r="D1030" t="s">
        <v>18</v>
      </c>
      <c r="E1030" s="141">
        <v>4</v>
      </c>
      <c r="F1030" s="141">
        <v>35.35</v>
      </c>
      <c r="G1030" s="142"/>
      <c r="H1030" s="142">
        <v>141.4</v>
      </c>
      <c r="I1030" s="192">
        <v>62</v>
      </c>
    </row>
    <row r="1031" spans="1:9" x14ac:dyDescent="0.65">
      <c r="A1031" s="188">
        <v>40801</v>
      </c>
      <c r="B1031" s="35" t="s">
        <v>7</v>
      </c>
      <c r="C1031" t="s">
        <v>7</v>
      </c>
      <c r="D1031" t="s">
        <v>18</v>
      </c>
      <c r="E1031" s="141">
        <v>4</v>
      </c>
      <c r="F1031" s="141">
        <v>35.35</v>
      </c>
      <c r="G1031" s="142"/>
      <c r="H1031" s="142">
        <v>141.4</v>
      </c>
      <c r="I1031" s="192">
        <v>62</v>
      </c>
    </row>
    <row r="1032" spans="1:9" x14ac:dyDescent="0.65">
      <c r="A1032" s="188">
        <v>40801</v>
      </c>
      <c r="B1032" s="35" t="s">
        <v>1336</v>
      </c>
      <c r="C1032" t="s">
        <v>7</v>
      </c>
      <c r="D1032" t="s">
        <v>18</v>
      </c>
      <c r="E1032" s="141">
        <v>6</v>
      </c>
      <c r="F1032" s="141">
        <v>95</v>
      </c>
      <c r="G1032" s="142"/>
      <c r="H1032" s="142">
        <v>570</v>
      </c>
      <c r="I1032" s="192">
        <v>62</v>
      </c>
    </row>
    <row r="1033" spans="1:9" x14ac:dyDescent="0.65">
      <c r="A1033" s="188">
        <v>40802</v>
      </c>
      <c r="B1033" s="35" t="s">
        <v>1336</v>
      </c>
      <c r="C1033" t="s">
        <v>7</v>
      </c>
      <c r="D1033" t="s">
        <v>18</v>
      </c>
      <c r="E1033" s="141">
        <v>3.5</v>
      </c>
      <c r="F1033" s="141">
        <v>95</v>
      </c>
      <c r="G1033" s="142"/>
      <c r="H1033" s="142">
        <v>332.5</v>
      </c>
      <c r="I1033" s="192">
        <v>62</v>
      </c>
    </row>
    <row r="1034" spans="1:9" x14ac:dyDescent="0.65">
      <c r="A1034" s="188">
        <v>40805</v>
      </c>
      <c r="B1034" s="35" t="s">
        <v>1358</v>
      </c>
      <c r="C1034" t="s">
        <v>1359</v>
      </c>
      <c r="D1034" t="s">
        <v>98</v>
      </c>
      <c r="E1034" s="141">
        <v>1</v>
      </c>
      <c r="F1034" s="141">
        <v>365</v>
      </c>
      <c r="G1034" s="142"/>
      <c r="H1034" s="142">
        <v>365</v>
      </c>
      <c r="I1034" s="192">
        <v>62</v>
      </c>
    </row>
    <row r="1035" spans="1:9" x14ac:dyDescent="0.65">
      <c r="A1035" s="188">
        <v>40805</v>
      </c>
      <c r="B1035" s="35" t="s">
        <v>1336</v>
      </c>
      <c r="C1035" t="s">
        <v>7</v>
      </c>
      <c r="D1035" t="s">
        <v>18</v>
      </c>
      <c r="E1035" s="141">
        <v>5</v>
      </c>
      <c r="F1035" s="141">
        <v>95</v>
      </c>
      <c r="G1035" s="142"/>
      <c r="H1035" s="142">
        <v>475</v>
      </c>
      <c r="I1035" s="192">
        <v>62</v>
      </c>
    </row>
    <row r="1036" spans="1:9" x14ac:dyDescent="0.65">
      <c r="A1036" s="188">
        <v>40806</v>
      </c>
      <c r="B1036" s="35" t="s">
        <v>1358</v>
      </c>
      <c r="C1036" t="s">
        <v>1359</v>
      </c>
      <c r="D1036" t="s">
        <v>98</v>
      </c>
      <c r="E1036" s="141">
        <v>1</v>
      </c>
      <c r="F1036" s="141">
        <v>365</v>
      </c>
      <c r="G1036" s="142"/>
      <c r="H1036" s="142">
        <v>365</v>
      </c>
      <c r="I1036" s="192">
        <v>62</v>
      </c>
    </row>
    <row r="1037" spans="1:9" x14ac:dyDescent="0.65">
      <c r="A1037" s="188">
        <v>40806</v>
      </c>
      <c r="B1037" s="35" t="s">
        <v>1336</v>
      </c>
      <c r="C1037" t="s">
        <v>7</v>
      </c>
      <c r="D1037" t="s">
        <v>18</v>
      </c>
      <c r="E1037" s="141">
        <v>7.75</v>
      </c>
      <c r="F1037" s="141">
        <v>95</v>
      </c>
      <c r="G1037" s="142"/>
      <c r="H1037" s="142">
        <v>736.25</v>
      </c>
      <c r="I1037" s="192">
        <v>62</v>
      </c>
    </row>
    <row r="1038" spans="1:9" x14ac:dyDescent="0.65">
      <c r="A1038" s="188">
        <v>40807</v>
      </c>
      <c r="B1038" s="35" t="s">
        <v>1344</v>
      </c>
      <c r="C1038" t="s">
        <v>1345</v>
      </c>
      <c r="D1038" t="s">
        <v>18</v>
      </c>
      <c r="E1038" s="141">
        <v>4</v>
      </c>
      <c r="F1038" s="141">
        <v>80</v>
      </c>
      <c r="G1038" s="142"/>
      <c r="H1038" s="142">
        <v>320</v>
      </c>
      <c r="I1038" s="192">
        <v>62</v>
      </c>
    </row>
    <row r="1039" spans="1:9" x14ac:dyDescent="0.65">
      <c r="A1039" s="188">
        <v>40807</v>
      </c>
      <c r="B1039" s="35" t="s">
        <v>1358</v>
      </c>
      <c r="C1039" t="s">
        <v>1359</v>
      </c>
      <c r="D1039" t="s">
        <v>98</v>
      </c>
      <c r="E1039" s="141">
        <v>1</v>
      </c>
      <c r="F1039" s="141">
        <v>365</v>
      </c>
      <c r="G1039" s="142"/>
      <c r="H1039" s="142">
        <v>365</v>
      </c>
      <c r="I1039" s="192">
        <v>62</v>
      </c>
    </row>
    <row r="1040" spans="1:9" x14ac:dyDescent="0.65">
      <c r="A1040" s="188">
        <v>40807</v>
      </c>
      <c r="B1040" s="35" t="s">
        <v>1336</v>
      </c>
      <c r="C1040" t="s">
        <v>7</v>
      </c>
      <c r="D1040" t="s">
        <v>18</v>
      </c>
      <c r="E1040" s="141">
        <v>3.5</v>
      </c>
      <c r="F1040" s="141">
        <v>95</v>
      </c>
      <c r="G1040" s="142"/>
      <c r="H1040" s="142">
        <v>332.5</v>
      </c>
      <c r="I1040" s="192">
        <v>62</v>
      </c>
    </row>
    <row r="1041" spans="1:9" x14ac:dyDescent="0.65">
      <c r="A1041" s="188">
        <v>40808</v>
      </c>
      <c r="B1041" s="35" t="s">
        <v>1344</v>
      </c>
      <c r="C1041" t="s">
        <v>1345</v>
      </c>
      <c r="D1041" t="s">
        <v>18</v>
      </c>
      <c r="E1041" s="141">
        <v>6</v>
      </c>
      <c r="F1041" s="141">
        <v>80</v>
      </c>
      <c r="G1041" s="142"/>
      <c r="H1041" s="142">
        <v>480</v>
      </c>
      <c r="I1041" s="192">
        <v>62</v>
      </c>
    </row>
    <row r="1042" spans="1:9" x14ac:dyDescent="0.65">
      <c r="A1042" s="188">
        <v>40808</v>
      </c>
      <c r="B1042" s="35" t="s">
        <v>1358</v>
      </c>
      <c r="C1042" t="s">
        <v>1359</v>
      </c>
      <c r="D1042" t="s">
        <v>98</v>
      </c>
      <c r="E1042" s="141">
        <v>1</v>
      </c>
      <c r="F1042" s="141">
        <v>365</v>
      </c>
      <c r="G1042" s="142"/>
      <c r="H1042" s="142">
        <v>365</v>
      </c>
      <c r="I1042" s="192">
        <v>62</v>
      </c>
    </row>
    <row r="1043" spans="1:9" x14ac:dyDescent="0.65">
      <c r="A1043" s="188">
        <v>40808</v>
      </c>
      <c r="B1043" s="35" t="s">
        <v>7</v>
      </c>
      <c r="C1043" t="s">
        <v>7</v>
      </c>
      <c r="D1043" t="s">
        <v>18</v>
      </c>
      <c r="E1043" s="141">
        <v>5.5</v>
      </c>
      <c r="F1043" s="141">
        <v>35.35</v>
      </c>
      <c r="G1043" s="142"/>
      <c r="H1043" s="142">
        <v>194.42500000000001</v>
      </c>
      <c r="I1043" s="192">
        <v>62</v>
      </c>
    </row>
    <row r="1044" spans="1:9" x14ac:dyDescent="0.65">
      <c r="A1044" s="188">
        <v>40808</v>
      </c>
      <c r="B1044" s="35" t="s">
        <v>7</v>
      </c>
      <c r="C1044" t="s">
        <v>7</v>
      </c>
      <c r="D1044" t="s">
        <v>18</v>
      </c>
      <c r="E1044" s="141">
        <v>3.5</v>
      </c>
      <c r="F1044" s="141">
        <v>35.35</v>
      </c>
      <c r="G1044" s="142"/>
      <c r="H1044" s="142">
        <v>123.72499999999999</v>
      </c>
      <c r="I1044" s="192">
        <v>62</v>
      </c>
    </row>
    <row r="1045" spans="1:9" x14ac:dyDescent="0.65">
      <c r="A1045" s="188">
        <v>40808</v>
      </c>
      <c r="B1045" s="35" t="s">
        <v>1336</v>
      </c>
      <c r="C1045" t="s">
        <v>7</v>
      </c>
      <c r="D1045" t="s">
        <v>18</v>
      </c>
      <c r="E1045" s="141">
        <v>6.75</v>
      </c>
      <c r="F1045" s="141">
        <v>95</v>
      </c>
      <c r="G1045" s="142"/>
      <c r="H1045" s="142">
        <v>641.25</v>
      </c>
      <c r="I1045" s="192">
        <v>62</v>
      </c>
    </row>
    <row r="1046" spans="1:9" x14ac:dyDescent="0.65">
      <c r="A1046" s="188">
        <v>40809</v>
      </c>
      <c r="B1046" s="35" t="s">
        <v>7</v>
      </c>
      <c r="C1046" t="s">
        <v>7</v>
      </c>
      <c r="D1046" t="s">
        <v>18</v>
      </c>
      <c r="E1046" s="141">
        <v>5</v>
      </c>
      <c r="F1046" s="141">
        <v>35.35</v>
      </c>
      <c r="G1046" s="142"/>
      <c r="H1046" s="142">
        <v>176.75</v>
      </c>
      <c r="I1046" s="192">
        <v>62</v>
      </c>
    </row>
    <row r="1047" spans="1:9" x14ac:dyDescent="0.65">
      <c r="A1047" s="188">
        <v>40809</v>
      </c>
      <c r="B1047" s="35" t="s">
        <v>1344</v>
      </c>
      <c r="C1047" t="s">
        <v>1345</v>
      </c>
      <c r="D1047" t="s">
        <v>18</v>
      </c>
      <c r="E1047" s="141">
        <v>3</v>
      </c>
      <c r="F1047" s="141">
        <v>80</v>
      </c>
      <c r="G1047" s="142"/>
      <c r="H1047" s="142">
        <v>240</v>
      </c>
      <c r="I1047" s="192">
        <v>62</v>
      </c>
    </row>
    <row r="1048" spans="1:9" x14ac:dyDescent="0.65">
      <c r="A1048" s="188">
        <v>40809</v>
      </c>
      <c r="B1048" s="35" t="s">
        <v>1358</v>
      </c>
      <c r="C1048" t="s">
        <v>1359</v>
      </c>
      <c r="D1048" t="s">
        <v>98</v>
      </c>
      <c r="E1048" s="141">
        <v>1</v>
      </c>
      <c r="F1048" s="141">
        <v>365</v>
      </c>
      <c r="G1048" s="142"/>
      <c r="H1048" s="142">
        <v>365</v>
      </c>
      <c r="I1048" s="192">
        <v>62</v>
      </c>
    </row>
    <row r="1049" spans="1:9" x14ac:dyDescent="0.65">
      <c r="A1049" s="188">
        <v>40809</v>
      </c>
      <c r="B1049" s="35" t="s">
        <v>7</v>
      </c>
      <c r="C1049" t="s">
        <v>7</v>
      </c>
      <c r="D1049" t="s">
        <v>18</v>
      </c>
      <c r="E1049" s="141">
        <v>5</v>
      </c>
      <c r="F1049" s="141">
        <v>35.35</v>
      </c>
      <c r="G1049" s="142"/>
      <c r="H1049" s="142">
        <v>176.75</v>
      </c>
      <c r="I1049" s="192">
        <v>62</v>
      </c>
    </row>
    <row r="1050" spans="1:9" x14ac:dyDescent="0.65">
      <c r="A1050" s="188">
        <v>40809</v>
      </c>
      <c r="B1050" s="35" t="s">
        <v>1336</v>
      </c>
      <c r="C1050" t="s">
        <v>7</v>
      </c>
      <c r="D1050" t="s">
        <v>18</v>
      </c>
      <c r="E1050" s="141">
        <v>6.5</v>
      </c>
      <c r="F1050" s="141">
        <v>95</v>
      </c>
      <c r="G1050" s="142"/>
      <c r="H1050" s="142">
        <v>617.5</v>
      </c>
      <c r="I1050" s="192">
        <v>62</v>
      </c>
    </row>
    <row r="1051" spans="1:9" x14ac:dyDescent="0.65">
      <c r="A1051" s="188">
        <v>40810</v>
      </c>
      <c r="B1051" s="35" t="s">
        <v>1344</v>
      </c>
      <c r="C1051" t="s">
        <v>1345</v>
      </c>
      <c r="D1051" t="s">
        <v>18</v>
      </c>
      <c r="E1051" s="141">
        <v>2</v>
      </c>
      <c r="F1051" s="141">
        <v>80</v>
      </c>
      <c r="G1051" s="142"/>
      <c r="H1051" s="142">
        <v>160</v>
      </c>
      <c r="I1051" s="192">
        <v>62</v>
      </c>
    </row>
    <row r="1052" spans="1:9" x14ac:dyDescent="0.65">
      <c r="A1052" s="188">
        <v>40810</v>
      </c>
      <c r="B1052" s="35" t="s">
        <v>1358</v>
      </c>
      <c r="C1052" t="s">
        <v>1359</v>
      </c>
      <c r="D1052" t="s">
        <v>98</v>
      </c>
      <c r="E1052" s="141">
        <v>1</v>
      </c>
      <c r="F1052" s="141">
        <v>365</v>
      </c>
      <c r="G1052" s="142"/>
      <c r="H1052" s="142">
        <v>365</v>
      </c>
      <c r="I1052" s="192">
        <v>62</v>
      </c>
    </row>
    <row r="1053" spans="1:9" x14ac:dyDescent="0.65">
      <c r="A1053" s="188">
        <v>40810</v>
      </c>
      <c r="B1053" s="35" t="s">
        <v>1336</v>
      </c>
      <c r="C1053" t="s">
        <v>7</v>
      </c>
      <c r="D1053" t="s">
        <v>18</v>
      </c>
      <c r="E1053" s="141">
        <v>5</v>
      </c>
      <c r="F1053" s="141">
        <v>95</v>
      </c>
      <c r="G1053" s="142"/>
      <c r="H1053" s="142">
        <v>475</v>
      </c>
      <c r="I1053" s="192">
        <v>62</v>
      </c>
    </row>
    <row r="1054" spans="1:9" x14ac:dyDescent="0.65">
      <c r="A1054" s="188">
        <v>40810</v>
      </c>
      <c r="B1054" s="35" t="s">
        <v>7</v>
      </c>
      <c r="C1054" t="s">
        <v>7</v>
      </c>
      <c r="D1054" t="s">
        <v>18</v>
      </c>
      <c r="E1054" s="141">
        <v>5.5</v>
      </c>
      <c r="F1054" s="141">
        <v>35.35</v>
      </c>
      <c r="G1054" s="142"/>
      <c r="H1054" s="142">
        <v>194.42500000000001</v>
      </c>
      <c r="I1054" s="192">
        <v>62</v>
      </c>
    </row>
    <row r="1055" spans="1:9" x14ac:dyDescent="0.65">
      <c r="A1055" s="188">
        <v>40810</v>
      </c>
      <c r="B1055" s="35" t="s">
        <v>7</v>
      </c>
      <c r="C1055" t="s">
        <v>7</v>
      </c>
      <c r="D1055" t="s">
        <v>18</v>
      </c>
      <c r="E1055" s="141">
        <v>5.5</v>
      </c>
      <c r="F1055" s="141">
        <v>35.35</v>
      </c>
      <c r="G1055" s="142"/>
      <c r="H1055" s="142">
        <v>194.42500000000001</v>
      </c>
      <c r="I1055" s="192">
        <v>62</v>
      </c>
    </row>
    <row r="1056" spans="1:9" x14ac:dyDescent="0.65">
      <c r="A1056" s="188">
        <v>40812</v>
      </c>
      <c r="B1056" s="35" t="s">
        <v>1336</v>
      </c>
      <c r="C1056" t="s">
        <v>7</v>
      </c>
      <c r="D1056" t="s">
        <v>18</v>
      </c>
      <c r="E1056" s="141">
        <v>2.5</v>
      </c>
      <c r="F1056" s="141">
        <v>95</v>
      </c>
      <c r="G1056" s="142"/>
      <c r="H1056" s="142">
        <v>237.5</v>
      </c>
      <c r="I1056" s="192">
        <v>62</v>
      </c>
    </row>
    <row r="1057" spans="1:9" x14ac:dyDescent="0.65">
      <c r="A1057" s="188">
        <v>40812</v>
      </c>
      <c r="B1057" s="35" t="s">
        <v>1358</v>
      </c>
      <c r="C1057" t="s">
        <v>1359</v>
      </c>
      <c r="D1057" t="s">
        <v>98</v>
      </c>
      <c r="E1057" s="141">
        <v>1</v>
      </c>
      <c r="F1057" s="141">
        <v>365</v>
      </c>
      <c r="G1057" s="142"/>
      <c r="H1057" s="142">
        <v>365</v>
      </c>
      <c r="I1057" s="192">
        <v>62</v>
      </c>
    </row>
    <row r="1058" spans="1:9" x14ac:dyDescent="0.65">
      <c r="A1058" s="188">
        <v>40813</v>
      </c>
      <c r="B1058" s="35" t="s">
        <v>1358</v>
      </c>
      <c r="C1058" t="s">
        <v>1359</v>
      </c>
      <c r="D1058" t="s">
        <v>98</v>
      </c>
      <c r="E1058" s="141">
        <v>1</v>
      </c>
      <c r="F1058" s="141">
        <v>365</v>
      </c>
      <c r="G1058" s="142"/>
      <c r="H1058" s="142">
        <v>365</v>
      </c>
      <c r="I1058" s="192">
        <v>62</v>
      </c>
    </row>
    <row r="1059" spans="1:9" x14ac:dyDescent="0.65">
      <c r="A1059" s="188">
        <v>40814</v>
      </c>
      <c r="B1059" s="35" t="s">
        <v>1344</v>
      </c>
      <c r="C1059" t="s">
        <v>1345</v>
      </c>
      <c r="D1059" t="s">
        <v>18</v>
      </c>
      <c r="E1059" s="141">
        <v>2</v>
      </c>
      <c r="F1059" s="141">
        <v>80</v>
      </c>
      <c r="G1059" s="142"/>
      <c r="H1059" s="142">
        <v>160</v>
      </c>
      <c r="I1059" s="192">
        <v>62</v>
      </c>
    </row>
    <row r="1060" spans="1:9" x14ac:dyDescent="0.65">
      <c r="A1060" s="188">
        <v>40814</v>
      </c>
      <c r="B1060" s="35" t="s">
        <v>1336</v>
      </c>
      <c r="C1060" t="s">
        <v>7</v>
      </c>
      <c r="D1060" t="s">
        <v>18</v>
      </c>
      <c r="E1060" s="141">
        <v>4</v>
      </c>
      <c r="F1060" s="141">
        <v>95</v>
      </c>
      <c r="G1060" s="142"/>
      <c r="H1060" s="142">
        <v>380</v>
      </c>
      <c r="I1060" s="192">
        <v>62</v>
      </c>
    </row>
    <row r="1061" spans="1:9" x14ac:dyDescent="0.65">
      <c r="A1061" s="188">
        <v>40814</v>
      </c>
      <c r="B1061" s="35" t="s">
        <v>1358</v>
      </c>
      <c r="C1061" t="s">
        <v>1359</v>
      </c>
      <c r="D1061" t="s">
        <v>98</v>
      </c>
      <c r="E1061" s="141">
        <v>1</v>
      </c>
      <c r="F1061" s="141">
        <v>365</v>
      </c>
      <c r="G1061" s="142"/>
      <c r="H1061" s="142">
        <v>365</v>
      </c>
      <c r="I1061" s="192">
        <v>62</v>
      </c>
    </row>
    <row r="1062" spans="1:9" x14ac:dyDescent="0.65">
      <c r="A1062" s="188">
        <v>40815</v>
      </c>
      <c r="B1062" s="35" t="s">
        <v>1336</v>
      </c>
      <c r="C1062" t="s">
        <v>7</v>
      </c>
      <c r="D1062" t="s">
        <v>18</v>
      </c>
      <c r="E1062" s="141">
        <v>4</v>
      </c>
      <c r="F1062" s="141">
        <v>95</v>
      </c>
      <c r="G1062" s="142"/>
      <c r="H1062" s="142">
        <v>380</v>
      </c>
      <c r="I1062" s="192">
        <v>62</v>
      </c>
    </row>
    <row r="1063" spans="1:9" x14ac:dyDescent="0.65">
      <c r="A1063" s="188">
        <v>40815</v>
      </c>
      <c r="B1063" s="35" t="s">
        <v>1344</v>
      </c>
      <c r="C1063" t="s">
        <v>1345</v>
      </c>
      <c r="D1063" t="s">
        <v>18</v>
      </c>
      <c r="E1063" s="141">
        <v>2</v>
      </c>
      <c r="F1063" s="141">
        <v>80</v>
      </c>
      <c r="G1063" s="142"/>
      <c r="H1063" s="142">
        <v>160</v>
      </c>
      <c r="I1063" s="192">
        <v>62</v>
      </c>
    </row>
    <row r="1064" spans="1:9" x14ac:dyDescent="0.65">
      <c r="A1064" s="188">
        <v>40816</v>
      </c>
      <c r="B1064" s="35" t="s">
        <v>1395</v>
      </c>
      <c r="C1064" t="s">
        <v>1357</v>
      </c>
      <c r="D1064" t="s">
        <v>451</v>
      </c>
      <c r="E1064" s="141">
        <v>1</v>
      </c>
      <c r="F1064" s="141">
        <v>7392</v>
      </c>
      <c r="G1064" s="142"/>
      <c r="H1064" s="142">
        <v>7392</v>
      </c>
      <c r="I1064" s="192">
        <v>62</v>
      </c>
    </row>
    <row r="1065" spans="1:9" x14ac:dyDescent="0.65">
      <c r="A1065" s="188">
        <v>40821</v>
      </c>
      <c r="B1065" s="35" t="s">
        <v>1396</v>
      </c>
      <c r="C1065" t="s">
        <v>1397</v>
      </c>
      <c r="D1065" t="s">
        <v>451</v>
      </c>
      <c r="E1065" s="141">
        <v>1</v>
      </c>
      <c r="F1065" s="141">
        <v>80</v>
      </c>
      <c r="G1065" s="142"/>
      <c r="H1065" s="142">
        <v>80</v>
      </c>
      <c r="I1065" s="192">
        <v>62</v>
      </c>
    </row>
    <row r="1066" spans="1:9" x14ac:dyDescent="0.65">
      <c r="A1066" s="188">
        <v>40847</v>
      </c>
      <c r="B1066" s="35" t="s">
        <v>1398</v>
      </c>
      <c r="C1066" t="s">
        <v>1399</v>
      </c>
      <c r="D1066" t="s">
        <v>451</v>
      </c>
      <c r="E1066" s="141">
        <v>1</v>
      </c>
      <c r="F1066" s="141">
        <v>756</v>
      </c>
      <c r="G1066" s="142"/>
      <c r="H1066" s="142">
        <v>756</v>
      </c>
      <c r="I1066" s="192">
        <v>62</v>
      </c>
    </row>
    <row r="1067" spans="1:9" ht="28.5" x14ac:dyDescent="0.65">
      <c r="A1067" s="188">
        <v>40847</v>
      </c>
      <c r="B1067" s="35" t="s">
        <v>1400</v>
      </c>
      <c r="C1067" t="s">
        <v>1357</v>
      </c>
      <c r="D1067" t="s">
        <v>451</v>
      </c>
      <c r="E1067" s="141">
        <v>1</v>
      </c>
      <c r="F1067" s="141">
        <v>6300</v>
      </c>
      <c r="G1067" s="142"/>
      <c r="H1067" s="142">
        <v>6300</v>
      </c>
      <c r="I1067" s="192">
        <v>62</v>
      </c>
    </row>
    <row r="1068" spans="1:9" x14ac:dyDescent="0.65">
      <c r="A1068" s="189" t="s">
        <v>448</v>
      </c>
      <c r="B1068" s="183" t="s">
        <v>1401</v>
      </c>
      <c r="C1068" s="184" t="s">
        <v>448</v>
      </c>
      <c r="D1068" s="184" t="s">
        <v>448</v>
      </c>
      <c r="E1068" s="185"/>
      <c r="F1068" s="185"/>
      <c r="G1068" s="186"/>
      <c r="H1068" s="186">
        <v>91849.125</v>
      </c>
      <c r="I1068" s="193" t="s">
        <v>1767</v>
      </c>
    </row>
    <row r="1069" spans="1:9" x14ac:dyDescent="0.65">
      <c r="A1069" s="188" t="s">
        <v>448</v>
      </c>
      <c r="B1069" s="35" t="s">
        <v>448</v>
      </c>
      <c r="C1069" t="s">
        <v>448</v>
      </c>
      <c r="D1069" t="s">
        <v>448</v>
      </c>
      <c r="E1069" s="141"/>
      <c r="F1069" s="141"/>
      <c r="G1069" s="142"/>
      <c r="H1069" s="142"/>
      <c r="I1069" s="191" t="s">
        <v>1767</v>
      </c>
    </row>
    <row r="1070" spans="1:9" x14ac:dyDescent="0.65">
      <c r="A1070" s="187" t="s">
        <v>448</v>
      </c>
      <c r="B1070" s="29" t="s">
        <v>1822</v>
      </c>
      <c r="C1070" s="27" t="s">
        <v>448</v>
      </c>
      <c r="D1070" s="27" t="s">
        <v>448</v>
      </c>
      <c r="E1070" s="181"/>
      <c r="F1070" s="181"/>
      <c r="G1070" s="182"/>
      <c r="H1070" s="182"/>
      <c r="I1070" s="140" t="s">
        <v>1767</v>
      </c>
    </row>
    <row r="1071" spans="1:9" x14ac:dyDescent="0.65">
      <c r="A1071" s="188">
        <v>40689</v>
      </c>
      <c r="B1071" s="35" t="s">
        <v>7</v>
      </c>
      <c r="C1071" t="s">
        <v>7</v>
      </c>
      <c r="D1071" t="s">
        <v>18</v>
      </c>
      <c r="E1071" s="141">
        <v>2</v>
      </c>
      <c r="F1071" s="141">
        <v>39.39</v>
      </c>
      <c r="G1071" s="142"/>
      <c r="H1071" s="142">
        <v>78.78</v>
      </c>
      <c r="I1071" s="192">
        <v>63</v>
      </c>
    </row>
    <row r="1072" spans="1:9" x14ac:dyDescent="0.65">
      <c r="A1072" s="188">
        <v>40715</v>
      </c>
      <c r="B1072" s="35" t="s">
        <v>1336</v>
      </c>
      <c r="C1072" t="s">
        <v>1371</v>
      </c>
      <c r="D1072" t="s">
        <v>18</v>
      </c>
      <c r="E1072" s="141">
        <v>3</v>
      </c>
      <c r="F1072" s="141">
        <v>65</v>
      </c>
      <c r="G1072" s="142"/>
      <c r="H1072" s="142">
        <v>195</v>
      </c>
      <c r="I1072" s="192">
        <v>63</v>
      </c>
    </row>
    <row r="1073" spans="1:9" x14ac:dyDescent="0.65">
      <c r="A1073" s="188">
        <v>40715</v>
      </c>
      <c r="B1073" s="35" t="s">
        <v>1336</v>
      </c>
      <c r="C1073" t="s">
        <v>1337</v>
      </c>
      <c r="D1073" t="s">
        <v>18</v>
      </c>
      <c r="E1073" s="141">
        <v>9.5</v>
      </c>
      <c r="F1073" s="141">
        <v>95</v>
      </c>
      <c r="G1073" s="142"/>
      <c r="H1073" s="142">
        <v>902.5</v>
      </c>
      <c r="I1073" s="192">
        <v>63</v>
      </c>
    </row>
    <row r="1074" spans="1:9" x14ac:dyDescent="0.65">
      <c r="A1074" s="188">
        <v>40715</v>
      </c>
      <c r="B1074" s="35" t="s">
        <v>1356</v>
      </c>
      <c r="C1074" t="s">
        <v>1357</v>
      </c>
      <c r="D1074" t="s">
        <v>98</v>
      </c>
      <c r="E1074" s="141">
        <v>1</v>
      </c>
      <c r="F1074" s="141">
        <v>365</v>
      </c>
      <c r="G1074" s="142"/>
      <c r="H1074" s="142">
        <v>365</v>
      </c>
      <c r="I1074" s="192">
        <v>63</v>
      </c>
    </row>
    <row r="1075" spans="1:9" x14ac:dyDescent="0.65">
      <c r="A1075" s="188">
        <v>40715</v>
      </c>
      <c r="B1075" s="35" t="s">
        <v>7</v>
      </c>
      <c r="C1075" t="s">
        <v>7</v>
      </c>
      <c r="D1075" t="s">
        <v>18</v>
      </c>
      <c r="E1075" s="141">
        <v>10</v>
      </c>
      <c r="F1075" s="141">
        <v>39.39</v>
      </c>
      <c r="G1075" s="142"/>
      <c r="H1075" s="142">
        <v>393.9</v>
      </c>
      <c r="I1075" s="192">
        <v>63</v>
      </c>
    </row>
    <row r="1076" spans="1:9" x14ac:dyDescent="0.65">
      <c r="A1076" s="188">
        <v>40715</v>
      </c>
      <c r="B1076" s="35" t="s">
        <v>1370</v>
      </c>
      <c r="C1076" t="s">
        <v>7</v>
      </c>
      <c r="D1076" t="s">
        <v>18</v>
      </c>
      <c r="E1076" s="141">
        <v>4.5</v>
      </c>
      <c r="F1076" s="141">
        <v>39.18</v>
      </c>
      <c r="G1076" s="142"/>
      <c r="H1076" s="142">
        <v>176.31</v>
      </c>
      <c r="I1076" s="192">
        <v>63</v>
      </c>
    </row>
    <row r="1077" spans="1:9" x14ac:dyDescent="0.65">
      <c r="A1077" s="188">
        <v>40715</v>
      </c>
      <c r="B1077" s="35" t="s">
        <v>1344</v>
      </c>
      <c r="C1077" t="s">
        <v>1345</v>
      </c>
      <c r="D1077" t="s">
        <v>18</v>
      </c>
      <c r="E1077" s="141">
        <v>8</v>
      </c>
      <c r="F1077" s="141">
        <v>80</v>
      </c>
      <c r="G1077" s="142"/>
      <c r="H1077" s="142">
        <v>640</v>
      </c>
      <c r="I1077" s="192">
        <v>63</v>
      </c>
    </row>
    <row r="1078" spans="1:9" x14ac:dyDescent="0.65">
      <c r="A1078" s="188">
        <v>40716</v>
      </c>
      <c r="B1078" s="35" t="s">
        <v>1356</v>
      </c>
      <c r="C1078" t="s">
        <v>1357</v>
      </c>
      <c r="D1078" t="s">
        <v>98</v>
      </c>
      <c r="E1078" s="141">
        <v>1</v>
      </c>
      <c r="F1078" s="141">
        <v>365</v>
      </c>
      <c r="G1078" s="142"/>
      <c r="H1078" s="142">
        <v>365</v>
      </c>
      <c r="I1078" s="192">
        <v>63</v>
      </c>
    </row>
    <row r="1079" spans="1:9" x14ac:dyDescent="0.65">
      <c r="A1079" s="188">
        <v>40716</v>
      </c>
      <c r="B1079" s="35" t="s">
        <v>7</v>
      </c>
      <c r="C1079" t="s">
        <v>7</v>
      </c>
      <c r="D1079" t="s">
        <v>18</v>
      </c>
      <c r="E1079" s="141">
        <v>9.5</v>
      </c>
      <c r="F1079" s="141">
        <v>39.39</v>
      </c>
      <c r="G1079" s="142"/>
      <c r="H1079" s="142">
        <v>374.20499999999998</v>
      </c>
      <c r="I1079" s="192">
        <v>63</v>
      </c>
    </row>
    <row r="1080" spans="1:9" x14ac:dyDescent="0.65">
      <c r="A1080" s="188">
        <v>40716</v>
      </c>
      <c r="B1080" s="35" t="s">
        <v>1344</v>
      </c>
      <c r="C1080" t="s">
        <v>1345</v>
      </c>
      <c r="D1080" t="s">
        <v>18</v>
      </c>
      <c r="E1080" s="141">
        <v>4</v>
      </c>
      <c r="F1080" s="141">
        <v>80</v>
      </c>
      <c r="G1080" s="142"/>
      <c r="H1080" s="142">
        <v>320</v>
      </c>
      <c r="I1080" s="192">
        <v>63</v>
      </c>
    </row>
    <row r="1081" spans="1:9" x14ac:dyDescent="0.65">
      <c r="A1081" s="188">
        <v>40716</v>
      </c>
      <c r="B1081" s="35" t="s">
        <v>7</v>
      </c>
      <c r="C1081" t="s">
        <v>7</v>
      </c>
      <c r="D1081" t="s">
        <v>18</v>
      </c>
      <c r="E1081" s="141">
        <v>4</v>
      </c>
      <c r="F1081" s="141">
        <v>39.39</v>
      </c>
      <c r="G1081" s="142"/>
      <c r="H1081" s="142">
        <v>157.56</v>
      </c>
      <c r="I1081" s="192">
        <v>63</v>
      </c>
    </row>
    <row r="1082" spans="1:9" x14ac:dyDescent="0.65">
      <c r="A1082" s="188">
        <v>40716</v>
      </c>
      <c r="B1082" s="35" t="s">
        <v>1336</v>
      </c>
      <c r="C1082" t="s">
        <v>1337</v>
      </c>
      <c r="D1082" t="s">
        <v>18</v>
      </c>
      <c r="E1082" s="141">
        <v>9</v>
      </c>
      <c r="F1082" s="141">
        <v>95</v>
      </c>
      <c r="G1082" s="142"/>
      <c r="H1082" s="142">
        <v>855</v>
      </c>
      <c r="I1082" s="192">
        <v>63</v>
      </c>
    </row>
    <row r="1083" spans="1:9" x14ac:dyDescent="0.65">
      <c r="A1083" s="188">
        <v>40717</v>
      </c>
      <c r="B1083" s="35" t="s">
        <v>1336</v>
      </c>
      <c r="C1083" t="s">
        <v>1337</v>
      </c>
      <c r="D1083" t="s">
        <v>18</v>
      </c>
      <c r="E1083" s="141">
        <v>6</v>
      </c>
      <c r="F1083" s="141">
        <v>95</v>
      </c>
      <c r="G1083" s="142"/>
      <c r="H1083" s="142">
        <v>570</v>
      </c>
      <c r="I1083" s="192">
        <v>63</v>
      </c>
    </row>
    <row r="1084" spans="1:9" x14ac:dyDescent="0.65">
      <c r="A1084" s="188">
        <v>40717</v>
      </c>
      <c r="B1084" s="35" t="s">
        <v>1356</v>
      </c>
      <c r="C1084" t="s">
        <v>1357</v>
      </c>
      <c r="D1084" t="s">
        <v>98</v>
      </c>
      <c r="E1084" s="141">
        <v>1</v>
      </c>
      <c r="F1084" s="141">
        <v>365</v>
      </c>
      <c r="G1084" s="142"/>
      <c r="H1084" s="142">
        <v>365</v>
      </c>
      <c r="I1084" s="192">
        <v>63</v>
      </c>
    </row>
    <row r="1085" spans="1:9" x14ac:dyDescent="0.65">
      <c r="A1085" s="188">
        <v>40717</v>
      </c>
      <c r="B1085" s="35" t="s">
        <v>1344</v>
      </c>
      <c r="C1085" t="s">
        <v>1345</v>
      </c>
      <c r="D1085" t="s">
        <v>18</v>
      </c>
      <c r="E1085" s="141">
        <v>2</v>
      </c>
      <c r="F1085" s="141">
        <v>80</v>
      </c>
      <c r="G1085" s="142"/>
      <c r="H1085" s="142">
        <v>160</v>
      </c>
      <c r="I1085" s="192">
        <v>63</v>
      </c>
    </row>
    <row r="1086" spans="1:9" x14ac:dyDescent="0.65">
      <c r="A1086" s="188">
        <v>40717</v>
      </c>
      <c r="B1086" s="35" t="s">
        <v>7</v>
      </c>
      <c r="C1086" t="s">
        <v>7</v>
      </c>
      <c r="D1086" t="s">
        <v>18</v>
      </c>
      <c r="E1086" s="141">
        <v>6</v>
      </c>
      <c r="F1086" s="141">
        <v>39.39</v>
      </c>
      <c r="G1086" s="142"/>
      <c r="H1086" s="142">
        <v>236.34</v>
      </c>
      <c r="I1086" s="192">
        <v>63</v>
      </c>
    </row>
    <row r="1087" spans="1:9" x14ac:dyDescent="0.65">
      <c r="A1087" s="188">
        <v>40717</v>
      </c>
      <c r="B1087" s="35" t="s">
        <v>7</v>
      </c>
      <c r="C1087" t="s">
        <v>7</v>
      </c>
      <c r="D1087" t="s">
        <v>18</v>
      </c>
      <c r="E1087" s="141">
        <v>6.5</v>
      </c>
      <c r="F1087" s="141">
        <v>39.39</v>
      </c>
      <c r="G1087" s="142"/>
      <c r="H1087" s="142">
        <v>256.03500000000003</v>
      </c>
      <c r="I1087" s="192">
        <v>63</v>
      </c>
    </row>
    <row r="1088" spans="1:9" x14ac:dyDescent="0.65">
      <c r="A1088" s="188">
        <v>40718</v>
      </c>
      <c r="B1088" s="35" t="s">
        <v>1336</v>
      </c>
      <c r="C1088" t="s">
        <v>1337</v>
      </c>
      <c r="D1088" t="s">
        <v>18</v>
      </c>
      <c r="E1088" s="141">
        <v>1.5</v>
      </c>
      <c r="F1088" s="141">
        <v>95</v>
      </c>
      <c r="G1088" s="142"/>
      <c r="H1088" s="142">
        <v>142.5</v>
      </c>
      <c r="I1088" s="192">
        <v>63</v>
      </c>
    </row>
    <row r="1089" spans="1:9" x14ac:dyDescent="0.65">
      <c r="A1089" s="188">
        <v>40719</v>
      </c>
      <c r="B1089" s="35" t="s">
        <v>1336</v>
      </c>
      <c r="C1089" t="s">
        <v>1337</v>
      </c>
      <c r="D1089" t="s">
        <v>18</v>
      </c>
      <c r="E1089" s="141">
        <v>1.5</v>
      </c>
      <c r="F1089" s="141">
        <v>95</v>
      </c>
      <c r="G1089" s="142"/>
      <c r="H1089" s="142">
        <v>142.5</v>
      </c>
      <c r="I1089" s="192">
        <v>63</v>
      </c>
    </row>
    <row r="1090" spans="1:9" x14ac:dyDescent="0.65">
      <c r="A1090" s="188">
        <v>40721</v>
      </c>
      <c r="B1090" s="35" t="s">
        <v>7</v>
      </c>
      <c r="C1090" t="s">
        <v>7</v>
      </c>
      <c r="D1090" t="s">
        <v>18</v>
      </c>
      <c r="E1090" s="141">
        <v>6.5</v>
      </c>
      <c r="F1090" s="141">
        <v>39.39</v>
      </c>
      <c r="G1090" s="142"/>
      <c r="H1090" s="142">
        <v>256.03500000000003</v>
      </c>
      <c r="I1090" s="192">
        <v>63</v>
      </c>
    </row>
    <row r="1091" spans="1:9" x14ac:dyDescent="0.65">
      <c r="A1091" s="188">
        <v>40725</v>
      </c>
      <c r="B1091" s="35" t="s">
        <v>7</v>
      </c>
      <c r="C1091" t="s">
        <v>7</v>
      </c>
      <c r="D1091" t="s">
        <v>18</v>
      </c>
      <c r="E1091" s="141">
        <v>2</v>
      </c>
      <c r="F1091" s="141">
        <v>39.39</v>
      </c>
      <c r="G1091" s="142"/>
      <c r="H1091" s="142">
        <v>78.78</v>
      </c>
      <c r="I1091" s="192">
        <v>63</v>
      </c>
    </row>
    <row r="1092" spans="1:9" x14ac:dyDescent="0.65">
      <c r="A1092" s="188">
        <v>40725</v>
      </c>
      <c r="B1092" s="35" t="s">
        <v>7</v>
      </c>
      <c r="C1092" t="s">
        <v>7</v>
      </c>
      <c r="D1092" t="s">
        <v>18</v>
      </c>
      <c r="E1092" s="141">
        <v>2</v>
      </c>
      <c r="F1092" s="141">
        <v>39.39</v>
      </c>
      <c r="G1092" s="142"/>
      <c r="H1092" s="142">
        <v>78.78</v>
      </c>
      <c r="I1092" s="192">
        <v>63</v>
      </c>
    </row>
    <row r="1093" spans="1:9" x14ac:dyDescent="0.65">
      <c r="A1093" s="188">
        <v>40726</v>
      </c>
      <c r="B1093" s="35" t="s">
        <v>7</v>
      </c>
      <c r="C1093" t="s">
        <v>7</v>
      </c>
      <c r="D1093" t="s">
        <v>18</v>
      </c>
      <c r="E1093" s="141">
        <v>7.5</v>
      </c>
      <c r="F1093" s="141">
        <v>39.39</v>
      </c>
      <c r="G1093" s="142"/>
      <c r="H1093" s="142">
        <v>295.42500000000001</v>
      </c>
      <c r="I1093" s="192">
        <v>63</v>
      </c>
    </row>
    <row r="1094" spans="1:9" x14ac:dyDescent="0.65">
      <c r="A1094" s="188">
        <v>40726</v>
      </c>
      <c r="B1094" s="35" t="s">
        <v>1344</v>
      </c>
      <c r="C1094" t="s">
        <v>1345</v>
      </c>
      <c r="D1094" t="s">
        <v>18</v>
      </c>
      <c r="E1094" s="141">
        <v>5</v>
      </c>
      <c r="F1094" s="141">
        <v>80</v>
      </c>
      <c r="G1094" s="142"/>
      <c r="H1094" s="142">
        <v>400</v>
      </c>
      <c r="I1094" s="192">
        <v>63</v>
      </c>
    </row>
    <row r="1095" spans="1:9" x14ac:dyDescent="0.65">
      <c r="A1095" s="188">
        <v>40726</v>
      </c>
      <c r="B1095" s="35" t="s">
        <v>1356</v>
      </c>
      <c r="C1095" t="s">
        <v>1357</v>
      </c>
      <c r="D1095" t="s">
        <v>98</v>
      </c>
      <c r="E1095" s="141">
        <v>1</v>
      </c>
      <c r="F1095" s="141">
        <v>365</v>
      </c>
      <c r="G1095" s="142"/>
      <c r="H1095" s="142">
        <v>365</v>
      </c>
      <c r="I1095" s="192">
        <v>63</v>
      </c>
    </row>
    <row r="1096" spans="1:9" x14ac:dyDescent="0.65">
      <c r="A1096" s="188">
        <v>40726</v>
      </c>
      <c r="B1096" s="35" t="s">
        <v>1336</v>
      </c>
      <c r="C1096" t="s">
        <v>1337</v>
      </c>
      <c r="D1096" t="s">
        <v>18</v>
      </c>
      <c r="E1096" s="141">
        <v>6.5</v>
      </c>
      <c r="F1096" s="141">
        <v>95</v>
      </c>
      <c r="G1096" s="142"/>
      <c r="H1096" s="142">
        <v>617.5</v>
      </c>
      <c r="I1096" s="192">
        <v>63</v>
      </c>
    </row>
    <row r="1097" spans="1:9" x14ac:dyDescent="0.65">
      <c r="A1097" s="188">
        <v>40726</v>
      </c>
      <c r="B1097" s="35" t="s">
        <v>7</v>
      </c>
      <c r="C1097" t="s">
        <v>7</v>
      </c>
      <c r="D1097" t="s">
        <v>18</v>
      </c>
      <c r="E1097" s="141">
        <v>7.5</v>
      </c>
      <c r="F1097" s="141">
        <v>39.39</v>
      </c>
      <c r="G1097" s="142"/>
      <c r="H1097" s="142">
        <v>295.42500000000001</v>
      </c>
      <c r="I1097" s="192">
        <v>63</v>
      </c>
    </row>
    <row r="1098" spans="1:9" x14ac:dyDescent="0.65">
      <c r="A1098" s="188">
        <v>40740</v>
      </c>
      <c r="B1098" s="35" t="s">
        <v>1336</v>
      </c>
      <c r="C1098" t="s">
        <v>1337</v>
      </c>
      <c r="D1098" t="s">
        <v>18</v>
      </c>
      <c r="E1098" s="141">
        <v>2</v>
      </c>
      <c r="F1098" s="141">
        <v>95</v>
      </c>
      <c r="G1098" s="142"/>
      <c r="H1098" s="142">
        <v>190</v>
      </c>
      <c r="I1098" s="192">
        <v>63</v>
      </c>
    </row>
    <row r="1099" spans="1:9" x14ac:dyDescent="0.65">
      <c r="A1099" s="188">
        <v>40740</v>
      </c>
      <c r="B1099" s="35" t="s">
        <v>1344</v>
      </c>
      <c r="C1099" t="s">
        <v>1345</v>
      </c>
      <c r="D1099" t="s">
        <v>18</v>
      </c>
      <c r="E1099" s="141">
        <v>1</v>
      </c>
      <c r="F1099" s="141">
        <v>80</v>
      </c>
      <c r="G1099" s="142"/>
      <c r="H1099" s="142">
        <v>80</v>
      </c>
      <c r="I1099" s="192">
        <v>63</v>
      </c>
    </row>
    <row r="1100" spans="1:9" x14ac:dyDescent="0.65">
      <c r="A1100" s="188">
        <v>40740</v>
      </c>
      <c r="B1100" s="35" t="s">
        <v>7</v>
      </c>
      <c r="C1100" t="s">
        <v>7</v>
      </c>
      <c r="D1100" t="s">
        <v>18</v>
      </c>
      <c r="E1100" s="141">
        <v>1.5</v>
      </c>
      <c r="F1100" s="141">
        <v>39.39</v>
      </c>
      <c r="G1100" s="142"/>
      <c r="H1100" s="142">
        <v>59.085000000000001</v>
      </c>
      <c r="I1100" s="192">
        <v>63</v>
      </c>
    </row>
    <row r="1101" spans="1:9" x14ac:dyDescent="0.65">
      <c r="A1101" s="188">
        <v>40742</v>
      </c>
      <c r="B1101" s="35" t="s">
        <v>1344</v>
      </c>
      <c r="C1101" t="s">
        <v>1345</v>
      </c>
      <c r="D1101" t="s">
        <v>18</v>
      </c>
      <c r="E1101" s="141">
        <v>3</v>
      </c>
      <c r="F1101" s="141">
        <v>80</v>
      </c>
      <c r="G1101" s="142"/>
      <c r="H1101" s="142">
        <v>240</v>
      </c>
      <c r="I1101" s="192">
        <v>63</v>
      </c>
    </row>
    <row r="1102" spans="1:9" x14ac:dyDescent="0.65">
      <c r="A1102" s="188">
        <v>40742</v>
      </c>
      <c r="B1102" s="35" t="s">
        <v>1356</v>
      </c>
      <c r="C1102" t="s">
        <v>1357</v>
      </c>
      <c r="D1102" t="s">
        <v>98</v>
      </c>
      <c r="E1102" s="141">
        <v>1</v>
      </c>
      <c r="F1102" s="141">
        <v>365</v>
      </c>
      <c r="G1102" s="142"/>
      <c r="H1102" s="142">
        <v>365</v>
      </c>
      <c r="I1102" s="192">
        <v>63</v>
      </c>
    </row>
    <row r="1103" spans="1:9" x14ac:dyDescent="0.65">
      <c r="A1103" s="188">
        <v>40742</v>
      </c>
      <c r="B1103" s="35" t="s">
        <v>1354</v>
      </c>
      <c r="C1103" t="s">
        <v>1355</v>
      </c>
      <c r="D1103" t="s">
        <v>98</v>
      </c>
      <c r="E1103" s="141">
        <v>1</v>
      </c>
      <c r="F1103" s="141">
        <v>365</v>
      </c>
      <c r="G1103" s="142"/>
      <c r="H1103" s="142">
        <v>365</v>
      </c>
      <c r="I1103" s="192">
        <v>63</v>
      </c>
    </row>
    <row r="1104" spans="1:9" x14ac:dyDescent="0.65">
      <c r="A1104" s="188">
        <v>40742</v>
      </c>
      <c r="B1104" s="35" t="s">
        <v>7</v>
      </c>
      <c r="C1104" t="s">
        <v>7</v>
      </c>
      <c r="D1104" t="s">
        <v>18</v>
      </c>
      <c r="E1104" s="141">
        <v>2</v>
      </c>
      <c r="F1104" s="141">
        <v>39.39</v>
      </c>
      <c r="G1104" s="142"/>
      <c r="H1104" s="142">
        <v>78.78</v>
      </c>
      <c r="I1104" s="192">
        <v>63</v>
      </c>
    </row>
    <row r="1105" spans="1:9" x14ac:dyDescent="0.65">
      <c r="A1105" s="188">
        <v>40742</v>
      </c>
      <c r="B1105" s="35" t="s">
        <v>1336</v>
      </c>
      <c r="C1105" t="s">
        <v>1337</v>
      </c>
      <c r="D1105" t="s">
        <v>18</v>
      </c>
      <c r="E1105" s="141">
        <v>9</v>
      </c>
      <c r="F1105" s="141">
        <v>95</v>
      </c>
      <c r="G1105" s="142"/>
      <c r="H1105" s="142">
        <v>855</v>
      </c>
      <c r="I1105" s="192">
        <v>63</v>
      </c>
    </row>
    <row r="1106" spans="1:9" x14ac:dyDescent="0.65">
      <c r="A1106" s="188">
        <v>40742</v>
      </c>
      <c r="B1106" s="35" t="s">
        <v>7</v>
      </c>
      <c r="C1106" t="s">
        <v>7</v>
      </c>
      <c r="D1106" t="s">
        <v>18</v>
      </c>
      <c r="E1106" s="141">
        <v>9.5</v>
      </c>
      <c r="F1106" s="141">
        <v>39.39</v>
      </c>
      <c r="G1106" s="142"/>
      <c r="H1106" s="142">
        <v>374.20499999999998</v>
      </c>
      <c r="I1106" s="192">
        <v>63</v>
      </c>
    </row>
    <row r="1107" spans="1:9" x14ac:dyDescent="0.65">
      <c r="A1107" s="188">
        <v>40743</v>
      </c>
      <c r="B1107" s="35" t="s">
        <v>7</v>
      </c>
      <c r="C1107" t="s">
        <v>7</v>
      </c>
      <c r="D1107" t="s">
        <v>18</v>
      </c>
      <c r="E1107" s="141">
        <v>6.5</v>
      </c>
      <c r="F1107" s="141">
        <v>39.39</v>
      </c>
      <c r="G1107" s="142"/>
      <c r="H1107" s="142">
        <v>256.03500000000003</v>
      </c>
      <c r="I1107" s="192">
        <v>63</v>
      </c>
    </row>
    <row r="1108" spans="1:9" x14ac:dyDescent="0.65">
      <c r="A1108" s="188">
        <v>40743</v>
      </c>
      <c r="B1108" s="35" t="s">
        <v>1356</v>
      </c>
      <c r="C1108" t="s">
        <v>1357</v>
      </c>
      <c r="D1108" t="s">
        <v>98</v>
      </c>
      <c r="E1108" s="141">
        <v>1</v>
      </c>
      <c r="F1108" s="141">
        <v>365</v>
      </c>
      <c r="G1108" s="142"/>
      <c r="H1108" s="142">
        <v>365</v>
      </c>
      <c r="I1108" s="192">
        <v>63</v>
      </c>
    </row>
    <row r="1109" spans="1:9" x14ac:dyDescent="0.65">
      <c r="A1109" s="188">
        <v>40743</v>
      </c>
      <c r="B1109" s="35" t="s">
        <v>1336</v>
      </c>
      <c r="C1109" t="s">
        <v>1337</v>
      </c>
      <c r="D1109" t="s">
        <v>18</v>
      </c>
      <c r="E1109" s="141">
        <v>6</v>
      </c>
      <c r="F1109" s="141">
        <v>95</v>
      </c>
      <c r="G1109" s="142"/>
      <c r="H1109" s="142">
        <v>570</v>
      </c>
      <c r="I1109" s="192">
        <v>63</v>
      </c>
    </row>
    <row r="1110" spans="1:9" x14ac:dyDescent="0.65">
      <c r="A1110" s="188">
        <v>40743</v>
      </c>
      <c r="B1110" s="35" t="s">
        <v>1354</v>
      </c>
      <c r="C1110" t="s">
        <v>1355</v>
      </c>
      <c r="D1110" t="s">
        <v>98</v>
      </c>
      <c r="E1110" s="141">
        <v>1</v>
      </c>
      <c r="F1110" s="141">
        <v>365</v>
      </c>
      <c r="G1110" s="142"/>
      <c r="H1110" s="142">
        <v>365</v>
      </c>
      <c r="I1110" s="192">
        <v>63</v>
      </c>
    </row>
    <row r="1111" spans="1:9" x14ac:dyDescent="0.65">
      <c r="A1111" s="188">
        <v>40743</v>
      </c>
      <c r="B1111" s="35" t="s">
        <v>7</v>
      </c>
      <c r="C1111" t="s">
        <v>7</v>
      </c>
      <c r="D1111" t="s">
        <v>18</v>
      </c>
      <c r="E1111" s="141">
        <v>6.5</v>
      </c>
      <c r="F1111" s="141">
        <v>39.39</v>
      </c>
      <c r="G1111" s="142"/>
      <c r="H1111" s="142">
        <v>256.03500000000003</v>
      </c>
      <c r="I1111" s="192">
        <v>63</v>
      </c>
    </row>
    <row r="1112" spans="1:9" x14ac:dyDescent="0.65">
      <c r="A1112" s="188">
        <v>40743</v>
      </c>
      <c r="B1112" s="35" t="s">
        <v>1344</v>
      </c>
      <c r="C1112" t="s">
        <v>1345</v>
      </c>
      <c r="D1112" t="s">
        <v>18</v>
      </c>
      <c r="E1112" s="141">
        <v>3</v>
      </c>
      <c r="F1112" s="141">
        <v>80</v>
      </c>
      <c r="G1112" s="142"/>
      <c r="H1112" s="142">
        <v>240</v>
      </c>
      <c r="I1112" s="192">
        <v>63</v>
      </c>
    </row>
    <row r="1113" spans="1:9" x14ac:dyDescent="0.65">
      <c r="A1113" s="188">
        <v>40744</v>
      </c>
      <c r="B1113" s="35" t="s">
        <v>1347</v>
      </c>
      <c r="C1113" t="s">
        <v>1348</v>
      </c>
      <c r="D1113" t="s">
        <v>451</v>
      </c>
      <c r="E1113" s="141">
        <v>7</v>
      </c>
      <c r="F1113" s="141">
        <v>90</v>
      </c>
      <c r="G1113" s="142"/>
      <c r="H1113" s="142">
        <v>630</v>
      </c>
      <c r="I1113" s="192">
        <v>63</v>
      </c>
    </row>
    <row r="1114" spans="1:9" x14ac:dyDescent="0.65">
      <c r="A1114" s="188">
        <v>40744</v>
      </c>
      <c r="B1114" s="35" t="s">
        <v>1336</v>
      </c>
      <c r="C1114" t="s">
        <v>1337</v>
      </c>
      <c r="D1114" t="s">
        <v>18</v>
      </c>
      <c r="E1114" s="141">
        <v>3</v>
      </c>
      <c r="F1114" s="141">
        <v>95</v>
      </c>
      <c r="G1114" s="142"/>
      <c r="H1114" s="142">
        <v>285</v>
      </c>
      <c r="I1114" s="192">
        <v>63</v>
      </c>
    </row>
    <row r="1115" spans="1:9" x14ac:dyDescent="0.65">
      <c r="A1115" s="188">
        <v>40744</v>
      </c>
      <c r="B1115" s="35" t="s">
        <v>7</v>
      </c>
      <c r="C1115" t="s">
        <v>7</v>
      </c>
      <c r="D1115" t="s">
        <v>18</v>
      </c>
      <c r="E1115" s="141">
        <v>9.5</v>
      </c>
      <c r="F1115" s="141">
        <v>39.39</v>
      </c>
      <c r="G1115" s="142"/>
      <c r="H1115" s="142">
        <v>374.20499999999998</v>
      </c>
      <c r="I1115" s="192">
        <v>63</v>
      </c>
    </row>
    <row r="1116" spans="1:9" x14ac:dyDescent="0.65">
      <c r="A1116" s="188">
        <v>40745</v>
      </c>
      <c r="B1116" s="35" t="s">
        <v>7</v>
      </c>
      <c r="C1116" t="s">
        <v>7</v>
      </c>
      <c r="D1116" t="s">
        <v>18</v>
      </c>
      <c r="E1116" s="141">
        <v>8</v>
      </c>
      <c r="F1116" s="141">
        <v>39.39</v>
      </c>
      <c r="G1116" s="142"/>
      <c r="H1116" s="142">
        <v>315.12</v>
      </c>
      <c r="I1116" s="192">
        <v>63</v>
      </c>
    </row>
    <row r="1117" spans="1:9" x14ac:dyDescent="0.65">
      <c r="A1117" s="188">
        <v>40745</v>
      </c>
      <c r="B1117" s="35" t="s">
        <v>1336</v>
      </c>
      <c r="C1117" t="s">
        <v>7</v>
      </c>
      <c r="D1117" t="s">
        <v>18</v>
      </c>
      <c r="E1117" s="141">
        <v>1</v>
      </c>
      <c r="F1117" s="141">
        <v>95</v>
      </c>
      <c r="G1117" s="142"/>
      <c r="H1117" s="142">
        <v>95</v>
      </c>
      <c r="I1117" s="192">
        <v>63</v>
      </c>
    </row>
    <row r="1118" spans="1:9" x14ac:dyDescent="0.65">
      <c r="A1118" s="188">
        <v>40745</v>
      </c>
      <c r="B1118" s="35" t="s">
        <v>1344</v>
      </c>
      <c r="C1118" t="s">
        <v>1345</v>
      </c>
      <c r="D1118" t="s">
        <v>18</v>
      </c>
      <c r="E1118" s="141">
        <v>2</v>
      </c>
      <c r="F1118" s="141">
        <v>80</v>
      </c>
      <c r="G1118" s="142"/>
      <c r="H1118" s="142">
        <v>160</v>
      </c>
      <c r="I1118" s="192">
        <v>63</v>
      </c>
    </row>
    <row r="1119" spans="1:9" x14ac:dyDescent="0.65">
      <c r="A1119" s="188">
        <v>40745</v>
      </c>
      <c r="B1119" s="35" t="s">
        <v>1347</v>
      </c>
      <c r="C1119" t="s">
        <v>1348</v>
      </c>
      <c r="D1119" t="s">
        <v>451</v>
      </c>
      <c r="E1119" s="141">
        <v>9</v>
      </c>
      <c r="F1119" s="141">
        <v>90</v>
      </c>
      <c r="G1119" s="142"/>
      <c r="H1119" s="142">
        <v>810</v>
      </c>
      <c r="I1119" s="192">
        <v>63</v>
      </c>
    </row>
    <row r="1120" spans="1:9" x14ac:dyDescent="0.65">
      <c r="A1120" s="188">
        <v>40746</v>
      </c>
      <c r="B1120" s="35" t="s">
        <v>1347</v>
      </c>
      <c r="C1120" t="s">
        <v>1348</v>
      </c>
      <c r="D1120" t="s">
        <v>451</v>
      </c>
      <c r="E1120" s="141">
        <v>3</v>
      </c>
      <c r="F1120" s="141">
        <v>90</v>
      </c>
      <c r="G1120" s="142"/>
      <c r="H1120" s="142">
        <v>270</v>
      </c>
      <c r="I1120" s="192">
        <v>63</v>
      </c>
    </row>
    <row r="1121" spans="1:9" x14ac:dyDescent="0.65">
      <c r="A1121" s="188">
        <v>40746</v>
      </c>
      <c r="B1121" s="35" t="s">
        <v>1358</v>
      </c>
      <c r="C1121" t="s">
        <v>1359</v>
      </c>
      <c r="D1121" t="s">
        <v>98</v>
      </c>
      <c r="E1121" s="141">
        <v>1</v>
      </c>
      <c r="F1121" s="141">
        <v>365</v>
      </c>
      <c r="G1121" s="142"/>
      <c r="H1121" s="142">
        <v>365</v>
      </c>
      <c r="I1121" s="192">
        <v>63</v>
      </c>
    </row>
    <row r="1122" spans="1:9" x14ac:dyDescent="0.65">
      <c r="A1122" s="188">
        <v>40746</v>
      </c>
      <c r="B1122" s="35" t="s">
        <v>1336</v>
      </c>
      <c r="C1122" t="s">
        <v>7</v>
      </c>
      <c r="D1122" t="s">
        <v>18</v>
      </c>
      <c r="E1122" s="141">
        <v>2.5</v>
      </c>
      <c r="F1122" s="141">
        <v>95</v>
      </c>
      <c r="G1122" s="142"/>
      <c r="H1122" s="142">
        <v>237.5</v>
      </c>
      <c r="I1122" s="192">
        <v>63</v>
      </c>
    </row>
    <row r="1123" spans="1:9" x14ac:dyDescent="0.65">
      <c r="A1123" s="188">
        <v>40746</v>
      </c>
      <c r="B1123" s="35" t="s">
        <v>7</v>
      </c>
      <c r="C1123" t="s">
        <v>7</v>
      </c>
      <c r="D1123" t="s">
        <v>18</v>
      </c>
      <c r="E1123" s="141">
        <v>2.5</v>
      </c>
      <c r="F1123" s="141">
        <v>39.39</v>
      </c>
      <c r="G1123" s="142"/>
      <c r="H1123" s="142">
        <v>98.474999999999994</v>
      </c>
      <c r="I1123" s="192">
        <v>63</v>
      </c>
    </row>
    <row r="1124" spans="1:9" x14ac:dyDescent="0.65">
      <c r="A1124" s="188">
        <v>40749</v>
      </c>
      <c r="B1124" s="35" t="s">
        <v>1358</v>
      </c>
      <c r="C1124" t="s">
        <v>1359</v>
      </c>
      <c r="D1124" t="s">
        <v>98</v>
      </c>
      <c r="E1124" s="141">
        <v>1</v>
      </c>
      <c r="F1124" s="141">
        <v>365</v>
      </c>
      <c r="G1124" s="142"/>
      <c r="H1124" s="142">
        <v>365</v>
      </c>
      <c r="I1124" s="192">
        <v>63</v>
      </c>
    </row>
    <row r="1125" spans="1:9" x14ac:dyDescent="0.65">
      <c r="A1125" s="188">
        <v>40749</v>
      </c>
      <c r="B1125" s="35" t="s">
        <v>1336</v>
      </c>
      <c r="C1125" t="s">
        <v>7</v>
      </c>
      <c r="D1125" t="s">
        <v>18</v>
      </c>
      <c r="E1125" s="141">
        <v>4</v>
      </c>
      <c r="F1125" s="141">
        <v>95</v>
      </c>
      <c r="G1125" s="142"/>
      <c r="H1125" s="142">
        <v>380</v>
      </c>
      <c r="I1125" s="192">
        <v>63</v>
      </c>
    </row>
    <row r="1126" spans="1:9" x14ac:dyDescent="0.65">
      <c r="A1126" s="188">
        <v>40749</v>
      </c>
      <c r="B1126" s="35" t="s">
        <v>1347</v>
      </c>
      <c r="C1126" t="s">
        <v>1348</v>
      </c>
      <c r="D1126" t="s">
        <v>18</v>
      </c>
      <c r="E1126" s="141">
        <v>4.5</v>
      </c>
      <c r="F1126" s="141">
        <v>90</v>
      </c>
      <c r="G1126" s="142"/>
      <c r="H1126" s="142">
        <v>405</v>
      </c>
      <c r="I1126" s="192">
        <v>63</v>
      </c>
    </row>
    <row r="1127" spans="1:9" x14ac:dyDescent="0.65">
      <c r="A1127" s="188">
        <v>40749</v>
      </c>
      <c r="B1127" s="35" t="s">
        <v>7</v>
      </c>
      <c r="C1127" t="s">
        <v>7</v>
      </c>
      <c r="D1127" t="s">
        <v>18</v>
      </c>
      <c r="E1127" s="141">
        <v>4.5</v>
      </c>
      <c r="F1127" s="141">
        <v>39.39</v>
      </c>
      <c r="G1127" s="142"/>
      <c r="H1127" s="142">
        <v>177.255</v>
      </c>
      <c r="I1127" s="192">
        <v>63</v>
      </c>
    </row>
    <row r="1128" spans="1:9" x14ac:dyDescent="0.65">
      <c r="A1128" s="188">
        <v>40750</v>
      </c>
      <c r="B1128" s="35" t="s">
        <v>1358</v>
      </c>
      <c r="C1128" t="s">
        <v>1359</v>
      </c>
      <c r="D1128" t="s">
        <v>98</v>
      </c>
      <c r="E1128" s="141">
        <v>1</v>
      </c>
      <c r="F1128" s="141">
        <v>365</v>
      </c>
      <c r="G1128" s="142"/>
      <c r="H1128" s="142">
        <v>365</v>
      </c>
      <c r="I1128" s="192">
        <v>63</v>
      </c>
    </row>
    <row r="1129" spans="1:9" x14ac:dyDescent="0.65">
      <c r="A1129" s="188">
        <v>40752</v>
      </c>
      <c r="B1129" s="35" t="s">
        <v>7</v>
      </c>
      <c r="C1129" t="s">
        <v>7</v>
      </c>
      <c r="D1129" t="s">
        <v>18</v>
      </c>
      <c r="E1129" s="141">
        <v>2</v>
      </c>
      <c r="F1129" s="141">
        <v>39.39</v>
      </c>
      <c r="G1129" s="142"/>
      <c r="H1129" s="142">
        <v>78.78</v>
      </c>
      <c r="I1129" s="192">
        <v>63</v>
      </c>
    </row>
    <row r="1130" spans="1:9" x14ac:dyDescent="0.65">
      <c r="A1130" s="188">
        <v>40752</v>
      </c>
      <c r="B1130" s="35" t="s">
        <v>7</v>
      </c>
      <c r="C1130" t="s">
        <v>7</v>
      </c>
      <c r="D1130" t="s">
        <v>18</v>
      </c>
      <c r="E1130" s="141">
        <v>2</v>
      </c>
      <c r="F1130" s="141">
        <v>39.39</v>
      </c>
      <c r="G1130" s="142"/>
      <c r="H1130" s="142">
        <v>78.78</v>
      </c>
      <c r="I1130" s="192">
        <v>63</v>
      </c>
    </row>
    <row r="1131" spans="1:9" x14ac:dyDescent="0.65">
      <c r="A1131" s="188">
        <v>40752</v>
      </c>
      <c r="B1131" s="35" t="s">
        <v>1347</v>
      </c>
      <c r="C1131" t="s">
        <v>1348</v>
      </c>
      <c r="D1131" t="s">
        <v>18</v>
      </c>
      <c r="E1131" s="141">
        <v>5.5</v>
      </c>
      <c r="F1131" s="141">
        <v>90</v>
      </c>
      <c r="G1131" s="142"/>
      <c r="H1131" s="142">
        <v>495</v>
      </c>
      <c r="I1131" s="192">
        <v>63</v>
      </c>
    </row>
    <row r="1132" spans="1:9" x14ac:dyDescent="0.65">
      <c r="A1132" s="188">
        <v>40752</v>
      </c>
      <c r="B1132" s="35" t="s">
        <v>1336</v>
      </c>
      <c r="C1132" t="s">
        <v>7</v>
      </c>
      <c r="D1132" t="s">
        <v>18</v>
      </c>
      <c r="E1132" s="141">
        <v>3.5</v>
      </c>
      <c r="F1132" s="141">
        <v>95</v>
      </c>
      <c r="G1132" s="142"/>
      <c r="H1132" s="142">
        <v>332.5</v>
      </c>
      <c r="I1132" s="192">
        <v>63</v>
      </c>
    </row>
    <row r="1133" spans="1:9" x14ac:dyDescent="0.65">
      <c r="A1133" s="188">
        <v>40753</v>
      </c>
      <c r="B1133" s="35" t="s">
        <v>1344</v>
      </c>
      <c r="C1133" t="s">
        <v>1345</v>
      </c>
      <c r="D1133" t="s">
        <v>18</v>
      </c>
      <c r="E1133" s="141">
        <v>2</v>
      </c>
      <c r="F1133" s="141">
        <v>80</v>
      </c>
      <c r="G1133" s="142"/>
      <c r="H1133" s="142">
        <v>160</v>
      </c>
      <c r="I1133" s="192">
        <v>63</v>
      </c>
    </row>
    <row r="1134" spans="1:9" x14ac:dyDescent="0.65">
      <c r="A1134" s="188">
        <v>40753</v>
      </c>
      <c r="B1134" s="35" t="s">
        <v>7</v>
      </c>
      <c r="C1134" t="s">
        <v>7</v>
      </c>
      <c r="D1134" t="s">
        <v>18</v>
      </c>
      <c r="E1134" s="141">
        <v>2</v>
      </c>
      <c r="F1134" s="141">
        <v>32.200000000000003</v>
      </c>
      <c r="G1134" s="142"/>
      <c r="H1134" s="142">
        <v>64.400000000000006</v>
      </c>
      <c r="I1134" s="192">
        <v>63</v>
      </c>
    </row>
    <row r="1135" spans="1:9" x14ac:dyDescent="0.65">
      <c r="A1135" s="188">
        <v>40753</v>
      </c>
      <c r="B1135" s="35" t="s">
        <v>7</v>
      </c>
      <c r="C1135" t="s">
        <v>7</v>
      </c>
      <c r="D1135" t="s">
        <v>18</v>
      </c>
      <c r="E1135" s="141">
        <v>2</v>
      </c>
      <c r="F1135" s="141">
        <v>39.39</v>
      </c>
      <c r="G1135" s="142"/>
      <c r="H1135" s="142">
        <v>78.78</v>
      </c>
      <c r="I1135" s="192">
        <v>63</v>
      </c>
    </row>
    <row r="1136" spans="1:9" x14ac:dyDescent="0.65">
      <c r="A1136" s="188">
        <v>40753</v>
      </c>
      <c r="B1136" s="35" t="s">
        <v>1334</v>
      </c>
      <c r="C1136" t="s">
        <v>1335</v>
      </c>
      <c r="D1136" t="s">
        <v>18</v>
      </c>
      <c r="E1136" s="141">
        <v>2</v>
      </c>
      <c r="F1136" s="141">
        <v>135</v>
      </c>
      <c r="G1136" s="142"/>
      <c r="H1136" s="142">
        <v>270</v>
      </c>
      <c r="I1136" s="192">
        <v>63</v>
      </c>
    </row>
    <row r="1137" spans="1:9" x14ac:dyDescent="0.65">
      <c r="A1137" s="188">
        <v>40753</v>
      </c>
      <c r="B1137" s="35" t="s">
        <v>1336</v>
      </c>
      <c r="C1137" t="s">
        <v>7</v>
      </c>
      <c r="D1137" t="s">
        <v>18</v>
      </c>
      <c r="E1137" s="141">
        <v>1</v>
      </c>
      <c r="F1137" s="141">
        <v>95</v>
      </c>
      <c r="G1137" s="142"/>
      <c r="H1137" s="142">
        <v>95</v>
      </c>
      <c r="I1137" s="192">
        <v>63</v>
      </c>
    </row>
    <row r="1138" spans="1:9" x14ac:dyDescent="0.65">
      <c r="A1138" s="188">
        <v>40753</v>
      </c>
      <c r="B1138" s="35" t="s">
        <v>1358</v>
      </c>
      <c r="C1138" t="s">
        <v>1359</v>
      </c>
      <c r="D1138" t="s">
        <v>98</v>
      </c>
      <c r="E1138" s="141">
        <v>1</v>
      </c>
      <c r="F1138" s="141">
        <v>365</v>
      </c>
      <c r="G1138" s="142"/>
      <c r="H1138" s="142">
        <v>365</v>
      </c>
      <c r="I1138" s="192">
        <v>63</v>
      </c>
    </row>
    <row r="1139" spans="1:9" x14ac:dyDescent="0.65">
      <c r="A1139" s="188">
        <v>40753</v>
      </c>
      <c r="B1139" s="35" t="s">
        <v>7</v>
      </c>
      <c r="C1139" t="s">
        <v>7</v>
      </c>
      <c r="D1139" t="s">
        <v>18</v>
      </c>
      <c r="E1139" s="141">
        <v>2</v>
      </c>
      <c r="F1139" s="141">
        <v>39.39</v>
      </c>
      <c r="G1139" s="142"/>
      <c r="H1139" s="142">
        <v>78.78</v>
      </c>
      <c r="I1139" s="192">
        <v>63</v>
      </c>
    </row>
    <row r="1140" spans="1:9" x14ac:dyDescent="0.65">
      <c r="A1140" s="188">
        <v>40756</v>
      </c>
      <c r="B1140" s="35" t="s">
        <v>1358</v>
      </c>
      <c r="C1140" t="s">
        <v>1359</v>
      </c>
      <c r="D1140" t="s">
        <v>98</v>
      </c>
      <c r="E1140" s="141">
        <v>1</v>
      </c>
      <c r="F1140" s="141">
        <v>365</v>
      </c>
      <c r="G1140" s="142"/>
      <c r="H1140" s="142">
        <v>365</v>
      </c>
      <c r="I1140" s="192">
        <v>63</v>
      </c>
    </row>
    <row r="1141" spans="1:9" x14ac:dyDescent="0.65">
      <c r="A1141" s="188">
        <v>40757</v>
      </c>
      <c r="B1141" s="35" t="s">
        <v>1336</v>
      </c>
      <c r="C1141" t="s">
        <v>7</v>
      </c>
      <c r="D1141" t="s">
        <v>18</v>
      </c>
      <c r="E1141" s="141">
        <v>3.5</v>
      </c>
      <c r="F1141" s="141">
        <v>95</v>
      </c>
      <c r="G1141" s="142"/>
      <c r="H1141" s="142">
        <v>332.5</v>
      </c>
      <c r="I1141" s="192">
        <v>63</v>
      </c>
    </row>
    <row r="1142" spans="1:9" x14ac:dyDescent="0.65">
      <c r="A1142" s="188">
        <v>40757</v>
      </c>
      <c r="B1142" s="35" t="s">
        <v>7</v>
      </c>
      <c r="C1142" t="s">
        <v>7</v>
      </c>
      <c r="D1142" t="s">
        <v>18</v>
      </c>
      <c r="E1142" s="141">
        <v>3</v>
      </c>
      <c r="F1142" s="141">
        <v>39.39</v>
      </c>
      <c r="G1142" s="142"/>
      <c r="H1142" s="142">
        <v>118.17</v>
      </c>
      <c r="I1142" s="192">
        <v>63</v>
      </c>
    </row>
    <row r="1143" spans="1:9" x14ac:dyDescent="0.65">
      <c r="A1143" s="188">
        <v>40757</v>
      </c>
      <c r="B1143" s="35" t="s">
        <v>1361</v>
      </c>
      <c r="C1143" t="s">
        <v>1357</v>
      </c>
      <c r="D1143" t="s">
        <v>98</v>
      </c>
      <c r="E1143" s="141">
        <v>1</v>
      </c>
      <c r="F1143" s="141">
        <v>365</v>
      </c>
      <c r="G1143" s="142"/>
      <c r="H1143" s="142">
        <v>365</v>
      </c>
      <c r="I1143" s="192">
        <v>63</v>
      </c>
    </row>
    <row r="1144" spans="1:9" x14ac:dyDescent="0.65">
      <c r="A1144" s="188">
        <v>40757</v>
      </c>
      <c r="B1144" s="35" t="s">
        <v>1358</v>
      </c>
      <c r="C1144" t="s">
        <v>1359</v>
      </c>
      <c r="D1144" t="s">
        <v>98</v>
      </c>
      <c r="E1144" s="141">
        <v>1</v>
      </c>
      <c r="F1144" s="141">
        <v>365</v>
      </c>
      <c r="G1144" s="142"/>
      <c r="H1144" s="142">
        <v>365</v>
      </c>
      <c r="I1144" s="192">
        <v>63</v>
      </c>
    </row>
    <row r="1145" spans="1:9" x14ac:dyDescent="0.65">
      <c r="A1145" s="188">
        <v>40757</v>
      </c>
      <c r="B1145" s="35" t="s">
        <v>1344</v>
      </c>
      <c r="C1145" t="s">
        <v>1345</v>
      </c>
      <c r="D1145" t="s">
        <v>18</v>
      </c>
      <c r="E1145" s="141">
        <v>1</v>
      </c>
      <c r="F1145" s="141">
        <v>80</v>
      </c>
      <c r="G1145" s="142"/>
      <c r="H1145" s="142">
        <v>80</v>
      </c>
      <c r="I1145" s="192">
        <v>63</v>
      </c>
    </row>
    <row r="1146" spans="1:9" x14ac:dyDescent="0.65">
      <c r="A1146" s="188">
        <v>40758</v>
      </c>
      <c r="B1146" s="35" t="s">
        <v>1347</v>
      </c>
      <c r="C1146" t="s">
        <v>1348</v>
      </c>
      <c r="D1146" t="s">
        <v>18</v>
      </c>
      <c r="E1146" s="141">
        <v>2</v>
      </c>
      <c r="F1146" s="141">
        <v>90</v>
      </c>
      <c r="G1146" s="142"/>
      <c r="H1146" s="142">
        <v>180</v>
      </c>
      <c r="I1146" s="192">
        <v>63</v>
      </c>
    </row>
    <row r="1147" spans="1:9" x14ac:dyDescent="0.65">
      <c r="A1147" s="188">
        <v>40758</v>
      </c>
      <c r="B1147" s="35" t="s">
        <v>1361</v>
      </c>
      <c r="C1147" t="s">
        <v>1357</v>
      </c>
      <c r="D1147" t="s">
        <v>98</v>
      </c>
      <c r="E1147" s="141">
        <v>1</v>
      </c>
      <c r="F1147" s="141">
        <v>365</v>
      </c>
      <c r="G1147" s="142"/>
      <c r="H1147" s="142">
        <v>365</v>
      </c>
      <c r="I1147" s="192">
        <v>63</v>
      </c>
    </row>
    <row r="1148" spans="1:9" x14ac:dyDescent="0.65">
      <c r="A1148" s="188">
        <v>40758</v>
      </c>
      <c r="B1148" s="35" t="s">
        <v>1358</v>
      </c>
      <c r="C1148" t="s">
        <v>1359</v>
      </c>
      <c r="D1148" t="s">
        <v>98</v>
      </c>
      <c r="E1148" s="141">
        <v>1</v>
      </c>
      <c r="F1148" s="141">
        <v>365</v>
      </c>
      <c r="G1148" s="142"/>
      <c r="H1148" s="142">
        <v>365</v>
      </c>
      <c r="I1148" s="192">
        <v>63</v>
      </c>
    </row>
    <row r="1149" spans="1:9" x14ac:dyDescent="0.65">
      <c r="A1149" s="188">
        <v>40759</v>
      </c>
      <c r="B1149" s="35" t="s">
        <v>1358</v>
      </c>
      <c r="C1149" t="s">
        <v>1359</v>
      </c>
      <c r="D1149" t="s">
        <v>98</v>
      </c>
      <c r="E1149" s="141">
        <v>1</v>
      </c>
      <c r="F1149" s="141">
        <v>365</v>
      </c>
      <c r="G1149" s="142"/>
      <c r="H1149" s="142">
        <v>365</v>
      </c>
      <c r="I1149" s="192">
        <v>63</v>
      </c>
    </row>
    <row r="1150" spans="1:9" x14ac:dyDescent="0.65">
      <c r="A1150" s="188">
        <v>40764</v>
      </c>
      <c r="B1150" s="35" t="s">
        <v>1344</v>
      </c>
      <c r="C1150" t="s">
        <v>1345</v>
      </c>
      <c r="D1150" t="s">
        <v>18</v>
      </c>
      <c r="E1150" s="141">
        <v>2</v>
      </c>
      <c r="F1150" s="141">
        <v>80</v>
      </c>
      <c r="G1150" s="142"/>
      <c r="H1150" s="142">
        <v>160</v>
      </c>
      <c r="I1150" s="192">
        <v>63</v>
      </c>
    </row>
    <row r="1151" spans="1:9" x14ac:dyDescent="0.65">
      <c r="A1151" s="188">
        <v>40764</v>
      </c>
      <c r="B1151" s="35" t="s">
        <v>7</v>
      </c>
      <c r="C1151" t="s">
        <v>7</v>
      </c>
      <c r="D1151" t="s">
        <v>18</v>
      </c>
      <c r="E1151" s="141">
        <v>2</v>
      </c>
      <c r="F1151" s="141">
        <v>32.200000000000003</v>
      </c>
      <c r="G1151" s="142"/>
      <c r="H1151" s="142">
        <v>64.400000000000006</v>
      </c>
      <c r="I1151" s="192">
        <v>63</v>
      </c>
    </row>
    <row r="1152" spans="1:9" x14ac:dyDescent="0.65">
      <c r="A1152" s="188">
        <v>40764</v>
      </c>
      <c r="B1152" s="35" t="s">
        <v>7</v>
      </c>
      <c r="C1152" t="s">
        <v>7</v>
      </c>
      <c r="D1152" t="s">
        <v>18</v>
      </c>
      <c r="E1152" s="141">
        <v>2</v>
      </c>
      <c r="F1152" s="141">
        <v>39.39</v>
      </c>
      <c r="G1152" s="142"/>
      <c r="H1152" s="142">
        <v>78.78</v>
      </c>
      <c r="I1152" s="192">
        <v>63</v>
      </c>
    </row>
    <row r="1153" spans="1:9" x14ac:dyDescent="0.65">
      <c r="A1153" s="188">
        <v>40764</v>
      </c>
      <c r="B1153" s="35" t="s">
        <v>1402</v>
      </c>
      <c r="C1153" t="s">
        <v>1359</v>
      </c>
      <c r="D1153" t="s">
        <v>98</v>
      </c>
      <c r="E1153" s="141">
        <v>1</v>
      </c>
      <c r="F1153" s="141">
        <v>365</v>
      </c>
      <c r="G1153" s="142"/>
      <c r="H1153" s="142">
        <v>365</v>
      </c>
      <c r="I1153" s="192">
        <v>63</v>
      </c>
    </row>
    <row r="1154" spans="1:9" x14ac:dyDescent="0.65">
      <c r="A1154" s="188">
        <v>40764</v>
      </c>
      <c r="B1154" s="35" t="s">
        <v>401</v>
      </c>
      <c r="C1154" t="s">
        <v>1357</v>
      </c>
      <c r="D1154" t="s">
        <v>98</v>
      </c>
      <c r="E1154" s="141">
        <v>1</v>
      </c>
      <c r="F1154" s="141">
        <v>365</v>
      </c>
      <c r="G1154" s="142"/>
      <c r="H1154" s="142">
        <v>365</v>
      </c>
      <c r="I1154" s="192">
        <v>63</v>
      </c>
    </row>
    <row r="1155" spans="1:9" x14ac:dyDescent="0.65">
      <c r="A1155" s="188">
        <v>40764</v>
      </c>
      <c r="B1155" s="35" t="s">
        <v>7</v>
      </c>
      <c r="C1155" t="s">
        <v>7</v>
      </c>
      <c r="D1155" t="s">
        <v>18</v>
      </c>
      <c r="E1155" s="141">
        <v>2</v>
      </c>
      <c r="F1155" s="141">
        <v>39.39</v>
      </c>
      <c r="G1155" s="142"/>
      <c r="H1155" s="142">
        <v>78.78</v>
      </c>
      <c r="I1155" s="192">
        <v>63</v>
      </c>
    </row>
    <row r="1156" spans="1:9" x14ac:dyDescent="0.65">
      <c r="A1156" s="188">
        <v>40765</v>
      </c>
      <c r="B1156" s="35" t="s">
        <v>1336</v>
      </c>
      <c r="C1156" t="s">
        <v>7</v>
      </c>
      <c r="D1156" t="s">
        <v>18</v>
      </c>
      <c r="E1156" s="141">
        <v>2</v>
      </c>
      <c r="F1156" s="141">
        <v>95</v>
      </c>
      <c r="G1156" s="142"/>
      <c r="H1156" s="142">
        <v>190</v>
      </c>
      <c r="I1156" s="192">
        <v>63</v>
      </c>
    </row>
    <row r="1157" spans="1:9" x14ac:dyDescent="0.65">
      <c r="A1157" s="188">
        <v>40765</v>
      </c>
      <c r="B1157" s="35" t="s">
        <v>1344</v>
      </c>
      <c r="C1157" t="s">
        <v>1345</v>
      </c>
      <c r="D1157" t="s">
        <v>18</v>
      </c>
      <c r="E1157" s="141">
        <v>2</v>
      </c>
      <c r="F1157" s="141">
        <v>80</v>
      </c>
      <c r="G1157" s="142"/>
      <c r="H1157" s="142">
        <v>160</v>
      </c>
      <c r="I1157" s="192">
        <v>63</v>
      </c>
    </row>
    <row r="1158" spans="1:9" x14ac:dyDescent="0.65">
      <c r="A1158" s="188">
        <v>40765</v>
      </c>
      <c r="B1158" s="35" t="s">
        <v>7</v>
      </c>
      <c r="C1158" t="s">
        <v>7</v>
      </c>
      <c r="D1158" t="s">
        <v>18</v>
      </c>
      <c r="E1158" s="141">
        <v>3</v>
      </c>
      <c r="F1158" s="141">
        <v>32.200000000000003</v>
      </c>
      <c r="G1158" s="142"/>
      <c r="H1158" s="142">
        <v>96.6</v>
      </c>
      <c r="I1158" s="192">
        <v>63</v>
      </c>
    </row>
    <row r="1159" spans="1:9" x14ac:dyDescent="0.65">
      <c r="A1159" s="188">
        <v>40765</v>
      </c>
      <c r="B1159" s="35" t="s">
        <v>7</v>
      </c>
      <c r="C1159" t="s">
        <v>7</v>
      </c>
      <c r="D1159" t="s">
        <v>18</v>
      </c>
      <c r="E1159" s="141">
        <v>3</v>
      </c>
      <c r="F1159" s="141">
        <v>39.39</v>
      </c>
      <c r="G1159" s="142"/>
      <c r="H1159" s="142">
        <v>118.17</v>
      </c>
      <c r="I1159" s="192">
        <v>63</v>
      </c>
    </row>
    <row r="1160" spans="1:9" x14ac:dyDescent="0.65">
      <c r="A1160" s="188">
        <v>40765</v>
      </c>
      <c r="B1160" s="35" t="s">
        <v>7</v>
      </c>
      <c r="C1160" t="s">
        <v>7</v>
      </c>
      <c r="D1160" t="s">
        <v>18</v>
      </c>
      <c r="E1160" s="141">
        <v>3</v>
      </c>
      <c r="F1160" s="141">
        <v>39.39</v>
      </c>
      <c r="G1160" s="142"/>
      <c r="H1160" s="142">
        <v>118.17</v>
      </c>
      <c r="I1160" s="192">
        <v>63</v>
      </c>
    </row>
    <row r="1161" spans="1:9" x14ac:dyDescent="0.65">
      <c r="A1161" s="188">
        <v>40770</v>
      </c>
      <c r="B1161" s="35" t="s">
        <v>7</v>
      </c>
      <c r="C1161" t="s">
        <v>7</v>
      </c>
      <c r="D1161" t="s">
        <v>18</v>
      </c>
      <c r="E1161" s="141">
        <v>2</v>
      </c>
      <c r="F1161" s="141">
        <v>32.200000000000003</v>
      </c>
      <c r="G1161" s="142"/>
      <c r="H1161" s="142">
        <v>64.400000000000006</v>
      </c>
      <c r="I1161" s="192">
        <v>63</v>
      </c>
    </row>
    <row r="1162" spans="1:9" x14ac:dyDescent="0.65">
      <c r="A1162" s="188">
        <v>40770</v>
      </c>
      <c r="B1162" s="35" t="s">
        <v>7</v>
      </c>
      <c r="C1162" t="s">
        <v>7</v>
      </c>
      <c r="D1162" t="s">
        <v>18</v>
      </c>
      <c r="E1162" s="141">
        <v>2</v>
      </c>
      <c r="F1162" s="141">
        <v>39.39</v>
      </c>
      <c r="G1162" s="142"/>
      <c r="H1162" s="142">
        <v>78.78</v>
      </c>
      <c r="I1162" s="192">
        <v>63</v>
      </c>
    </row>
    <row r="1163" spans="1:9" x14ac:dyDescent="0.65">
      <c r="A1163" s="188">
        <v>40770</v>
      </c>
      <c r="B1163" s="35" t="s">
        <v>7</v>
      </c>
      <c r="C1163" t="s">
        <v>7</v>
      </c>
      <c r="D1163" t="s">
        <v>18</v>
      </c>
      <c r="E1163" s="141">
        <v>2</v>
      </c>
      <c r="F1163" s="141">
        <v>39.39</v>
      </c>
      <c r="G1163" s="142"/>
      <c r="H1163" s="142">
        <v>78.78</v>
      </c>
      <c r="I1163" s="192">
        <v>63</v>
      </c>
    </row>
    <row r="1164" spans="1:9" x14ac:dyDescent="0.65">
      <c r="A1164" s="188">
        <v>40770</v>
      </c>
      <c r="B1164" s="35" t="s">
        <v>1347</v>
      </c>
      <c r="C1164" t="s">
        <v>1348</v>
      </c>
      <c r="D1164" t="s">
        <v>18</v>
      </c>
      <c r="E1164" s="141">
        <v>2</v>
      </c>
      <c r="F1164" s="141">
        <v>90</v>
      </c>
      <c r="G1164" s="142"/>
      <c r="H1164" s="142">
        <v>180</v>
      </c>
      <c r="I1164" s="192">
        <v>63</v>
      </c>
    </row>
    <row r="1165" spans="1:9" x14ac:dyDescent="0.65">
      <c r="A1165" s="188">
        <v>40770</v>
      </c>
      <c r="B1165" s="35" t="s">
        <v>1344</v>
      </c>
      <c r="C1165" t="s">
        <v>1345</v>
      </c>
      <c r="D1165" t="s">
        <v>18</v>
      </c>
      <c r="E1165" s="141">
        <v>2</v>
      </c>
      <c r="F1165" s="141">
        <v>80</v>
      </c>
      <c r="G1165" s="142"/>
      <c r="H1165" s="142">
        <v>160</v>
      </c>
      <c r="I1165" s="192">
        <v>63</v>
      </c>
    </row>
    <row r="1166" spans="1:9" x14ac:dyDescent="0.65">
      <c r="A1166" s="188">
        <v>40770</v>
      </c>
      <c r="B1166" s="35" t="s">
        <v>1336</v>
      </c>
      <c r="C1166" t="s">
        <v>7</v>
      </c>
      <c r="D1166" t="s">
        <v>18</v>
      </c>
      <c r="E1166" s="141">
        <v>3</v>
      </c>
      <c r="F1166" s="141">
        <v>95</v>
      </c>
      <c r="G1166" s="142"/>
      <c r="H1166" s="142">
        <v>285</v>
      </c>
      <c r="I1166" s="192">
        <v>63</v>
      </c>
    </row>
    <row r="1167" spans="1:9" x14ac:dyDescent="0.65">
      <c r="A1167" s="188">
        <v>40770</v>
      </c>
      <c r="B1167" s="35" t="s">
        <v>7</v>
      </c>
      <c r="C1167" t="s">
        <v>7</v>
      </c>
      <c r="D1167" t="s">
        <v>18</v>
      </c>
      <c r="E1167" s="141">
        <v>2</v>
      </c>
      <c r="F1167" s="141">
        <v>39.39</v>
      </c>
      <c r="G1167" s="142"/>
      <c r="H1167" s="142">
        <v>78.78</v>
      </c>
      <c r="I1167" s="192">
        <v>63</v>
      </c>
    </row>
    <row r="1168" spans="1:9" x14ac:dyDescent="0.65">
      <c r="A1168" s="188">
        <v>40771</v>
      </c>
      <c r="B1168" s="35" t="s">
        <v>7</v>
      </c>
      <c r="C1168" t="s">
        <v>7</v>
      </c>
      <c r="D1168" t="s">
        <v>18</v>
      </c>
      <c r="E1168" s="141">
        <v>2</v>
      </c>
      <c r="F1168" s="141">
        <v>39.39</v>
      </c>
      <c r="G1168" s="142"/>
      <c r="H1168" s="142">
        <v>78.78</v>
      </c>
      <c r="I1168" s="192">
        <v>63</v>
      </c>
    </row>
    <row r="1169" spans="1:9" x14ac:dyDescent="0.65">
      <c r="A1169" s="188">
        <v>40771</v>
      </c>
      <c r="B1169" s="35" t="s">
        <v>7</v>
      </c>
      <c r="C1169" t="s">
        <v>7</v>
      </c>
      <c r="D1169" t="s">
        <v>18</v>
      </c>
      <c r="E1169" s="141">
        <v>3</v>
      </c>
      <c r="F1169" s="141">
        <v>32.200000000000003</v>
      </c>
      <c r="G1169" s="142"/>
      <c r="H1169" s="142">
        <v>96.6</v>
      </c>
      <c r="I1169" s="192">
        <v>63</v>
      </c>
    </row>
    <row r="1170" spans="1:9" x14ac:dyDescent="0.65">
      <c r="A1170" s="188">
        <v>40771</v>
      </c>
      <c r="B1170" s="35" t="s">
        <v>7</v>
      </c>
      <c r="C1170" t="s">
        <v>7</v>
      </c>
      <c r="D1170" t="s">
        <v>18</v>
      </c>
      <c r="E1170" s="141">
        <v>3</v>
      </c>
      <c r="F1170" s="141">
        <v>39.39</v>
      </c>
      <c r="G1170" s="142"/>
      <c r="H1170" s="142">
        <v>118.17</v>
      </c>
      <c r="I1170" s="192">
        <v>63</v>
      </c>
    </row>
    <row r="1171" spans="1:9" x14ac:dyDescent="0.65">
      <c r="A1171" s="188">
        <v>40771</v>
      </c>
      <c r="B1171" s="35" t="s">
        <v>1347</v>
      </c>
      <c r="C1171" t="s">
        <v>1348</v>
      </c>
      <c r="D1171" t="s">
        <v>18</v>
      </c>
      <c r="E1171" s="141">
        <v>2</v>
      </c>
      <c r="F1171" s="141">
        <v>90</v>
      </c>
      <c r="G1171" s="142"/>
      <c r="H1171" s="142">
        <v>180</v>
      </c>
      <c r="I1171" s="192">
        <v>63</v>
      </c>
    </row>
    <row r="1172" spans="1:9" x14ac:dyDescent="0.65">
      <c r="A1172" s="188">
        <v>40771</v>
      </c>
      <c r="B1172" s="35" t="s">
        <v>1336</v>
      </c>
      <c r="C1172" t="s">
        <v>7</v>
      </c>
      <c r="D1172" t="s">
        <v>18</v>
      </c>
      <c r="E1172" s="141">
        <v>3</v>
      </c>
      <c r="F1172" s="141">
        <v>95</v>
      </c>
      <c r="G1172" s="142"/>
      <c r="H1172" s="142">
        <v>285</v>
      </c>
      <c r="I1172" s="192">
        <v>63</v>
      </c>
    </row>
    <row r="1173" spans="1:9" x14ac:dyDescent="0.65">
      <c r="A1173" s="188">
        <v>40771</v>
      </c>
      <c r="B1173" s="35" t="s">
        <v>1344</v>
      </c>
      <c r="C1173" t="s">
        <v>1345</v>
      </c>
      <c r="D1173" t="s">
        <v>18</v>
      </c>
      <c r="E1173" s="141">
        <v>2</v>
      </c>
      <c r="F1173" s="141">
        <v>80</v>
      </c>
      <c r="G1173" s="142"/>
      <c r="H1173" s="142">
        <v>160</v>
      </c>
      <c r="I1173" s="192">
        <v>63</v>
      </c>
    </row>
    <row r="1174" spans="1:9" x14ac:dyDescent="0.65">
      <c r="A1174" s="188">
        <v>40772</v>
      </c>
      <c r="B1174" s="35" t="s">
        <v>7</v>
      </c>
      <c r="C1174" t="s">
        <v>7</v>
      </c>
      <c r="D1174" t="s">
        <v>18</v>
      </c>
      <c r="E1174" s="141">
        <v>3</v>
      </c>
      <c r="F1174" s="141">
        <v>39.39</v>
      </c>
      <c r="G1174" s="142"/>
      <c r="H1174" s="142">
        <v>118.17</v>
      </c>
      <c r="I1174" s="192">
        <v>63</v>
      </c>
    </row>
    <row r="1175" spans="1:9" x14ac:dyDescent="0.65">
      <c r="A1175" s="188">
        <v>40772</v>
      </c>
      <c r="B1175" s="35" t="s">
        <v>1344</v>
      </c>
      <c r="C1175" t="s">
        <v>1345</v>
      </c>
      <c r="D1175" t="s">
        <v>18</v>
      </c>
      <c r="E1175" s="141">
        <v>2</v>
      </c>
      <c r="F1175" s="141">
        <v>80</v>
      </c>
      <c r="G1175" s="142"/>
      <c r="H1175" s="142">
        <v>160</v>
      </c>
      <c r="I1175" s="192">
        <v>63</v>
      </c>
    </row>
    <row r="1176" spans="1:9" x14ac:dyDescent="0.65">
      <c r="A1176" s="188">
        <v>40772</v>
      </c>
      <c r="B1176" s="35" t="s">
        <v>1358</v>
      </c>
      <c r="C1176" t="s">
        <v>1359</v>
      </c>
      <c r="D1176" t="s">
        <v>98</v>
      </c>
      <c r="E1176" s="141">
        <v>1</v>
      </c>
      <c r="F1176" s="141">
        <v>365</v>
      </c>
      <c r="G1176" s="142"/>
      <c r="H1176" s="142">
        <v>365</v>
      </c>
      <c r="I1176" s="192">
        <v>63</v>
      </c>
    </row>
    <row r="1177" spans="1:9" x14ac:dyDescent="0.65">
      <c r="A1177" s="188">
        <v>40772</v>
      </c>
      <c r="B1177" s="35" t="s">
        <v>7</v>
      </c>
      <c r="C1177" t="s">
        <v>7</v>
      </c>
      <c r="D1177" t="s">
        <v>18</v>
      </c>
      <c r="E1177" s="141">
        <v>3</v>
      </c>
      <c r="F1177" s="141">
        <v>39.39</v>
      </c>
      <c r="G1177" s="142"/>
      <c r="H1177" s="142">
        <v>118.17</v>
      </c>
      <c r="I1177" s="192">
        <v>63</v>
      </c>
    </row>
    <row r="1178" spans="1:9" x14ac:dyDescent="0.65">
      <c r="A1178" s="188">
        <v>40772</v>
      </c>
      <c r="B1178" s="35" t="s">
        <v>7</v>
      </c>
      <c r="C1178" t="s">
        <v>7</v>
      </c>
      <c r="D1178" t="s">
        <v>18</v>
      </c>
      <c r="E1178" s="141">
        <v>3</v>
      </c>
      <c r="F1178" s="141">
        <v>32.200000000000003</v>
      </c>
      <c r="G1178" s="142"/>
      <c r="H1178" s="142">
        <v>96.6</v>
      </c>
      <c r="I1178" s="192">
        <v>63</v>
      </c>
    </row>
    <row r="1179" spans="1:9" x14ac:dyDescent="0.65">
      <c r="A1179" s="188">
        <v>40772</v>
      </c>
      <c r="B1179" s="35" t="s">
        <v>7</v>
      </c>
      <c r="C1179" t="s">
        <v>7</v>
      </c>
      <c r="D1179" t="s">
        <v>18</v>
      </c>
      <c r="E1179" s="141">
        <v>3</v>
      </c>
      <c r="F1179" s="141">
        <v>39.39</v>
      </c>
      <c r="G1179" s="142"/>
      <c r="H1179" s="142">
        <v>118.17</v>
      </c>
      <c r="I1179" s="192">
        <v>63</v>
      </c>
    </row>
    <row r="1180" spans="1:9" x14ac:dyDescent="0.65">
      <c r="A1180" s="188">
        <v>40772</v>
      </c>
      <c r="B1180" s="35" t="s">
        <v>1336</v>
      </c>
      <c r="C1180" t="s">
        <v>7</v>
      </c>
      <c r="D1180" t="s">
        <v>18</v>
      </c>
      <c r="E1180" s="141">
        <v>2.5</v>
      </c>
      <c r="F1180" s="141">
        <v>95</v>
      </c>
      <c r="G1180" s="142"/>
      <c r="H1180" s="142">
        <v>237.5</v>
      </c>
      <c r="I1180" s="192">
        <v>63</v>
      </c>
    </row>
    <row r="1181" spans="1:9" x14ac:dyDescent="0.65">
      <c r="A1181" s="188">
        <v>40773</v>
      </c>
      <c r="B1181" s="35" t="s">
        <v>1336</v>
      </c>
      <c r="C1181" t="s">
        <v>7</v>
      </c>
      <c r="D1181" t="s">
        <v>18</v>
      </c>
      <c r="E1181" s="141">
        <v>2</v>
      </c>
      <c r="F1181" s="141">
        <v>95</v>
      </c>
      <c r="G1181" s="142"/>
      <c r="H1181" s="142">
        <v>190</v>
      </c>
      <c r="I1181" s="192">
        <v>63</v>
      </c>
    </row>
    <row r="1182" spans="1:9" x14ac:dyDescent="0.65">
      <c r="A1182" s="188">
        <v>40773</v>
      </c>
      <c r="B1182" s="35" t="s">
        <v>1344</v>
      </c>
      <c r="C1182" t="s">
        <v>1345</v>
      </c>
      <c r="D1182" t="s">
        <v>18</v>
      </c>
      <c r="E1182" s="141">
        <v>1</v>
      </c>
      <c r="F1182" s="141">
        <v>80</v>
      </c>
      <c r="G1182" s="142"/>
      <c r="H1182" s="142">
        <v>80</v>
      </c>
      <c r="I1182" s="192">
        <v>63</v>
      </c>
    </row>
    <row r="1183" spans="1:9" x14ac:dyDescent="0.65">
      <c r="A1183" s="188">
        <v>40773</v>
      </c>
      <c r="B1183" s="35" t="s">
        <v>7</v>
      </c>
      <c r="C1183" t="s">
        <v>7</v>
      </c>
      <c r="D1183" t="s">
        <v>18</v>
      </c>
      <c r="E1183" s="141">
        <v>2</v>
      </c>
      <c r="F1183" s="141">
        <v>32.200000000000003</v>
      </c>
      <c r="G1183" s="142"/>
      <c r="H1183" s="142">
        <v>64.400000000000006</v>
      </c>
      <c r="I1183" s="192">
        <v>63</v>
      </c>
    </row>
    <row r="1184" spans="1:9" x14ac:dyDescent="0.65">
      <c r="A1184" s="188">
        <v>40773</v>
      </c>
      <c r="B1184" s="35" t="s">
        <v>7</v>
      </c>
      <c r="C1184" t="s">
        <v>7</v>
      </c>
      <c r="D1184" t="s">
        <v>18</v>
      </c>
      <c r="E1184" s="141">
        <v>2</v>
      </c>
      <c r="F1184" s="141">
        <v>39.39</v>
      </c>
      <c r="G1184" s="142"/>
      <c r="H1184" s="142">
        <v>78.78</v>
      </c>
      <c r="I1184" s="192">
        <v>63</v>
      </c>
    </row>
    <row r="1185" spans="1:9" x14ac:dyDescent="0.65">
      <c r="A1185" s="188">
        <v>40773</v>
      </c>
      <c r="B1185" s="35" t="s">
        <v>7</v>
      </c>
      <c r="C1185" t="s">
        <v>7</v>
      </c>
      <c r="D1185" t="s">
        <v>18</v>
      </c>
      <c r="E1185" s="141">
        <v>3</v>
      </c>
      <c r="F1185" s="141">
        <v>39.39</v>
      </c>
      <c r="G1185" s="142"/>
      <c r="H1185" s="142">
        <v>118.17</v>
      </c>
      <c r="I1185" s="192">
        <v>63</v>
      </c>
    </row>
    <row r="1186" spans="1:9" x14ac:dyDescent="0.65">
      <c r="A1186" s="188">
        <v>40774</v>
      </c>
      <c r="B1186" s="35" t="s">
        <v>1344</v>
      </c>
      <c r="C1186" t="s">
        <v>1345</v>
      </c>
      <c r="D1186" t="s">
        <v>18</v>
      </c>
      <c r="E1186" s="141">
        <v>4</v>
      </c>
      <c r="F1186" s="141">
        <v>80</v>
      </c>
      <c r="G1186" s="142"/>
      <c r="H1186" s="142">
        <v>320</v>
      </c>
      <c r="I1186" s="192">
        <v>63</v>
      </c>
    </row>
    <row r="1187" spans="1:9" x14ac:dyDescent="0.65">
      <c r="A1187" s="188">
        <v>40774</v>
      </c>
      <c r="B1187" s="35" t="s">
        <v>1358</v>
      </c>
      <c r="C1187" t="s">
        <v>1359</v>
      </c>
      <c r="D1187" t="s">
        <v>98</v>
      </c>
      <c r="E1187" s="141">
        <v>1</v>
      </c>
      <c r="F1187" s="141">
        <v>365</v>
      </c>
      <c r="G1187" s="142"/>
      <c r="H1187" s="142">
        <v>365</v>
      </c>
      <c r="I1187" s="192">
        <v>63</v>
      </c>
    </row>
    <row r="1188" spans="1:9" x14ac:dyDescent="0.65">
      <c r="A1188" s="188">
        <v>40774</v>
      </c>
      <c r="B1188" s="35" t="s">
        <v>7</v>
      </c>
      <c r="C1188" t="s">
        <v>7</v>
      </c>
      <c r="D1188" t="s">
        <v>18</v>
      </c>
      <c r="E1188" s="141">
        <v>5</v>
      </c>
      <c r="F1188" s="141">
        <v>39.39</v>
      </c>
      <c r="G1188" s="142"/>
      <c r="H1188" s="142">
        <v>196.95</v>
      </c>
      <c r="I1188" s="192">
        <v>63</v>
      </c>
    </row>
    <row r="1189" spans="1:9" x14ac:dyDescent="0.65">
      <c r="A1189" s="188">
        <v>40774</v>
      </c>
      <c r="B1189" s="35" t="s">
        <v>7</v>
      </c>
      <c r="C1189" t="s">
        <v>7</v>
      </c>
      <c r="D1189" t="s">
        <v>18</v>
      </c>
      <c r="E1189" s="141">
        <v>6.3</v>
      </c>
      <c r="F1189" s="141">
        <v>32.200000000000003</v>
      </c>
      <c r="G1189" s="142"/>
      <c r="H1189" s="142">
        <v>202.86</v>
      </c>
      <c r="I1189" s="192">
        <v>63</v>
      </c>
    </row>
    <row r="1190" spans="1:9" x14ac:dyDescent="0.65">
      <c r="A1190" s="188">
        <v>40774</v>
      </c>
      <c r="B1190" s="35" t="s">
        <v>1347</v>
      </c>
      <c r="C1190" t="s">
        <v>1348</v>
      </c>
      <c r="D1190" t="s">
        <v>18</v>
      </c>
      <c r="E1190" s="141">
        <v>7</v>
      </c>
      <c r="F1190" s="141">
        <v>90</v>
      </c>
      <c r="G1190" s="142"/>
      <c r="H1190" s="142">
        <v>630</v>
      </c>
      <c r="I1190" s="192">
        <v>63</v>
      </c>
    </row>
    <row r="1191" spans="1:9" x14ac:dyDescent="0.65">
      <c r="A1191" s="188">
        <v>40775</v>
      </c>
      <c r="B1191" s="35" t="s">
        <v>1358</v>
      </c>
      <c r="C1191" t="s">
        <v>1359</v>
      </c>
      <c r="D1191" t="s">
        <v>98</v>
      </c>
      <c r="E1191" s="141">
        <v>1</v>
      </c>
      <c r="F1191" s="141">
        <v>365</v>
      </c>
      <c r="G1191" s="142"/>
      <c r="H1191" s="142">
        <v>365</v>
      </c>
      <c r="I1191" s="192">
        <v>63</v>
      </c>
    </row>
    <row r="1192" spans="1:9" x14ac:dyDescent="0.65">
      <c r="A1192" s="188">
        <v>40775</v>
      </c>
      <c r="B1192" s="35" t="s">
        <v>1344</v>
      </c>
      <c r="C1192" t="s">
        <v>1345</v>
      </c>
      <c r="D1192" t="s">
        <v>18</v>
      </c>
      <c r="E1192" s="141">
        <v>5</v>
      </c>
      <c r="F1192" s="141">
        <v>80</v>
      </c>
      <c r="G1192" s="142"/>
      <c r="H1192" s="142">
        <v>400</v>
      </c>
      <c r="I1192" s="192">
        <v>63</v>
      </c>
    </row>
    <row r="1193" spans="1:9" x14ac:dyDescent="0.65">
      <c r="A1193" s="188">
        <v>40775</v>
      </c>
      <c r="B1193" s="35" t="s">
        <v>7</v>
      </c>
      <c r="C1193" t="s">
        <v>7</v>
      </c>
      <c r="D1193" t="s">
        <v>18</v>
      </c>
      <c r="E1193" s="141">
        <v>6.5</v>
      </c>
      <c r="F1193" s="141">
        <v>39.39</v>
      </c>
      <c r="G1193" s="142"/>
      <c r="H1193" s="142">
        <v>256.03500000000003</v>
      </c>
      <c r="I1193" s="192">
        <v>63</v>
      </c>
    </row>
    <row r="1194" spans="1:9" x14ac:dyDescent="0.65">
      <c r="A1194" s="188">
        <v>40775</v>
      </c>
      <c r="B1194" s="35" t="s">
        <v>7</v>
      </c>
      <c r="C1194" t="s">
        <v>7</v>
      </c>
      <c r="D1194" t="s">
        <v>18</v>
      </c>
      <c r="E1194" s="141">
        <v>6.3</v>
      </c>
      <c r="F1194" s="141">
        <v>32.200000000000003</v>
      </c>
      <c r="G1194" s="142"/>
      <c r="H1194" s="142">
        <v>202.86</v>
      </c>
      <c r="I1194" s="192">
        <v>63</v>
      </c>
    </row>
    <row r="1195" spans="1:9" x14ac:dyDescent="0.65">
      <c r="A1195" s="188">
        <v>40775</v>
      </c>
      <c r="B1195" s="35" t="s">
        <v>7</v>
      </c>
      <c r="C1195" t="s">
        <v>7</v>
      </c>
      <c r="D1195" t="s">
        <v>18</v>
      </c>
      <c r="E1195" s="141">
        <v>6.5</v>
      </c>
      <c r="F1195" s="141">
        <v>32.200000000000003</v>
      </c>
      <c r="G1195" s="142"/>
      <c r="H1195" s="142">
        <v>209.3</v>
      </c>
      <c r="I1195" s="192">
        <v>63</v>
      </c>
    </row>
    <row r="1196" spans="1:9" x14ac:dyDescent="0.65">
      <c r="A1196" s="188">
        <v>40775</v>
      </c>
      <c r="B1196" s="35" t="s">
        <v>401</v>
      </c>
      <c r="C1196" t="s">
        <v>1357</v>
      </c>
      <c r="D1196" t="s">
        <v>98</v>
      </c>
      <c r="E1196" s="141">
        <v>1</v>
      </c>
      <c r="F1196" s="141">
        <v>365</v>
      </c>
      <c r="G1196" s="142"/>
      <c r="H1196" s="142">
        <v>365</v>
      </c>
      <c r="I1196" s="192">
        <v>63</v>
      </c>
    </row>
    <row r="1197" spans="1:9" x14ac:dyDescent="0.65">
      <c r="A1197" s="188">
        <v>40775</v>
      </c>
      <c r="B1197" s="35" t="s">
        <v>1347</v>
      </c>
      <c r="C1197" t="s">
        <v>1348</v>
      </c>
      <c r="D1197" t="s">
        <v>18</v>
      </c>
      <c r="E1197" s="141">
        <v>5</v>
      </c>
      <c r="F1197" s="141">
        <v>90</v>
      </c>
      <c r="G1197" s="142"/>
      <c r="H1197" s="142">
        <v>450</v>
      </c>
      <c r="I1197" s="192">
        <v>63</v>
      </c>
    </row>
    <row r="1198" spans="1:9" x14ac:dyDescent="0.65">
      <c r="A1198" s="188">
        <v>40775</v>
      </c>
      <c r="B1198" s="35" t="s">
        <v>1336</v>
      </c>
      <c r="C1198" t="s">
        <v>7</v>
      </c>
      <c r="D1198" t="s">
        <v>18</v>
      </c>
      <c r="E1198" s="141">
        <v>6</v>
      </c>
      <c r="F1198" s="141">
        <v>95</v>
      </c>
      <c r="G1198" s="142"/>
      <c r="H1198" s="142">
        <v>570</v>
      </c>
      <c r="I1198" s="192">
        <v>63</v>
      </c>
    </row>
    <row r="1199" spans="1:9" x14ac:dyDescent="0.65">
      <c r="A1199" s="188">
        <v>40777</v>
      </c>
      <c r="B1199" s="35" t="s">
        <v>1336</v>
      </c>
      <c r="C1199" t="s">
        <v>7</v>
      </c>
      <c r="D1199" t="s">
        <v>18</v>
      </c>
      <c r="E1199" s="141">
        <v>2</v>
      </c>
      <c r="F1199" s="141">
        <v>95</v>
      </c>
      <c r="G1199" s="142"/>
      <c r="H1199" s="142">
        <v>190</v>
      </c>
      <c r="I1199" s="192">
        <v>63</v>
      </c>
    </row>
    <row r="1200" spans="1:9" x14ac:dyDescent="0.65">
      <c r="A1200" s="188">
        <v>40777</v>
      </c>
      <c r="B1200" s="35" t="s">
        <v>1358</v>
      </c>
      <c r="C1200" t="s">
        <v>1359</v>
      </c>
      <c r="D1200" t="s">
        <v>98</v>
      </c>
      <c r="E1200" s="141">
        <v>1</v>
      </c>
      <c r="F1200" s="141">
        <v>365</v>
      </c>
      <c r="G1200" s="142"/>
      <c r="H1200" s="142">
        <v>365</v>
      </c>
      <c r="I1200" s="192">
        <v>63</v>
      </c>
    </row>
    <row r="1201" spans="1:9" x14ac:dyDescent="0.65">
      <c r="A1201" s="188">
        <v>40777</v>
      </c>
      <c r="B1201" s="35" t="s">
        <v>7</v>
      </c>
      <c r="C1201" t="s">
        <v>7</v>
      </c>
      <c r="D1201" t="s">
        <v>18</v>
      </c>
      <c r="E1201" s="141">
        <v>2</v>
      </c>
      <c r="F1201" s="141">
        <v>32.200000000000003</v>
      </c>
      <c r="G1201" s="142"/>
      <c r="H1201" s="142">
        <v>64.400000000000006</v>
      </c>
      <c r="I1201" s="192">
        <v>63</v>
      </c>
    </row>
    <row r="1202" spans="1:9" x14ac:dyDescent="0.65">
      <c r="A1202" s="188">
        <v>40777</v>
      </c>
      <c r="B1202" s="35" t="s">
        <v>7</v>
      </c>
      <c r="C1202" t="s">
        <v>7</v>
      </c>
      <c r="D1202" t="s">
        <v>18</v>
      </c>
      <c r="E1202" s="141">
        <v>2</v>
      </c>
      <c r="F1202" s="141">
        <v>39.39</v>
      </c>
      <c r="G1202" s="142"/>
      <c r="H1202" s="142">
        <v>78.78</v>
      </c>
      <c r="I1202" s="192">
        <v>63</v>
      </c>
    </row>
    <row r="1203" spans="1:9" x14ac:dyDescent="0.65">
      <c r="A1203" s="188">
        <v>40779</v>
      </c>
      <c r="B1203" s="35" t="s">
        <v>7</v>
      </c>
      <c r="C1203" t="s">
        <v>7</v>
      </c>
      <c r="D1203" t="s">
        <v>18</v>
      </c>
      <c r="E1203" s="141">
        <v>4</v>
      </c>
      <c r="F1203" s="141">
        <v>39.39</v>
      </c>
      <c r="G1203" s="142"/>
      <c r="H1203" s="142">
        <v>157.56</v>
      </c>
      <c r="I1203" s="192">
        <v>63</v>
      </c>
    </row>
    <row r="1204" spans="1:9" x14ac:dyDescent="0.65">
      <c r="A1204" s="188">
        <v>40779</v>
      </c>
      <c r="B1204" s="35" t="s">
        <v>1344</v>
      </c>
      <c r="C1204" t="s">
        <v>1345</v>
      </c>
      <c r="D1204" t="s">
        <v>18</v>
      </c>
      <c r="E1204" s="141">
        <v>2.5</v>
      </c>
      <c r="F1204" s="141">
        <v>80</v>
      </c>
      <c r="G1204" s="142"/>
      <c r="H1204" s="142">
        <v>200</v>
      </c>
      <c r="I1204" s="192">
        <v>63</v>
      </c>
    </row>
    <row r="1205" spans="1:9" x14ac:dyDescent="0.65">
      <c r="A1205" s="188">
        <v>40779</v>
      </c>
      <c r="B1205" s="35" t="s">
        <v>7</v>
      </c>
      <c r="C1205" t="s">
        <v>7</v>
      </c>
      <c r="D1205" t="s">
        <v>18</v>
      </c>
      <c r="E1205" s="141">
        <v>4</v>
      </c>
      <c r="F1205" s="141">
        <v>32.200000000000003</v>
      </c>
      <c r="G1205" s="142"/>
      <c r="H1205" s="142">
        <v>128.80000000000001</v>
      </c>
      <c r="I1205" s="192">
        <v>63</v>
      </c>
    </row>
    <row r="1206" spans="1:9" x14ac:dyDescent="0.65">
      <c r="A1206" s="188">
        <v>40779</v>
      </c>
      <c r="B1206" s="35" t="s">
        <v>1336</v>
      </c>
      <c r="C1206" t="s">
        <v>7</v>
      </c>
      <c r="D1206" t="s">
        <v>18</v>
      </c>
      <c r="E1206" s="141">
        <v>2</v>
      </c>
      <c r="F1206" s="141">
        <v>95</v>
      </c>
      <c r="G1206" s="142"/>
      <c r="H1206" s="142">
        <v>190</v>
      </c>
      <c r="I1206" s="192">
        <v>63</v>
      </c>
    </row>
    <row r="1207" spans="1:9" x14ac:dyDescent="0.65">
      <c r="A1207" s="188">
        <v>40780</v>
      </c>
      <c r="B1207" s="35" t="s">
        <v>7</v>
      </c>
      <c r="C1207" t="s">
        <v>7</v>
      </c>
      <c r="D1207" t="s">
        <v>18</v>
      </c>
      <c r="E1207" s="141">
        <v>3</v>
      </c>
      <c r="F1207" s="141">
        <v>39.39</v>
      </c>
      <c r="G1207" s="142"/>
      <c r="H1207" s="142">
        <v>118.17</v>
      </c>
      <c r="I1207" s="192">
        <v>63</v>
      </c>
    </row>
    <row r="1208" spans="1:9" x14ac:dyDescent="0.65">
      <c r="A1208" s="188">
        <v>40780</v>
      </c>
      <c r="B1208" s="35" t="s">
        <v>7</v>
      </c>
      <c r="C1208" t="s">
        <v>7</v>
      </c>
      <c r="D1208" t="s">
        <v>18</v>
      </c>
      <c r="E1208" s="141">
        <v>3</v>
      </c>
      <c r="F1208" s="141">
        <v>32.200000000000003</v>
      </c>
      <c r="G1208" s="142"/>
      <c r="H1208" s="142">
        <v>96.6</v>
      </c>
      <c r="I1208" s="192">
        <v>63</v>
      </c>
    </row>
    <row r="1209" spans="1:9" x14ac:dyDescent="0.65">
      <c r="A1209" s="188">
        <v>40780</v>
      </c>
      <c r="B1209" s="35" t="s">
        <v>1336</v>
      </c>
      <c r="C1209" t="s">
        <v>7</v>
      </c>
      <c r="D1209" t="s">
        <v>18</v>
      </c>
      <c r="E1209" s="141">
        <v>2</v>
      </c>
      <c r="F1209" s="141">
        <v>95</v>
      </c>
      <c r="G1209" s="142"/>
      <c r="H1209" s="142">
        <v>190</v>
      </c>
      <c r="I1209" s="192">
        <v>63</v>
      </c>
    </row>
    <row r="1210" spans="1:9" x14ac:dyDescent="0.65">
      <c r="A1210" s="188">
        <v>40780</v>
      </c>
      <c r="B1210" s="35" t="s">
        <v>1344</v>
      </c>
      <c r="C1210" t="s">
        <v>1345</v>
      </c>
      <c r="D1210" t="s">
        <v>18</v>
      </c>
      <c r="E1210" s="141">
        <v>2</v>
      </c>
      <c r="F1210" s="141">
        <v>80</v>
      </c>
      <c r="G1210" s="142"/>
      <c r="H1210" s="142">
        <v>160</v>
      </c>
      <c r="I1210" s="192">
        <v>63</v>
      </c>
    </row>
    <row r="1211" spans="1:9" x14ac:dyDescent="0.65">
      <c r="A1211" s="188">
        <v>40788</v>
      </c>
      <c r="B1211" s="35" t="s">
        <v>7</v>
      </c>
      <c r="C1211" t="s">
        <v>7</v>
      </c>
      <c r="D1211" t="s">
        <v>18</v>
      </c>
      <c r="E1211" s="141">
        <v>2.5</v>
      </c>
      <c r="F1211" s="141">
        <v>32.200000000000003</v>
      </c>
      <c r="G1211" s="142"/>
      <c r="H1211" s="142">
        <v>80.5</v>
      </c>
      <c r="I1211" s="192">
        <v>63</v>
      </c>
    </row>
    <row r="1212" spans="1:9" x14ac:dyDescent="0.65">
      <c r="A1212" s="188">
        <v>40788</v>
      </c>
      <c r="B1212" s="35" t="s">
        <v>1336</v>
      </c>
      <c r="C1212" t="s">
        <v>7</v>
      </c>
      <c r="D1212" t="s">
        <v>18</v>
      </c>
      <c r="E1212" s="141">
        <v>2</v>
      </c>
      <c r="F1212" s="141">
        <v>95</v>
      </c>
      <c r="G1212" s="142"/>
      <c r="H1212" s="142">
        <v>190</v>
      </c>
      <c r="I1212" s="192">
        <v>63</v>
      </c>
    </row>
    <row r="1213" spans="1:9" x14ac:dyDescent="0.65">
      <c r="A1213" s="188">
        <v>40788</v>
      </c>
      <c r="B1213" s="35" t="s">
        <v>1344</v>
      </c>
      <c r="C1213" t="s">
        <v>1345</v>
      </c>
      <c r="D1213" t="s">
        <v>18</v>
      </c>
      <c r="E1213" s="141">
        <v>2</v>
      </c>
      <c r="F1213" s="141">
        <v>80</v>
      </c>
      <c r="G1213" s="142"/>
      <c r="H1213" s="142">
        <v>160</v>
      </c>
      <c r="I1213" s="192">
        <v>63</v>
      </c>
    </row>
    <row r="1214" spans="1:9" x14ac:dyDescent="0.65">
      <c r="A1214" s="188">
        <v>40788</v>
      </c>
      <c r="B1214" s="35" t="s">
        <v>7</v>
      </c>
      <c r="C1214" t="s">
        <v>7</v>
      </c>
      <c r="D1214" t="s">
        <v>18</v>
      </c>
      <c r="E1214" s="141">
        <v>2.5</v>
      </c>
      <c r="F1214" s="141">
        <v>39.39</v>
      </c>
      <c r="G1214" s="142"/>
      <c r="H1214" s="142">
        <v>98.474999999999994</v>
      </c>
      <c r="I1214" s="192">
        <v>63</v>
      </c>
    </row>
    <row r="1215" spans="1:9" x14ac:dyDescent="0.65">
      <c r="A1215" s="188">
        <v>40793</v>
      </c>
      <c r="B1215" s="35" t="s">
        <v>1344</v>
      </c>
      <c r="C1215" t="s">
        <v>1345</v>
      </c>
      <c r="D1215" t="s">
        <v>18</v>
      </c>
      <c r="E1215" s="141">
        <v>2</v>
      </c>
      <c r="F1215" s="141">
        <v>80</v>
      </c>
      <c r="G1215" s="142"/>
      <c r="H1215" s="142">
        <v>160</v>
      </c>
      <c r="I1215" s="192">
        <v>63</v>
      </c>
    </row>
    <row r="1216" spans="1:9" x14ac:dyDescent="0.65">
      <c r="A1216" s="188">
        <v>40793</v>
      </c>
      <c r="B1216" s="35" t="s">
        <v>1358</v>
      </c>
      <c r="C1216" t="s">
        <v>1359</v>
      </c>
      <c r="D1216" t="s">
        <v>98</v>
      </c>
      <c r="E1216" s="141">
        <v>1</v>
      </c>
      <c r="F1216" s="141">
        <v>365</v>
      </c>
      <c r="G1216" s="142"/>
      <c r="H1216" s="142">
        <v>365</v>
      </c>
      <c r="I1216" s="192">
        <v>63</v>
      </c>
    </row>
    <row r="1217" spans="1:9" x14ac:dyDescent="0.65">
      <c r="A1217" s="188">
        <v>40793</v>
      </c>
      <c r="B1217" s="35" t="s">
        <v>7</v>
      </c>
      <c r="C1217" t="s">
        <v>7</v>
      </c>
      <c r="D1217" t="s">
        <v>18</v>
      </c>
      <c r="E1217" s="141">
        <v>2</v>
      </c>
      <c r="F1217" s="141">
        <v>32.200000000000003</v>
      </c>
      <c r="G1217" s="142"/>
      <c r="H1217" s="142">
        <v>64.400000000000006</v>
      </c>
      <c r="I1217" s="192">
        <v>63</v>
      </c>
    </row>
    <row r="1218" spans="1:9" x14ac:dyDescent="0.65">
      <c r="A1218" s="188">
        <v>40793</v>
      </c>
      <c r="B1218" s="35" t="s">
        <v>1336</v>
      </c>
      <c r="C1218" t="s">
        <v>7</v>
      </c>
      <c r="D1218" t="s">
        <v>18</v>
      </c>
      <c r="E1218" s="141">
        <v>2</v>
      </c>
      <c r="F1218" s="141">
        <v>95</v>
      </c>
      <c r="G1218" s="142"/>
      <c r="H1218" s="142">
        <v>190</v>
      </c>
      <c r="I1218" s="192">
        <v>63</v>
      </c>
    </row>
    <row r="1219" spans="1:9" x14ac:dyDescent="0.65">
      <c r="A1219" s="188">
        <v>40793</v>
      </c>
      <c r="B1219" s="35" t="s">
        <v>7</v>
      </c>
      <c r="C1219" t="s">
        <v>7</v>
      </c>
      <c r="D1219" t="s">
        <v>18</v>
      </c>
      <c r="E1219" s="141">
        <v>2</v>
      </c>
      <c r="F1219" s="141">
        <v>39.39</v>
      </c>
      <c r="G1219" s="142"/>
      <c r="H1219" s="142">
        <v>78.78</v>
      </c>
      <c r="I1219" s="192">
        <v>63</v>
      </c>
    </row>
    <row r="1220" spans="1:9" x14ac:dyDescent="0.65">
      <c r="A1220" s="188">
        <v>40794</v>
      </c>
      <c r="B1220" s="35" t="s">
        <v>1347</v>
      </c>
      <c r="C1220" t="s">
        <v>1348</v>
      </c>
      <c r="D1220" t="s">
        <v>18</v>
      </c>
      <c r="E1220" s="141">
        <v>5</v>
      </c>
      <c r="F1220" s="141">
        <v>90</v>
      </c>
      <c r="G1220" s="142"/>
      <c r="H1220" s="142">
        <v>450</v>
      </c>
      <c r="I1220" s="192">
        <v>63</v>
      </c>
    </row>
    <row r="1221" spans="1:9" x14ac:dyDescent="0.65">
      <c r="A1221" s="188">
        <v>40794</v>
      </c>
      <c r="B1221" s="35" t="s">
        <v>1344</v>
      </c>
      <c r="C1221" t="s">
        <v>1345</v>
      </c>
      <c r="D1221" t="s">
        <v>18</v>
      </c>
      <c r="E1221" s="141">
        <v>4</v>
      </c>
      <c r="F1221" s="141">
        <v>80</v>
      </c>
      <c r="G1221" s="142"/>
      <c r="H1221" s="142">
        <v>320</v>
      </c>
      <c r="I1221" s="192">
        <v>63</v>
      </c>
    </row>
    <row r="1222" spans="1:9" x14ac:dyDescent="0.65">
      <c r="A1222" s="188">
        <v>40794</v>
      </c>
      <c r="B1222" s="35" t="s">
        <v>1358</v>
      </c>
      <c r="C1222" t="s">
        <v>1359</v>
      </c>
      <c r="D1222" t="s">
        <v>98</v>
      </c>
      <c r="E1222" s="141">
        <v>1</v>
      </c>
      <c r="F1222" s="141">
        <v>365</v>
      </c>
      <c r="G1222" s="142"/>
      <c r="H1222" s="142">
        <v>365</v>
      </c>
      <c r="I1222" s="192">
        <v>63</v>
      </c>
    </row>
    <row r="1223" spans="1:9" x14ac:dyDescent="0.65">
      <c r="A1223" s="188">
        <v>40794</v>
      </c>
      <c r="B1223" s="35" t="s">
        <v>1336</v>
      </c>
      <c r="C1223" t="s">
        <v>7</v>
      </c>
      <c r="D1223" t="s">
        <v>18</v>
      </c>
      <c r="E1223" s="141">
        <v>2</v>
      </c>
      <c r="F1223" s="141">
        <v>95</v>
      </c>
      <c r="G1223" s="142"/>
      <c r="H1223" s="142">
        <v>190</v>
      </c>
      <c r="I1223" s="192">
        <v>63</v>
      </c>
    </row>
    <row r="1224" spans="1:9" x14ac:dyDescent="0.65">
      <c r="A1224" s="188">
        <v>40794</v>
      </c>
      <c r="B1224" s="35" t="s">
        <v>7</v>
      </c>
      <c r="C1224" t="s">
        <v>7</v>
      </c>
      <c r="D1224" t="s">
        <v>18</v>
      </c>
      <c r="E1224" s="141">
        <v>4</v>
      </c>
      <c r="F1224" s="141">
        <v>39.39</v>
      </c>
      <c r="G1224" s="142"/>
      <c r="H1224" s="142">
        <v>157.56</v>
      </c>
      <c r="I1224" s="192">
        <v>63</v>
      </c>
    </row>
    <row r="1225" spans="1:9" x14ac:dyDescent="0.65">
      <c r="A1225" s="188">
        <v>40794</v>
      </c>
      <c r="B1225" s="35" t="s">
        <v>7</v>
      </c>
      <c r="C1225" t="s">
        <v>7</v>
      </c>
      <c r="D1225" t="s">
        <v>18</v>
      </c>
      <c r="E1225" s="141">
        <v>4</v>
      </c>
      <c r="F1225" s="141">
        <v>39.39</v>
      </c>
      <c r="G1225" s="142"/>
      <c r="H1225" s="142">
        <v>157.56</v>
      </c>
      <c r="I1225" s="192">
        <v>63</v>
      </c>
    </row>
    <row r="1226" spans="1:9" x14ac:dyDescent="0.65">
      <c r="A1226" s="188">
        <v>40794</v>
      </c>
      <c r="B1226" s="35" t="s">
        <v>7</v>
      </c>
      <c r="C1226" t="s">
        <v>7</v>
      </c>
      <c r="D1226" t="s">
        <v>18</v>
      </c>
      <c r="E1226" s="141">
        <v>4</v>
      </c>
      <c r="F1226" s="141">
        <v>32.200000000000003</v>
      </c>
      <c r="G1226" s="142"/>
      <c r="H1226" s="142">
        <v>128.80000000000001</v>
      </c>
      <c r="I1226" s="192">
        <v>63</v>
      </c>
    </row>
    <row r="1227" spans="1:9" x14ac:dyDescent="0.65">
      <c r="A1227" s="188">
        <v>40795</v>
      </c>
      <c r="B1227" s="35" t="s">
        <v>1358</v>
      </c>
      <c r="C1227" t="s">
        <v>1359</v>
      </c>
      <c r="D1227" t="s">
        <v>98</v>
      </c>
      <c r="E1227" s="141">
        <v>1</v>
      </c>
      <c r="F1227" s="141">
        <v>365</v>
      </c>
      <c r="G1227" s="142"/>
      <c r="H1227" s="142">
        <v>365</v>
      </c>
      <c r="I1227" s="192">
        <v>63</v>
      </c>
    </row>
    <row r="1228" spans="1:9" x14ac:dyDescent="0.65">
      <c r="A1228" s="188">
        <v>40796</v>
      </c>
      <c r="B1228" s="35" t="s">
        <v>1347</v>
      </c>
      <c r="C1228" t="s">
        <v>1348</v>
      </c>
      <c r="D1228" t="s">
        <v>18</v>
      </c>
      <c r="E1228" s="141">
        <v>2</v>
      </c>
      <c r="F1228" s="141">
        <v>90</v>
      </c>
      <c r="G1228" s="142"/>
      <c r="H1228" s="142">
        <v>180</v>
      </c>
      <c r="I1228" s="192">
        <v>63</v>
      </c>
    </row>
    <row r="1229" spans="1:9" x14ac:dyDescent="0.65">
      <c r="A1229" s="188">
        <v>40796</v>
      </c>
      <c r="B1229" s="35" t="s">
        <v>1344</v>
      </c>
      <c r="C1229" t="s">
        <v>1345</v>
      </c>
      <c r="D1229" t="s">
        <v>18</v>
      </c>
      <c r="E1229" s="141">
        <v>1</v>
      </c>
      <c r="F1229" s="141">
        <v>80</v>
      </c>
      <c r="G1229" s="142"/>
      <c r="H1229" s="142">
        <v>80</v>
      </c>
      <c r="I1229" s="192">
        <v>63</v>
      </c>
    </row>
    <row r="1230" spans="1:9" x14ac:dyDescent="0.65">
      <c r="A1230" s="188">
        <v>40796</v>
      </c>
      <c r="B1230" s="35" t="s">
        <v>7</v>
      </c>
      <c r="C1230" t="s">
        <v>7</v>
      </c>
      <c r="D1230" t="s">
        <v>18</v>
      </c>
      <c r="E1230" s="141">
        <v>2</v>
      </c>
      <c r="F1230" s="141">
        <v>39.39</v>
      </c>
      <c r="G1230" s="142"/>
      <c r="H1230" s="142">
        <v>78.78</v>
      </c>
      <c r="I1230" s="192">
        <v>63</v>
      </c>
    </row>
    <row r="1231" spans="1:9" x14ac:dyDescent="0.65">
      <c r="A1231" s="188">
        <v>40801</v>
      </c>
      <c r="B1231" s="35" t="s">
        <v>7</v>
      </c>
      <c r="C1231" t="s">
        <v>7</v>
      </c>
      <c r="D1231" t="s">
        <v>18</v>
      </c>
      <c r="E1231" s="141">
        <v>2</v>
      </c>
      <c r="F1231" s="141">
        <v>35.35</v>
      </c>
      <c r="G1231" s="142"/>
      <c r="H1231" s="142">
        <v>70.7</v>
      </c>
      <c r="I1231" s="192">
        <v>63</v>
      </c>
    </row>
    <row r="1232" spans="1:9" x14ac:dyDescent="0.65">
      <c r="A1232" s="188">
        <v>40801</v>
      </c>
      <c r="B1232" s="35" t="s">
        <v>1344</v>
      </c>
      <c r="C1232" t="s">
        <v>1345</v>
      </c>
      <c r="D1232" t="s">
        <v>18</v>
      </c>
      <c r="E1232" s="141">
        <v>2</v>
      </c>
      <c r="F1232" s="141">
        <v>80</v>
      </c>
      <c r="G1232" s="142"/>
      <c r="H1232" s="142">
        <v>160</v>
      </c>
      <c r="I1232" s="192">
        <v>63</v>
      </c>
    </row>
    <row r="1233" spans="1:9" x14ac:dyDescent="0.65">
      <c r="A1233" s="188">
        <v>40806</v>
      </c>
      <c r="B1233" s="35" t="s">
        <v>7</v>
      </c>
      <c r="C1233" t="s">
        <v>7</v>
      </c>
      <c r="D1233" t="s">
        <v>18</v>
      </c>
      <c r="E1233" s="141">
        <v>1.5</v>
      </c>
      <c r="F1233" s="141">
        <v>35.35</v>
      </c>
      <c r="G1233" s="142"/>
      <c r="H1233" s="142">
        <v>53.024999999999999</v>
      </c>
      <c r="I1233" s="192">
        <v>63</v>
      </c>
    </row>
    <row r="1234" spans="1:9" x14ac:dyDescent="0.65">
      <c r="A1234" s="188">
        <v>40806</v>
      </c>
      <c r="B1234" s="35" t="s">
        <v>7</v>
      </c>
      <c r="C1234" t="s">
        <v>7</v>
      </c>
      <c r="D1234" t="s">
        <v>18</v>
      </c>
      <c r="E1234" s="141">
        <v>1.5</v>
      </c>
      <c r="F1234" s="141">
        <v>35.35</v>
      </c>
      <c r="G1234" s="142"/>
      <c r="H1234" s="142">
        <v>53.024999999999999</v>
      </c>
      <c r="I1234" s="192">
        <v>63</v>
      </c>
    </row>
    <row r="1235" spans="1:9" x14ac:dyDescent="0.65">
      <c r="A1235" s="188">
        <v>40809</v>
      </c>
      <c r="B1235" s="35" t="s">
        <v>1344</v>
      </c>
      <c r="C1235" t="s">
        <v>1345</v>
      </c>
      <c r="D1235" t="s">
        <v>18</v>
      </c>
      <c r="E1235" s="141">
        <v>2</v>
      </c>
      <c r="F1235" s="141">
        <v>80</v>
      </c>
      <c r="G1235" s="142"/>
      <c r="H1235" s="142">
        <v>160</v>
      </c>
      <c r="I1235" s="192">
        <v>63</v>
      </c>
    </row>
    <row r="1236" spans="1:9" x14ac:dyDescent="0.65">
      <c r="A1236" s="188">
        <v>40809</v>
      </c>
      <c r="B1236" s="35" t="s">
        <v>1347</v>
      </c>
      <c r="C1236" t="s">
        <v>1348</v>
      </c>
      <c r="D1236" t="s">
        <v>18</v>
      </c>
      <c r="E1236" s="141">
        <v>2.5</v>
      </c>
      <c r="F1236" s="141">
        <v>90</v>
      </c>
      <c r="G1236" s="142"/>
      <c r="H1236" s="142">
        <v>225</v>
      </c>
      <c r="I1236" s="192">
        <v>63</v>
      </c>
    </row>
    <row r="1237" spans="1:9" x14ac:dyDescent="0.65">
      <c r="A1237" s="188">
        <v>40809</v>
      </c>
      <c r="B1237" s="35" t="s">
        <v>1336</v>
      </c>
      <c r="C1237" t="s">
        <v>7</v>
      </c>
      <c r="D1237" t="s">
        <v>18</v>
      </c>
      <c r="E1237" s="141">
        <v>2.5</v>
      </c>
      <c r="F1237" s="141">
        <v>95</v>
      </c>
      <c r="G1237" s="142"/>
      <c r="H1237" s="142">
        <v>237.5</v>
      </c>
      <c r="I1237" s="192">
        <v>63</v>
      </c>
    </row>
    <row r="1238" spans="1:9" x14ac:dyDescent="0.65">
      <c r="A1238" s="188">
        <v>40809</v>
      </c>
      <c r="B1238" s="35" t="s">
        <v>7</v>
      </c>
      <c r="C1238" t="s">
        <v>7</v>
      </c>
      <c r="D1238" t="s">
        <v>18</v>
      </c>
      <c r="E1238" s="141">
        <v>2.5</v>
      </c>
      <c r="F1238" s="141">
        <v>35.35</v>
      </c>
      <c r="G1238" s="142"/>
      <c r="H1238" s="142">
        <v>88.375</v>
      </c>
      <c r="I1238" s="192">
        <v>63</v>
      </c>
    </row>
    <row r="1239" spans="1:9" x14ac:dyDescent="0.65">
      <c r="A1239" s="188">
        <v>40809</v>
      </c>
      <c r="B1239" s="35" t="s">
        <v>7</v>
      </c>
      <c r="C1239" t="s">
        <v>7</v>
      </c>
      <c r="D1239" t="s">
        <v>18</v>
      </c>
      <c r="E1239" s="141">
        <v>2</v>
      </c>
      <c r="F1239" s="141">
        <v>35.35</v>
      </c>
      <c r="G1239" s="142"/>
      <c r="H1239" s="142">
        <v>70.7</v>
      </c>
      <c r="I1239" s="192">
        <v>63</v>
      </c>
    </row>
    <row r="1240" spans="1:9" x14ac:dyDescent="0.65">
      <c r="A1240" s="188">
        <v>40813</v>
      </c>
      <c r="B1240" s="35" t="s">
        <v>1344</v>
      </c>
      <c r="C1240" t="s">
        <v>1345</v>
      </c>
      <c r="D1240" t="s">
        <v>18</v>
      </c>
      <c r="E1240" s="141">
        <v>3</v>
      </c>
      <c r="F1240" s="141">
        <v>80</v>
      </c>
      <c r="G1240" s="142"/>
      <c r="H1240" s="142">
        <v>240</v>
      </c>
      <c r="I1240" s="192">
        <v>63</v>
      </c>
    </row>
    <row r="1241" spans="1:9" x14ac:dyDescent="0.65">
      <c r="A1241" s="188">
        <v>40813</v>
      </c>
      <c r="B1241" s="35" t="s">
        <v>1347</v>
      </c>
      <c r="C1241" t="s">
        <v>1348</v>
      </c>
      <c r="D1241" t="s">
        <v>18</v>
      </c>
      <c r="E1241" s="141">
        <v>2.5</v>
      </c>
      <c r="F1241" s="141">
        <v>90</v>
      </c>
      <c r="G1241" s="142"/>
      <c r="H1241" s="142">
        <v>225</v>
      </c>
      <c r="I1241" s="192">
        <v>63</v>
      </c>
    </row>
    <row r="1242" spans="1:9" x14ac:dyDescent="0.65">
      <c r="A1242" s="188">
        <v>40813</v>
      </c>
      <c r="B1242" s="35" t="s">
        <v>7</v>
      </c>
      <c r="C1242" t="s">
        <v>7</v>
      </c>
      <c r="D1242" t="s">
        <v>18</v>
      </c>
      <c r="E1242" s="141">
        <v>7.5</v>
      </c>
      <c r="F1242" s="141">
        <v>35.35</v>
      </c>
      <c r="G1242" s="142"/>
      <c r="H1242" s="142">
        <v>265.125</v>
      </c>
      <c r="I1242" s="192">
        <v>63</v>
      </c>
    </row>
    <row r="1243" spans="1:9" x14ac:dyDescent="0.65">
      <c r="A1243" s="188">
        <v>40813</v>
      </c>
      <c r="B1243" s="35" t="s">
        <v>7</v>
      </c>
      <c r="C1243" t="s">
        <v>7</v>
      </c>
      <c r="D1243" t="s">
        <v>18</v>
      </c>
      <c r="E1243" s="141">
        <v>3.5</v>
      </c>
      <c r="F1243" s="141">
        <v>35.35</v>
      </c>
      <c r="G1243" s="142"/>
      <c r="H1243" s="142">
        <v>123.72499999999999</v>
      </c>
      <c r="I1243" s="192">
        <v>63</v>
      </c>
    </row>
    <row r="1244" spans="1:9" x14ac:dyDescent="0.65">
      <c r="A1244" s="188">
        <v>40813</v>
      </c>
      <c r="B1244" s="35" t="s">
        <v>1336</v>
      </c>
      <c r="C1244" t="s">
        <v>7</v>
      </c>
      <c r="D1244" t="s">
        <v>18</v>
      </c>
      <c r="E1244" s="141">
        <v>10</v>
      </c>
      <c r="F1244" s="141">
        <v>95</v>
      </c>
      <c r="G1244" s="142"/>
      <c r="H1244" s="142">
        <v>950</v>
      </c>
      <c r="I1244" s="192">
        <v>63</v>
      </c>
    </row>
    <row r="1245" spans="1:9" x14ac:dyDescent="0.65">
      <c r="A1245" s="188">
        <v>40814</v>
      </c>
      <c r="B1245" s="35" t="s">
        <v>1347</v>
      </c>
      <c r="C1245" t="s">
        <v>1348</v>
      </c>
      <c r="D1245" t="s">
        <v>18</v>
      </c>
      <c r="E1245" s="141">
        <v>3</v>
      </c>
      <c r="F1245" s="141">
        <v>90</v>
      </c>
      <c r="G1245" s="142"/>
      <c r="H1245" s="142">
        <v>270</v>
      </c>
      <c r="I1245" s="192">
        <v>63</v>
      </c>
    </row>
    <row r="1246" spans="1:9" x14ac:dyDescent="0.65">
      <c r="A1246" s="188">
        <v>40814</v>
      </c>
      <c r="B1246" s="35" t="s">
        <v>1344</v>
      </c>
      <c r="C1246" t="s">
        <v>1345</v>
      </c>
      <c r="D1246" t="s">
        <v>18</v>
      </c>
      <c r="E1246" s="141">
        <v>2</v>
      </c>
      <c r="F1246" s="141">
        <v>80</v>
      </c>
      <c r="G1246" s="142"/>
      <c r="H1246" s="142">
        <v>160</v>
      </c>
      <c r="I1246" s="192">
        <v>63</v>
      </c>
    </row>
    <row r="1247" spans="1:9" x14ac:dyDescent="0.65">
      <c r="A1247" s="188">
        <v>40814</v>
      </c>
      <c r="B1247" s="35" t="s">
        <v>1336</v>
      </c>
      <c r="C1247" t="s">
        <v>7</v>
      </c>
      <c r="D1247" t="s">
        <v>18</v>
      </c>
      <c r="E1247" s="141">
        <v>4</v>
      </c>
      <c r="F1247" s="141">
        <v>95</v>
      </c>
      <c r="G1247" s="142"/>
      <c r="H1247" s="142">
        <v>380</v>
      </c>
      <c r="I1247" s="192">
        <v>63</v>
      </c>
    </row>
    <row r="1248" spans="1:9" x14ac:dyDescent="0.65">
      <c r="A1248" s="188">
        <v>40814</v>
      </c>
      <c r="B1248" s="35" t="s">
        <v>7</v>
      </c>
      <c r="C1248" t="s">
        <v>7</v>
      </c>
      <c r="D1248" t="s">
        <v>18</v>
      </c>
      <c r="E1248" s="141">
        <v>4</v>
      </c>
      <c r="F1248" s="141">
        <v>35.35</v>
      </c>
      <c r="G1248" s="142"/>
      <c r="H1248" s="142">
        <v>141.4</v>
      </c>
      <c r="I1248" s="192">
        <v>63</v>
      </c>
    </row>
    <row r="1249" spans="1:9" x14ac:dyDescent="0.65">
      <c r="A1249" s="188">
        <v>40815</v>
      </c>
      <c r="B1249" s="35" t="s">
        <v>1347</v>
      </c>
      <c r="C1249" t="s">
        <v>1348</v>
      </c>
      <c r="D1249" t="s">
        <v>18</v>
      </c>
      <c r="E1249" s="141">
        <v>4</v>
      </c>
      <c r="F1249" s="141">
        <v>90</v>
      </c>
      <c r="G1249" s="142"/>
      <c r="H1249" s="142">
        <v>360</v>
      </c>
      <c r="I1249" s="192">
        <v>63</v>
      </c>
    </row>
    <row r="1250" spans="1:9" x14ac:dyDescent="0.65">
      <c r="A1250" s="188">
        <v>40815</v>
      </c>
      <c r="B1250" s="35" t="s">
        <v>1336</v>
      </c>
      <c r="C1250" t="s">
        <v>7</v>
      </c>
      <c r="D1250" t="s">
        <v>18</v>
      </c>
      <c r="E1250" s="141">
        <v>4</v>
      </c>
      <c r="F1250" s="141">
        <v>95</v>
      </c>
      <c r="G1250" s="142"/>
      <c r="H1250" s="142">
        <v>380</v>
      </c>
      <c r="I1250" s="192">
        <v>63</v>
      </c>
    </row>
    <row r="1251" spans="1:9" x14ac:dyDescent="0.65">
      <c r="A1251" s="188">
        <v>40815</v>
      </c>
      <c r="B1251" s="35" t="s">
        <v>1344</v>
      </c>
      <c r="C1251" t="s">
        <v>1345</v>
      </c>
      <c r="D1251" t="s">
        <v>18</v>
      </c>
      <c r="E1251" s="141">
        <v>2</v>
      </c>
      <c r="F1251" s="141">
        <v>80</v>
      </c>
      <c r="G1251" s="142"/>
      <c r="H1251" s="142">
        <v>160</v>
      </c>
      <c r="I1251" s="192">
        <v>63</v>
      </c>
    </row>
    <row r="1252" spans="1:9" x14ac:dyDescent="0.65">
      <c r="A1252" s="188">
        <v>40815</v>
      </c>
      <c r="B1252" s="35" t="s">
        <v>1358</v>
      </c>
      <c r="C1252" t="s">
        <v>1359</v>
      </c>
      <c r="D1252" t="s">
        <v>98</v>
      </c>
      <c r="E1252" s="141">
        <v>1</v>
      </c>
      <c r="F1252" s="141">
        <v>365</v>
      </c>
      <c r="G1252" s="142"/>
      <c r="H1252" s="142">
        <v>365</v>
      </c>
      <c r="I1252" s="192">
        <v>63</v>
      </c>
    </row>
    <row r="1253" spans="1:9" x14ac:dyDescent="0.65">
      <c r="A1253" s="188">
        <v>40815</v>
      </c>
      <c r="B1253" s="35" t="s">
        <v>7</v>
      </c>
      <c r="C1253" t="s">
        <v>7</v>
      </c>
      <c r="D1253" t="s">
        <v>18</v>
      </c>
      <c r="E1253" s="141">
        <v>4</v>
      </c>
      <c r="F1253" s="141">
        <v>35.35</v>
      </c>
      <c r="G1253" s="142"/>
      <c r="H1253" s="142">
        <v>141.4</v>
      </c>
      <c r="I1253" s="192">
        <v>63</v>
      </c>
    </row>
    <row r="1254" spans="1:9" x14ac:dyDescent="0.65">
      <c r="A1254" s="188">
        <v>40815</v>
      </c>
      <c r="B1254" s="35" t="s">
        <v>7</v>
      </c>
      <c r="C1254" t="s">
        <v>7</v>
      </c>
      <c r="D1254" t="s">
        <v>18</v>
      </c>
      <c r="E1254" s="141">
        <v>4</v>
      </c>
      <c r="F1254" s="141">
        <v>35.35</v>
      </c>
      <c r="G1254" s="142"/>
      <c r="H1254" s="142">
        <v>141.4</v>
      </c>
      <c r="I1254" s="192">
        <v>63</v>
      </c>
    </row>
    <row r="1255" spans="1:9" x14ac:dyDescent="0.65">
      <c r="A1255" s="188">
        <v>40816</v>
      </c>
      <c r="B1255" s="35" t="s">
        <v>401</v>
      </c>
      <c r="C1255" t="s">
        <v>1357</v>
      </c>
      <c r="D1255" t="s">
        <v>98</v>
      </c>
      <c r="E1255" s="141">
        <v>1</v>
      </c>
      <c r="F1255" s="141">
        <v>365</v>
      </c>
      <c r="G1255" s="142"/>
      <c r="H1255" s="142">
        <v>365</v>
      </c>
      <c r="I1255" s="192">
        <v>63</v>
      </c>
    </row>
    <row r="1256" spans="1:9" x14ac:dyDescent="0.65">
      <c r="A1256" s="188">
        <v>40816</v>
      </c>
      <c r="B1256" s="35" t="s">
        <v>1358</v>
      </c>
      <c r="C1256" t="s">
        <v>1359</v>
      </c>
      <c r="D1256" t="s">
        <v>98</v>
      </c>
      <c r="E1256" s="141">
        <v>1</v>
      </c>
      <c r="F1256" s="141">
        <v>365</v>
      </c>
      <c r="G1256" s="142"/>
      <c r="H1256" s="142">
        <v>365</v>
      </c>
      <c r="I1256" s="192">
        <v>63</v>
      </c>
    </row>
    <row r="1257" spans="1:9" x14ac:dyDescent="0.65">
      <c r="A1257" s="189" t="s">
        <v>448</v>
      </c>
      <c r="B1257" s="183" t="s">
        <v>1403</v>
      </c>
      <c r="C1257" s="184" t="s">
        <v>448</v>
      </c>
      <c r="D1257" s="184" t="s">
        <v>448</v>
      </c>
      <c r="E1257" s="185"/>
      <c r="F1257" s="185"/>
      <c r="G1257" s="186"/>
      <c r="H1257" s="186">
        <v>45939.654999999999</v>
      </c>
      <c r="I1257" s="193" t="s">
        <v>1767</v>
      </c>
    </row>
    <row r="1258" spans="1:9" x14ac:dyDescent="0.65">
      <c r="A1258" s="188" t="s">
        <v>448</v>
      </c>
      <c r="B1258" s="35" t="s">
        <v>448</v>
      </c>
      <c r="C1258" t="s">
        <v>448</v>
      </c>
      <c r="D1258" t="s">
        <v>448</v>
      </c>
      <c r="E1258" s="141"/>
      <c r="F1258" s="141"/>
      <c r="G1258" s="142"/>
      <c r="H1258" s="142"/>
      <c r="I1258" s="191" t="s">
        <v>1767</v>
      </c>
    </row>
    <row r="1259" spans="1:9" x14ac:dyDescent="0.65">
      <c r="A1259" s="187" t="s">
        <v>448</v>
      </c>
      <c r="B1259" s="29" t="s">
        <v>1823</v>
      </c>
      <c r="C1259" s="27" t="s">
        <v>448</v>
      </c>
      <c r="D1259" s="27" t="s">
        <v>448</v>
      </c>
      <c r="E1259" s="181"/>
      <c r="F1259" s="181"/>
      <c r="G1259" s="182"/>
      <c r="H1259" s="182"/>
      <c r="I1259" s="140" t="s">
        <v>1767</v>
      </c>
    </row>
    <row r="1260" spans="1:9" x14ac:dyDescent="0.65">
      <c r="A1260" s="188">
        <v>40728</v>
      </c>
      <c r="B1260" s="35" t="s">
        <v>1404</v>
      </c>
      <c r="C1260" t="s">
        <v>1405</v>
      </c>
      <c r="D1260" t="s">
        <v>451</v>
      </c>
      <c r="E1260" s="141">
        <v>33.56</v>
      </c>
      <c r="F1260" s="141">
        <v>87.12</v>
      </c>
      <c r="G1260" s="142"/>
      <c r="H1260" s="142">
        <v>2923.7471999999998</v>
      </c>
      <c r="I1260" s="192">
        <v>64</v>
      </c>
    </row>
    <row r="1261" spans="1:9" x14ac:dyDescent="0.65">
      <c r="A1261" s="188">
        <v>40736</v>
      </c>
      <c r="B1261" s="35" t="s">
        <v>1406</v>
      </c>
      <c r="C1261" t="s">
        <v>1407</v>
      </c>
      <c r="D1261" t="s">
        <v>451</v>
      </c>
      <c r="E1261" s="141">
        <v>2606</v>
      </c>
      <c r="F1261" s="141">
        <v>7.25</v>
      </c>
      <c r="G1261" s="142"/>
      <c r="H1261" s="142">
        <v>18893.5</v>
      </c>
      <c r="I1261" s="192">
        <v>64</v>
      </c>
    </row>
    <row r="1262" spans="1:9" x14ac:dyDescent="0.65">
      <c r="A1262" s="188">
        <v>40736</v>
      </c>
      <c r="B1262" s="35" t="s">
        <v>1336</v>
      </c>
      <c r="C1262" t="s">
        <v>1337</v>
      </c>
      <c r="D1262" t="s">
        <v>18</v>
      </c>
      <c r="E1262" s="141">
        <v>2.5</v>
      </c>
      <c r="F1262" s="141">
        <v>95</v>
      </c>
      <c r="G1262" s="142"/>
      <c r="H1262" s="142">
        <v>237.5</v>
      </c>
      <c r="I1262" s="192">
        <v>64</v>
      </c>
    </row>
    <row r="1263" spans="1:9" x14ac:dyDescent="0.65">
      <c r="A1263" s="188">
        <v>40778</v>
      </c>
      <c r="B1263" s="35" t="s">
        <v>1336</v>
      </c>
      <c r="C1263" t="s">
        <v>7</v>
      </c>
      <c r="D1263" t="s">
        <v>18</v>
      </c>
      <c r="E1263" s="141">
        <v>2</v>
      </c>
      <c r="F1263" s="141">
        <v>95</v>
      </c>
      <c r="G1263" s="142"/>
      <c r="H1263" s="142">
        <v>190</v>
      </c>
      <c r="I1263" s="192">
        <v>64</v>
      </c>
    </row>
    <row r="1264" spans="1:9" x14ac:dyDescent="0.65">
      <c r="A1264" s="188">
        <v>40779</v>
      </c>
      <c r="B1264" s="35" t="s">
        <v>434</v>
      </c>
      <c r="C1264" t="s">
        <v>1407</v>
      </c>
      <c r="D1264" t="s">
        <v>451</v>
      </c>
      <c r="E1264" s="141">
        <v>1</v>
      </c>
      <c r="F1264" s="141">
        <v>36200</v>
      </c>
      <c r="G1264" s="142"/>
      <c r="H1264" s="142">
        <v>36200</v>
      </c>
      <c r="I1264" s="192">
        <v>64</v>
      </c>
    </row>
    <row r="1265" spans="1:9" x14ac:dyDescent="0.65">
      <c r="A1265" s="188">
        <v>40816</v>
      </c>
      <c r="B1265" s="35" t="s">
        <v>1408</v>
      </c>
      <c r="C1265" t="s">
        <v>1409</v>
      </c>
      <c r="D1265" t="s">
        <v>451</v>
      </c>
      <c r="E1265" s="141">
        <v>1</v>
      </c>
      <c r="F1265" s="141">
        <v>5918</v>
      </c>
      <c r="G1265" s="142"/>
      <c r="H1265" s="142">
        <v>5918</v>
      </c>
      <c r="I1265" s="192">
        <v>64</v>
      </c>
    </row>
    <row r="1266" spans="1:9" x14ac:dyDescent="0.65">
      <c r="A1266" s="188">
        <v>40816</v>
      </c>
      <c r="B1266" s="35" t="s">
        <v>1336</v>
      </c>
      <c r="C1266" t="s">
        <v>7</v>
      </c>
      <c r="D1266" t="s">
        <v>18</v>
      </c>
      <c r="E1266" s="141">
        <v>5.5</v>
      </c>
      <c r="F1266" s="141">
        <v>95</v>
      </c>
      <c r="G1266" s="142"/>
      <c r="H1266" s="142">
        <v>522.5</v>
      </c>
      <c r="I1266" s="192">
        <v>64</v>
      </c>
    </row>
    <row r="1267" spans="1:9" x14ac:dyDescent="0.65">
      <c r="A1267" s="188">
        <v>40816</v>
      </c>
      <c r="B1267" s="35" t="s">
        <v>1347</v>
      </c>
      <c r="C1267" t="s">
        <v>1348</v>
      </c>
      <c r="D1267" t="s">
        <v>18</v>
      </c>
      <c r="E1267" s="141">
        <v>2</v>
      </c>
      <c r="F1267" s="141">
        <v>90</v>
      </c>
      <c r="G1267" s="142"/>
      <c r="H1267" s="142">
        <v>180</v>
      </c>
      <c r="I1267" s="192">
        <v>64</v>
      </c>
    </row>
    <row r="1268" spans="1:9" x14ac:dyDescent="0.65">
      <c r="A1268" s="188">
        <v>40816</v>
      </c>
      <c r="B1268" s="35" t="s">
        <v>1410</v>
      </c>
      <c r="C1268" t="s">
        <v>1407</v>
      </c>
      <c r="D1268" t="s">
        <v>451</v>
      </c>
      <c r="E1268" s="141">
        <v>5932</v>
      </c>
      <c r="F1268" s="141">
        <v>6.75</v>
      </c>
      <c r="G1268" s="142"/>
      <c r="H1268" s="142">
        <v>40041</v>
      </c>
      <c r="I1268" s="192">
        <v>64</v>
      </c>
    </row>
    <row r="1269" spans="1:9" x14ac:dyDescent="0.65">
      <c r="A1269" s="188">
        <v>40816</v>
      </c>
      <c r="B1269" s="35" t="s">
        <v>7</v>
      </c>
      <c r="C1269" t="s">
        <v>7</v>
      </c>
      <c r="D1269" t="s">
        <v>18</v>
      </c>
      <c r="E1269" s="141">
        <v>2</v>
      </c>
      <c r="F1269" s="141">
        <v>35.35</v>
      </c>
      <c r="G1269" s="142"/>
      <c r="H1269" s="142">
        <v>70.7</v>
      </c>
      <c r="I1269" s="192">
        <v>64</v>
      </c>
    </row>
    <row r="1270" spans="1:9" x14ac:dyDescent="0.65">
      <c r="A1270" s="188">
        <v>40816</v>
      </c>
      <c r="B1270" s="35" t="s">
        <v>7</v>
      </c>
      <c r="C1270" t="s">
        <v>7</v>
      </c>
      <c r="D1270" t="s">
        <v>18</v>
      </c>
      <c r="E1270" s="141">
        <v>2</v>
      </c>
      <c r="F1270" s="141">
        <v>35.35</v>
      </c>
      <c r="G1270" s="142"/>
      <c r="H1270" s="142">
        <v>70.7</v>
      </c>
      <c r="I1270" s="192">
        <v>64</v>
      </c>
    </row>
    <row r="1271" spans="1:9" x14ac:dyDescent="0.65">
      <c r="A1271" s="188">
        <v>40816</v>
      </c>
      <c r="B1271" s="35" t="s">
        <v>1408</v>
      </c>
      <c r="C1271" t="s">
        <v>1399</v>
      </c>
      <c r="D1271" t="s">
        <v>451</v>
      </c>
      <c r="E1271" s="141">
        <v>1</v>
      </c>
      <c r="F1271" s="141">
        <v>710.16</v>
      </c>
      <c r="G1271" s="142"/>
      <c r="H1271" s="142">
        <v>710.16</v>
      </c>
      <c r="I1271" s="192">
        <v>64</v>
      </c>
    </row>
    <row r="1272" spans="1:9" x14ac:dyDescent="0.65">
      <c r="A1272" s="189" t="s">
        <v>448</v>
      </c>
      <c r="B1272" s="183" t="s">
        <v>1411</v>
      </c>
      <c r="C1272" s="184" t="s">
        <v>448</v>
      </c>
      <c r="D1272" s="184" t="s">
        <v>448</v>
      </c>
      <c r="E1272" s="185"/>
      <c r="F1272" s="185"/>
      <c r="G1272" s="186"/>
      <c r="H1272" s="186">
        <v>105957.8072</v>
      </c>
      <c r="I1272" s="193" t="s">
        <v>1767</v>
      </c>
    </row>
    <row r="1273" spans="1:9" x14ac:dyDescent="0.65">
      <c r="A1273" s="188" t="s">
        <v>448</v>
      </c>
      <c r="B1273" s="35" t="s">
        <v>448</v>
      </c>
      <c r="C1273" t="s">
        <v>448</v>
      </c>
      <c r="D1273" t="s">
        <v>448</v>
      </c>
      <c r="E1273" s="141"/>
      <c r="F1273" s="141"/>
      <c r="G1273" s="142"/>
      <c r="H1273" s="142"/>
      <c r="I1273" s="191" t="s">
        <v>1767</v>
      </c>
    </row>
    <row r="1274" spans="1:9" x14ac:dyDescent="0.65">
      <c r="A1274" s="187" t="s">
        <v>448</v>
      </c>
      <c r="B1274" s="29" t="s">
        <v>1824</v>
      </c>
      <c r="C1274" s="27" t="s">
        <v>448</v>
      </c>
      <c r="D1274" s="27" t="s">
        <v>448</v>
      </c>
      <c r="E1274" s="181"/>
      <c r="F1274" s="181"/>
      <c r="G1274" s="182"/>
      <c r="H1274" s="182"/>
      <c r="I1274" s="140" t="s">
        <v>1767</v>
      </c>
    </row>
    <row r="1275" spans="1:9" x14ac:dyDescent="0.65">
      <c r="A1275" s="188">
        <v>40799</v>
      </c>
      <c r="B1275" s="35" t="s">
        <v>7</v>
      </c>
      <c r="C1275" t="s">
        <v>7</v>
      </c>
      <c r="D1275" t="s">
        <v>18</v>
      </c>
      <c r="E1275" s="141">
        <v>4</v>
      </c>
      <c r="F1275" s="141">
        <v>39.39</v>
      </c>
      <c r="G1275" s="142"/>
      <c r="H1275" s="142">
        <v>157.56</v>
      </c>
      <c r="I1275" s="192">
        <v>65</v>
      </c>
    </row>
    <row r="1276" spans="1:9" x14ac:dyDescent="0.65">
      <c r="A1276" s="188">
        <v>40799</v>
      </c>
      <c r="B1276" s="35" t="s">
        <v>7</v>
      </c>
      <c r="C1276" t="s">
        <v>7</v>
      </c>
      <c r="D1276" t="s">
        <v>18</v>
      </c>
      <c r="E1276" s="141">
        <v>4</v>
      </c>
      <c r="F1276" s="141">
        <v>39.39</v>
      </c>
      <c r="G1276" s="142"/>
      <c r="H1276" s="142">
        <v>157.56</v>
      </c>
      <c r="I1276" s="192">
        <v>65</v>
      </c>
    </row>
    <row r="1277" spans="1:9" x14ac:dyDescent="0.65">
      <c r="A1277" s="188">
        <v>40836</v>
      </c>
      <c r="B1277" s="35" t="s">
        <v>1412</v>
      </c>
      <c r="C1277" t="s">
        <v>1413</v>
      </c>
      <c r="D1277" t="s">
        <v>18</v>
      </c>
      <c r="E1277" s="141">
        <v>6.5</v>
      </c>
      <c r="F1277" s="141">
        <v>95</v>
      </c>
      <c r="G1277" s="142"/>
      <c r="H1277" s="142">
        <v>617.5</v>
      </c>
      <c r="I1277" s="192">
        <v>65</v>
      </c>
    </row>
    <row r="1278" spans="1:9" x14ac:dyDescent="0.65">
      <c r="A1278" s="188">
        <v>40847</v>
      </c>
      <c r="B1278" s="35" t="s">
        <v>1414</v>
      </c>
      <c r="C1278" t="s">
        <v>1407</v>
      </c>
      <c r="D1278" t="s">
        <v>451</v>
      </c>
      <c r="E1278" s="141">
        <v>767</v>
      </c>
      <c r="F1278" s="141">
        <v>240</v>
      </c>
      <c r="G1278" s="142"/>
      <c r="H1278" s="142">
        <v>184080</v>
      </c>
      <c r="I1278" s="192">
        <v>65</v>
      </c>
    </row>
    <row r="1279" spans="1:9" x14ac:dyDescent="0.65">
      <c r="A1279" s="189" t="s">
        <v>448</v>
      </c>
      <c r="B1279" s="183" t="s">
        <v>1415</v>
      </c>
      <c r="C1279" s="184" t="s">
        <v>448</v>
      </c>
      <c r="D1279" s="184" t="s">
        <v>448</v>
      </c>
      <c r="E1279" s="185"/>
      <c r="F1279" s="185"/>
      <c r="G1279" s="186"/>
      <c r="H1279" s="186">
        <v>185012.62</v>
      </c>
      <c r="I1279" s="193" t="s">
        <v>1767</v>
      </c>
    </row>
    <row r="1280" spans="1:9" x14ac:dyDescent="0.65">
      <c r="A1280" s="188" t="s">
        <v>448</v>
      </c>
      <c r="B1280" s="35" t="s">
        <v>448</v>
      </c>
      <c r="C1280" t="s">
        <v>448</v>
      </c>
      <c r="D1280" t="s">
        <v>448</v>
      </c>
      <c r="E1280" s="141"/>
      <c r="F1280" s="141"/>
      <c r="G1280" s="142"/>
      <c r="H1280" s="142"/>
      <c r="I1280" s="191" t="s">
        <v>1767</v>
      </c>
    </row>
    <row r="1281" spans="1:9" x14ac:dyDescent="0.65">
      <c r="A1281" s="187" t="s">
        <v>448</v>
      </c>
      <c r="B1281" s="29" t="s">
        <v>1825</v>
      </c>
      <c r="C1281" s="27" t="s">
        <v>448</v>
      </c>
      <c r="D1281" s="27" t="s">
        <v>448</v>
      </c>
      <c r="E1281" s="181"/>
      <c r="F1281" s="181"/>
      <c r="G1281" s="182"/>
      <c r="H1281" s="182"/>
      <c r="I1281" s="140" t="s">
        <v>1767</v>
      </c>
    </row>
    <row r="1282" spans="1:9" x14ac:dyDescent="0.65">
      <c r="A1282" s="188">
        <v>40778</v>
      </c>
      <c r="B1282" s="35" t="s">
        <v>1416</v>
      </c>
      <c r="C1282" t="s">
        <v>1417</v>
      </c>
      <c r="D1282" t="s">
        <v>451</v>
      </c>
      <c r="E1282" s="141">
        <v>1</v>
      </c>
      <c r="F1282" s="141">
        <v>395.44</v>
      </c>
      <c r="G1282" s="142"/>
      <c r="H1282" s="142">
        <v>395.44</v>
      </c>
      <c r="I1282" s="192">
        <v>66</v>
      </c>
    </row>
    <row r="1283" spans="1:9" x14ac:dyDescent="0.65">
      <c r="A1283" s="188">
        <v>40781</v>
      </c>
      <c r="B1283" s="35" t="s">
        <v>7</v>
      </c>
      <c r="C1283" t="s">
        <v>7</v>
      </c>
      <c r="D1283" t="s">
        <v>18</v>
      </c>
      <c r="E1283" s="141">
        <v>5</v>
      </c>
      <c r="F1283" s="141">
        <v>32.200000000000003</v>
      </c>
      <c r="G1283" s="142"/>
      <c r="H1283" s="142">
        <v>161</v>
      </c>
      <c r="I1283" s="192">
        <v>66</v>
      </c>
    </row>
    <row r="1284" spans="1:9" x14ac:dyDescent="0.65">
      <c r="A1284" s="188">
        <v>40781</v>
      </c>
      <c r="B1284" s="35" t="s">
        <v>7</v>
      </c>
      <c r="C1284" t="s">
        <v>7</v>
      </c>
      <c r="D1284" t="s">
        <v>18</v>
      </c>
      <c r="E1284" s="141">
        <v>5</v>
      </c>
      <c r="F1284" s="141">
        <v>39.39</v>
      </c>
      <c r="G1284" s="142"/>
      <c r="H1284" s="142">
        <v>196.95</v>
      </c>
      <c r="I1284" s="192">
        <v>66</v>
      </c>
    </row>
    <row r="1285" spans="1:9" x14ac:dyDescent="0.65">
      <c r="A1285" s="188">
        <v>40862</v>
      </c>
      <c r="B1285" s="35" t="s">
        <v>1418</v>
      </c>
      <c r="C1285" t="s">
        <v>1417</v>
      </c>
      <c r="D1285">
        <v>7</v>
      </c>
      <c r="E1285" s="141">
        <v>1</v>
      </c>
      <c r="F1285" s="141">
        <v>7660</v>
      </c>
      <c r="G1285" s="142"/>
      <c r="H1285" s="142">
        <v>7660</v>
      </c>
      <c r="I1285" s="192">
        <v>66</v>
      </c>
    </row>
    <row r="1286" spans="1:9" x14ac:dyDescent="0.65">
      <c r="A1286" s="188">
        <v>40877</v>
      </c>
      <c r="B1286" s="35" t="s">
        <v>1419</v>
      </c>
      <c r="C1286" t="s">
        <v>1417</v>
      </c>
      <c r="D1286" t="s">
        <v>451</v>
      </c>
      <c r="E1286" s="141">
        <v>1</v>
      </c>
      <c r="F1286" s="141">
        <v>3311</v>
      </c>
      <c r="G1286" s="142"/>
      <c r="H1286" s="142">
        <v>3311</v>
      </c>
      <c r="I1286" s="192">
        <v>66</v>
      </c>
    </row>
    <row r="1287" spans="1:9" x14ac:dyDescent="0.65">
      <c r="A1287" s="189" t="s">
        <v>448</v>
      </c>
      <c r="B1287" s="183" t="s">
        <v>1420</v>
      </c>
      <c r="C1287" s="184" t="s">
        <v>448</v>
      </c>
      <c r="D1287" s="184" t="s">
        <v>448</v>
      </c>
      <c r="E1287" s="185"/>
      <c r="F1287" s="185"/>
      <c r="G1287" s="186"/>
      <c r="H1287" s="186">
        <v>11724.39</v>
      </c>
      <c r="I1287" s="193" t="s">
        <v>1767</v>
      </c>
    </row>
    <row r="1288" spans="1:9" x14ac:dyDescent="0.65">
      <c r="A1288" s="188" t="s">
        <v>448</v>
      </c>
      <c r="B1288" s="35" t="s">
        <v>448</v>
      </c>
      <c r="C1288" t="s">
        <v>448</v>
      </c>
      <c r="D1288" t="s">
        <v>448</v>
      </c>
      <c r="E1288" s="141"/>
      <c r="F1288" s="141"/>
      <c r="G1288" s="142"/>
      <c r="H1288" s="142"/>
      <c r="I1288" s="191" t="s">
        <v>1767</v>
      </c>
    </row>
    <row r="1289" spans="1:9" x14ac:dyDescent="0.65">
      <c r="A1289" s="187" t="s">
        <v>448</v>
      </c>
      <c r="B1289" s="29" t="s">
        <v>1826</v>
      </c>
      <c r="C1289" s="27" t="s">
        <v>448</v>
      </c>
      <c r="D1289" s="27" t="s">
        <v>448</v>
      </c>
      <c r="E1289" s="181"/>
      <c r="F1289" s="181"/>
      <c r="G1289" s="182"/>
      <c r="H1289" s="182"/>
      <c r="I1289" s="140" t="s">
        <v>1767</v>
      </c>
    </row>
    <row r="1290" spans="1:9" x14ac:dyDescent="0.65">
      <c r="A1290" s="188">
        <v>40815</v>
      </c>
      <c r="B1290" s="35" t="s">
        <v>7</v>
      </c>
      <c r="C1290" t="s">
        <v>7</v>
      </c>
      <c r="D1290" t="s">
        <v>18</v>
      </c>
      <c r="E1290" s="141">
        <v>2.5</v>
      </c>
      <c r="F1290" s="141">
        <v>35.35</v>
      </c>
      <c r="G1290" s="142"/>
      <c r="H1290" s="142">
        <v>88.375</v>
      </c>
      <c r="I1290" s="192">
        <v>67</v>
      </c>
    </row>
    <row r="1291" spans="1:9" x14ac:dyDescent="0.65">
      <c r="A1291" s="188">
        <v>40815</v>
      </c>
      <c r="B1291" s="35" t="s">
        <v>7</v>
      </c>
      <c r="C1291" t="s">
        <v>7</v>
      </c>
      <c r="D1291" t="s">
        <v>18</v>
      </c>
      <c r="E1291" s="141">
        <v>2.5</v>
      </c>
      <c r="F1291" s="141">
        <v>35.35</v>
      </c>
      <c r="G1291" s="142"/>
      <c r="H1291" s="142">
        <v>88.375</v>
      </c>
      <c r="I1291" s="192">
        <v>67</v>
      </c>
    </row>
    <row r="1292" spans="1:9" x14ac:dyDescent="0.65">
      <c r="A1292" s="188">
        <v>40815</v>
      </c>
      <c r="B1292" s="35" t="s">
        <v>1347</v>
      </c>
      <c r="C1292" t="s">
        <v>1348</v>
      </c>
      <c r="D1292" t="s">
        <v>18</v>
      </c>
      <c r="E1292" s="141">
        <v>2</v>
      </c>
      <c r="F1292" s="141">
        <v>90</v>
      </c>
      <c r="G1292" s="142"/>
      <c r="H1292" s="142">
        <v>180</v>
      </c>
      <c r="I1292" s="192">
        <v>67</v>
      </c>
    </row>
    <row r="1293" spans="1:9" x14ac:dyDescent="0.65">
      <c r="A1293" s="188">
        <v>40816</v>
      </c>
      <c r="B1293" s="35" t="s">
        <v>1347</v>
      </c>
      <c r="C1293" t="s">
        <v>1348</v>
      </c>
      <c r="D1293" t="s">
        <v>18</v>
      </c>
      <c r="E1293" s="141">
        <v>2</v>
      </c>
      <c r="F1293" s="141">
        <v>90</v>
      </c>
      <c r="G1293" s="142"/>
      <c r="H1293" s="142">
        <v>180</v>
      </c>
      <c r="I1293" s="192">
        <v>67</v>
      </c>
    </row>
    <row r="1294" spans="1:9" x14ac:dyDescent="0.65">
      <c r="A1294" s="188">
        <v>40816</v>
      </c>
      <c r="B1294" s="35" t="s">
        <v>7</v>
      </c>
      <c r="C1294" t="s">
        <v>7</v>
      </c>
      <c r="D1294" t="s">
        <v>18</v>
      </c>
      <c r="E1294" s="141">
        <v>2.5</v>
      </c>
      <c r="F1294" s="141">
        <v>35.35</v>
      </c>
      <c r="G1294" s="142"/>
      <c r="H1294" s="142">
        <v>88.375</v>
      </c>
      <c r="I1294" s="192">
        <v>67</v>
      </c>
    </row>
    <row r="1295" spans="1:9" x14ac:dyDescent="0.65">
      <c r="A1295" s="188">
        <v>40816</v>
      </c>
      <c r="B1295" s="35" t="s">
        <v>7</v>
      </c>
      <c r="C1295" t="s">
        <v>7</v>
      </c>
      <c r="D1295" t="s">
        <v>18</v>
      </c>
      <c r="E1295" s="141">
        <v>2.5</v>
      </c>
      <c r="F1295" s="141">
        <v>35.35</v>
      </c>
      <c r="G1295" s="142"/>
      <c r="H1295" s="142">
        <v>88.375</v>
      </c>
      <c r="I1295" s="192">
        <v>67</v>
      </c>
    </row>
    <row r="1296" spans="1:9" x14ac:dyDescent="0.65">
      <c r="A1296" s="188">
        <v>40850</v>
      </c>
      <c r="B1296" s="35" t="s">
        <v>1421</v>
      </c>
      <c r="C1296" t="s">
        <v>1422</v>
      </c>
      <c r="D1296" t="s">
        <v>451</v>
      </c>
      <c r="E1296" s="141">
        <v>1</v>
      </c>
      <c r="F1296" s="141">
        <v>66.75</v>
      </c>
      <c r="G1296" s="142"/>
      <c r="H1296" s="142">
        <v>66.75</v>
      </c>
      <c r="I1296" s="192">
        <v>67</v>
      </c>
    </row>
    <row r="1297" spans="1:9" x14ac:dyDescent="0.65">
      <c r="A1297" s="188">
        <v>40851</v>
      </c>
      <c r="B1297" s="35" t="s">
        <v>1423</v>
      </c>
      <c r="C1297" t="s">
        <v>7</v>
      </c>
      <c r="D1297" t="s">
        <v>18</v>
      </c>
      <c r="E1297" s="141">
        <v>4</v>
      </c>
      <c r="F1297" s="141">
        <v>95</v>
      </c>
      <c r="G1297" s="142"/>
      <c r="H1297" s="142">
        <v>380</v>
      </c>
      <c r="I1297" s="192">
        <v>67</v>
      </c>
    </row>
    <row r="1298" spans="1:9" x14ac:dyDescent="0.65">
      <c r="A1298" s="188">
        <v>40851</v>
      </c>
      <c r="B1298" s="35" t="s">
        <v>1424</v>
      </c>
      <c r="C1298" t="s">
        <v>7</v>
      </c>
      <c r="D1298" t="s">
        <v>18</v>
      </c>
      <c r="E1298" s="141">
        <v>5</v>
      </c>
      <c r="F1298" s="141">
        <v>35.35</v>
      </c>
      <c r="G1298" s="142"/>
      <c r="H1298" s="142">
        <v>176.75</v>
      </c>
      <c r="I1298" s="192">
        <v>67</v>
      </c>
    </row>
    <row r="1299" spans="1:9" x14ac:dyDescent="0.65">
      <c r="A1299" s="188">
        <v>40851</v>
      </c>
      <c r="B1299" s="35" t="s">
        <v>7</v>
      </c>
      <c r="C1299" t="s">
        <v>7</v>
      </c>
      <c r="D1299" t="s">
        <v>18</v>
      </c>
      <c r="E1299" s="141">
        <v>4.5</v>
      </c>
      <c r="F1299" s="141">
        <v>35.35</v>
      </c>
      <c r="G1299" s="142"/>
      <c r="H1299" s="142">
        <v>159.07499999999999</v>
      </c>
      <c r="I1299" s="192">
        <v>67</v>
      </c>
    </row>
    <row r="1300" spans="1:9" x14ac:dyDescent="0.65">
      <c r="A1300" s="188">
        <v>40851</v>
      </c>
      <c r="B1300" s="35" t="s">
        <v>7</v>
      </c>
      <c r="C1300" t="s">
        <v>7</v>
      </c>
      <c r="D1300" t="s">
        <v>18</v>
      </c>
      <c r="E1300" s="141">
        <v>3.5</v>
      </c>
      <c r="F1300" s="141">
        <v>35.35</v>
      </c>
      <c r="G1300" s="142"/>
      <c r="H1300" s="142">
        <v>123.72499999999999</v>
      </c>
      <c r="I1300" s="192">
        <v>67</v>
      </c>
    </row>
    <row r="1301" spans="1:9" x14ac:dyDescent="0.65">
      <c r="A1301" s="188">
        <v>40851</v>
      </c>
      <c r="B1301" s="35" t="s">
        <v>7</v>
      </c>
      <c r="C1301" t="s">
        <v>7</v>
      </c>
      <c r="D1301" t="s">
        <v>18</v>
      </c>
      <c r="E1301" s="141">
        <v>4.5</v>
      </c>
      <c r="F1301" s="141">
        <v>35.35</v>
      </c>
      <c r="G1301" s="142"/>
      <c r="H1301" s="142">
        <v>159.07499999999999</v>
      </c>
      <c r="I1301" s="192">
        <v>67</v>
      </c>
    </row>
    <row r="1302" spans="1:9" x14ac:dyDescent="0.65">
      <c r="A1302" s="188">
        <v>40851</v>
      </c>
      <c r="B1302" s="35" t="s">
        <v>1347</v>
      </c>
      <c r="C1302" t="s">
        <v>1348</v>
      </c>
      <c r="D1302" t="s">
        <v>18</v>
      </c>
      <c r="E1302" s="141">
        <v>5</v>
      </c>
      <c r="F1302" s="141">
        <v>90</v>
      </c>
      <c r="G1302" s="142"/>
      <c r="H1302" s="142">
        <v>450</v>
      </c>
      <c r="I1302" s="192">
        <v>67</v>
      </c>
    </row>
    <row r="1303" spans="1:9" x14ac:dyDescent="0.65">
      <c r="A1303" s="188">
        <v>40873</v>
      </c>
      <c r="B1303" s="35" t="s">
        <v>1425</v>
      </c>
      <c r="C1303" t="s">
        <v>7</v>
      </c>
      <c r="D1303" t="s">
        <v>18</v>
      </c>
      <c r="E1303" s="141">
        <v>2</v>
      </c>
      <c r="F1303" s="141">
        <v>35.35</v>
      </c>
      <c r="G1303" s="142"/>
      <c r="H1303" s="142">
        <v>70.7</v>
      </c>
      <c r="I1303" s="192">
        <v>67</v>
      </c>
    </row>
    <row r="1304" spans="1:9" x14ac:dyDescent="0.65">
      <c r="A1304" s="188">
        <v>40873</v>
      </c>
      <c r="B1304" s="35" t="s">
        <v>7</v>
      </c>
      <c r="C1304" t="s">
        <v>7</v>
      </c>
      <c r="D1304" t="s">
        <v>18</v>
      </c>
      <c r="E1304" s="141">
        <v>2</v>
      </c>
      <c r="F1304" s="141">
        <v>35.35</v>
      </c>
      <c r="G1304" s="142"/>
      <c r="H1304" s="142">
        <v>70.7</v>
      </c>
      <c r="I1304" s="192">
        <v>67</v>
      </c>
    </row>
    <row r="1305" spans="1:9" x14ac:dyDescent="0.65">
      <c r="A1305" s="188">
        <v>40873</v>
      </c>
      <c r="B1305" s="35" t="s">
        <v>1426</v>
      </c>
      <c r="C1305" t="s">
        <v>7</v>
      </c>
      <c r="D1305" t="s">
        <v>18</v>
      </c>
      <c r="E1305" s="141">
        <v>2</v>
      </c>
      <c r="F1305" s="141">
        <v>35.35</v>
      </c>
      <c r="G1305" s="142"/>
      <c r="H1305" s="142">
        <v>70.7</v>
      </c>
      <c r="I1305" s="192">
        <v>67</v>
      </c>
    </row>
    <row r="1306" spans="1:9" x14ac:dyDescent="0.65">
      <c r="A1306" s="188">
        <v>40877</v>
      </c>
      <c r="B1306" s="35" t="s">
        <v>7</v>
      </c>
      <c r="C1306" t="s">
        <v>7</v>
      </c>
      <c r="D1306" t="s">
        <v>18</v>
      </c>
      <c r="E1306" s="141">
        <v>3</v>
      </c>
      <c r="F1306" s="141">
        <v>35.35</v>
      </c>
      <c r="G1306" s="142"/>
      <c r="H1306" s="142">
        <v>106.05</v>
      </c>
      <c r="I1306" s="192">
        <v>67</v>
      </c>
    </row>
    <row r="1307" spans="1:9" x14ac:dyDescent="0.65">
      <c r="A1307" s="188">
        <v>40877</v>
      </c>
      <c r="B1307" s="35" t="s">
        <v>1424</v>
      </c>
      <c r="C1307" t="s">
        <v>7</v>
      </c>
      <c r="D1307" t="s">
        <v>18</v>
      </c>
      <c r="E1307" s="141">
        <v>3</v>
      </c>
      <c r="F1307" s="141">
        <v>35.35</v>
      </c>
      <c r="G1307" s="142"/>
      <c r="H1307" s="142">
        <v>106.05</v>
      </c>
      <c r="I1307" s="192">
        <v>67</v>
      </c>
    </row>
    <row r="1308" spans="1:9" x14ac:dyDescent="0.65">
      <c r="A1308" s="188">
        <v>40877</v>
      </c>
      <c r="B1308" s="35" t="s">
        <v>7</v>
      </c>
      <c r="C1308" t="s">
        <v>7</v>
      </c>
      <c r="D1308" t="s">
        <v>18</v>
      </c>
      <c r="E1308" s="141">
        <v>3</v>
      </c>
      <c r="F1308" s="141">
        <v>35.35</v>
      </c>
      <c r="G1308" s="142"/>
      <c r="H1308" s="142">
        <v>106.05</v>
      </c>
      <c r="I1308" s="192">
        <v>67</v>
      </c>
    </row>
    <row r="1309" spans="1:9" x14ac:dyDescent="0.65">
      <c r="A1309" s="188">
        <v>40877</v>
      </c>
      <c r="B1309" s="35" t="s">
        <v>1425</v>
      </c>
      <c r="C1309" t="s">
        <v>7</v>
      </c>
      <c r="D1309" t="s">
        <v>18</v>
      </c>
      <c r="E1309" s="141">
        <v>3</v>
      </c>
      <c r="F1309" s="141">
        <v>35.35</v>
      </c>
      <c r="G1309" s="142"/>
      <c r="H1309" s="142">
        <v>106.05</v>
      </c>
      <c r="I1309" s="192">
        <v>67</v>
      </c>
    </row>
    <row r="1310" spans="1:9" x14ac:dyDescent="0.65">
      <c r="A1310" s="189" t="s">
        <v>448</v>
      </c>
      <c r="B1310" s="183" t="s">
        <v>1427</v>
      </c>
      <c r="C1310" s="184" t="s">
        <v>448</v>
      </c>
      <c r="D1310" s="184" t="s">
        <v>448</v>
      </c>
      <c r="E1310" s="185"/>
      <c r="F1310" s="185"/>
      <c r="G1310" s="186"/>
      <c r="H1310" s="186">
        <v>2865.1750000000002</v>
      </c>
      <c r="I1310" s="193" t="s">
        <v>1767</v>
      </c>
    </row>
    <row r="1311" spans="1:9" x14ac:dyDescent="0.65">
      <c r="A1311" s="188" t="s">
        <v>448</v>
      </c>
      <c r="B1311" s="35" t="s">
        <v>448</v>
      </c>
      <c r="C1311" t="s">
        <v>448</v>
      </c>
      <c r="D1311" t="s">
        <v>448</v>
      </c>
      <c r="E1311" s="141"/>
      <c r="F1311" s="141"/>
      <c r="G1311" s="142"/>
      <c r="H1311" s="142"/>
      <c r="I1311" s="191" t="s">
        <v>1767</v>
      </c>
    </row>
    <row r="1312" spans="1:9" x14ac:dyDescent="0.65">
      <c r="A1312" s="187" t="s">
        <v>448</v>
      </c>
      <c r="B1312" s="29" t="s">
        <v>1827</v>
      </c>
      <c r="C1312" s="27" t="s">
        <v>448</v>
      </c>
      <c r="D1312" s="27" t="s">
        <v>448</v>
      </c>
      <c r="E1312" s="181"/>
      <c r="F1312" s="181"/>
      <c r="G1312" s="182"/>
      <c r="H1312" s="182"/>
      <c r="I1312" s="140" t="s">
        <v>1767</v>
      </c>
    </row>
    <row r="1313" spans="1:9" ht="28.5" x14ac:dyDescent="0.65">
      <c r="A1313" s="188">
        <v>40848</v>
      </c>
      <c r="B1313" s="35" t="s">
        <v>1428</v>
      </c>
      <c r="C1313" t="s">
        <v>1357</v>
      </c>
      <c r="D1313" t="s">
        <v>451</v>
      </c>
      <c r="E1313" s="141">
        <v>1</v>
      </c>
      <c r="F1313" s="141">
        <v>868.4</v>
      </c>
      <c r="G1313" s="142"/>
      <c r="H1313" s="142">
        <v>868.4</v>
      </c>
      <c r="I1313" s="192">
        <v>68</v>
      </c>
    </row>
    <row r="1314" spans="1:9" x14ac:dyDescent="0.65">
      <c r="A1314" s="189" t="s">
        <v>448</v>
      </c>
      <c r="B1314" s="183" t="s">
        <v>1429</v>
      </c>
      <c r="C1314" s="184" t="s">
        <v>448</v>
      </c>
      <c r="D1314" s="184" t="s">
        <v>448</v>
      </c>
      <c r="E1314" s="185"/>
      <c r="F1314" s="185"/>
      <c r="G1314" s="186"/>
      <c r="H1314" s="186">
        <v>868.4</v>
      </c>
      <c r="I1314" s="193" t="s">
        <v>1767</v>
      </c>
    </row>
    <row r="1315" spans="1:9" x14ac:dyDescent="0.65">
      <c r="A1315" s="188" t="s">
        <v>448</v>
      </c>
      <c r="B1315" s="35" t="s">
        <v>448</v>
      </c>
      <c r="C1315" t="s">
        <v>448</v>
      </c>
      <c r="D1315" t="s">
        <v>448</v>
      </c>
      <c r="E1315" s="141"/>
      <c r="F1315" s="141"/>
      <c r="G1315" s="142"/>
      <c r="H1315" s="142"/>
      <c r="I1315" s="191" t="s">
        <v>1767</v>
      </c>
    </row>
    <row r="1316" spans="1:9" x14ac:dyDescent="0.65">
      <c r="A1316" s="187" t="s">
        <v>448</v>
      </c>
      <c r="B1316" s="29" t="s">
        <v>1828</v>
      </c>
      <c r="C1316" s="27" t="s">
        <v>448</v>
      </c>
      <c r="D1316" s="27" t="s">
        <v>448</v>
      </c>
      <c r="E1316" s="181"/>
      <c r="F1316" s="181"/>
      <c r="G1316" s="182"/>
      <c r="H1316" s="182"/>
      <c r="I1316" s="140" t="s">
        <v>1767</v>
      </c>
    </row>
    <row r="1317" spans="1:9" x14ac:dyDescent="0.65">
      <c r="A1317" s="188">
        <v>40749</v>
      </c>
      <c r="B1317" s="35" t="s">
        <v>1430</v>
      </c>
      <c r="C1317" t="s">
        <v>1431</v>
      </c>
      <c r="D1317" t="s">
        <v>451</v>
      </c>
      <c r="E1317" s="141">
        <v>48</v>
      </c>
      <c r="F1317" s="141">
        <v>6</v>
      </c>
      <c r="G1317" s="142"/>
      <c r="H1317" s="142">
        <v>288</v>
      </c>
      <c r="I1317" s="192">
        <v>71</v>
      </c>
    </row>
    <row r="1318" spans="1:9" x14ac:dyDescent="0.65">
      <c r="A1318" s="188">
        <v>40753</v>
      </c>
      <c r="B1318" s="35" t="s">
        <v>7</v>
      </c>
      <c r="C1318" t="s">
        <v>7</v>
      </c>
      <c r="D1318" t="s">
        <v>18</v>
      </c>
      <c r="E1318" s="141">
        <v>8</v>
      </c>
      <c r="F1318" s="141">
        <v>39.39</v>
      </c>
      <c r="G1318" s="142"/>
      <c r="H1318" s="142">
        <v>315.12</v>
      </c>
      <c r="I1318" s="192">
        <v>71</v>
      </c>
    </row>
    <row r="1319" spans="1:9" x14ac:dyDescent="0.65">
      <c r="A1319" s="188">
        <v>40753</v>
      </c>
      <c r="B1319" s="35" t="s">
        <v>1347</v>
      </c>
      <c r="C1319" t="s">
        <v>1348</v>
      </c>
      <c r="D1319" t="s">
        <v>18</v>
      </c>
      <c r="E1319" s="141">
        <v>4</v>
      </c>
      <c r="F1319" s="141">
        <v>90</v>
      </c>
      <c r="G1319" s="142"/>
      <c r="H1319" s="142">
        <v>360</v>
      </c>
      <c r="I1319" s="192">
        <v>71</v>
      </c>
    </row>
    <row r="1320" spans="1:9" x14ac:dyDescent="0.65">
      <c r="A1320" s="188">
        <v>40753</v>
      </c>
      <c r="B1320" s="35" t="s">
        <v>1336</v>
      </c>
      <c r="C1320" t="s">
        <v>7</v>
      </c>
      <c r="D1320" t="s">
        <v>18</v>
      </c>
      <c r="E1320" s="141">
        <v>4</v>
      </c>
      <c r="F1320" s="141">
        <v>95</v>
      </c>
      <c r="G1320" s="142"/>
      <c r="H1320" s="142">
        <v>380</v>
      </c>
      <c r="I1320" s="192">
        <v>71</v>
      </c>
    </row>
    <row r="1321" spans="1:9" x14ac:dyDescent="0.65">
      <c r="A1321" s="188">
        <v>40753</v>
      </c>
      <c r="B1321" s="35" t="s">
        <v>7</v>
      </c>
      <c r="C1321" t="s">
        <v>7</v>
      </c>
      <c r="D1321" t="s">
        <v>18</v>
      </c>
      <c r="E1321" s="141">
        <v>8</v>
      </c>
      <c r="F1321" s="141">
        <v>39.39</v>
      </c>
      <c r="G1321" s="142"/>
      <c r="H1321" s="142">
        <v>315.12</v>
      </c>
      <c r="I1321" s="192">
        <v>71</v>
      </c>
    </row>
    <row r="1322" spans="1:9" x14ac:dyDescent="0.65">
      <c r="A1322" s="188">
        <v>40754</v>
      </c>
      <c r="B1322" s="35" t="s">
        <v>1347</v>
      </c>
      <c r="C1322" t="s">
        <v>1348</v>
      </c>
      <c r="D1322" t="s">
        <v>18</v>
      </c>
      <c r="E1322" s="141">
        <v>2</v>
      </c>
      <c r="F1322" s="141">
        <v>90</v>
      </c>
      <c r="G1322" s="142"/>
      <c r="H1322" s="142">
        <v>180</v>
      </c>
      <c r="I1322" s="192">
        <v>71</v>
      </c>
    </row>
    <row r="1323" spans="1:9" x14ac:dyDescent="0.65">
      <c r="A1323" s="188">
        <v>40754</v>
      </c>
      <c r="B1323" s="35" t="s">
        <v>7</v>
      </c>
      <c r="C1323" t="s">
        <v>7</v>
      </c>
      <c r="D1323" t="s">
        <v>18</v>
      </c>
      <c r="E1323" s="141">
        <v>4</v>
      </c>
      <c r="F1323" s="141">
        <v>39.39</v>
      </c>
      <c r="G1323" s="142"/>
      <c r="H1323" s="142">
        <v>157.56</v>
      </c>
      <c r="I1323" s="192">
        <v>71</v>
      </c>
    </row>
    <row r="1324" spans="1:9" x14ac:dyDescent="0.65">
      <c r="A1324" s="188">
        <v>40786</v>
      </c>
      <c r="B1324" s="35" t="s">
        <v>1432</v>
      </c>
      <c r="C1324" t="s">
        <v>1433</v>
      </c>
      <c r="D1324" t="s">
        <v>451</v>
      </c>
      <c r="E1324" s="141">
        <v>1</v>
      </c>
      <c r="F1324" s="141">
        <v>584.5</v>
      </c>
      <c r="G1324" s="142"/>
      <c r="H1324" s="142">
        <v>584.5</v>
      </c>
      <c r="I1324" s="192">
        <v>71</v>
      </c>
    </row>
    <row r="1325" spans="1:9" x14ac:dyDescent="0.65">
      <c r="A1325" s="188">
        <v>40806</v>
      </c>
      <c r="B1325" s="35" t="s">
        <v>1347</v>
      </c>
      <c r="C1325" t="s">
        <v>1348</v>
      </c>
      <c r="D1325" t="s">
        <v>18</v>
      </c>
      <c r="E1325" s="141">
        <v>4</v>
      </c>
      <c r="F1325" s="141">
        <v>90</v>
      </c>
      <c r="G1325" s="142"/>
      <c r="H1325" s="142">
        <v>360</v>
      </c>
      <c r="I1325" s="192">
        <v>71</v>
      </c>
    </row>
    <row r="1326" spans="1:9" x14ac:dyDescent="0.65">
      <c r="A1326" s="188">
        <v>40806</v>
      </c>
      <c r="B1326" s="35" t="s">
        <v>7</v>
      </c>
      <c r="C1326" t="s">
        <v>7</v>
      </c>
      <c r="D1326" t="s">
        <v>18</v>
      </c>
      <c r="E1326" s="141">
        <v>4</v>
      </c>
      <c r="F1326" s="141">
        <v>35.35</v>
      </c>
      <c r="G1326" s="142"/>
      <c r="H1326" s="142">
        <v>141.4</v>
      </c>
      <c r="I1326" s="192">
        <v>71</v>
      </c>
    </row>
    <row r="1327" spans="1:9" x14ac:dyDescent="0.65">
      <c r="A1327" s="188">
        <v>40806</v>
      </c>
      <c r="B1327" s="35" t="s">
        <v>7</v>
      </c>
      <c r="C1327" t="s">
        <v>7</v>
      </c>
      <c r="D1327" t="s">
        <v>18</v>
      </c>
      <c r="E1327" s="141">
        <v>4</v>
      </c>
      <c r="F1327" s="141">
        <v>35.35</v>
      </c>
      <c r="G1327" s="142"/>
      <c r="H1327" s="142">
        <v>141.4</v>
      </c>
      <c r="I1327" s="192">
        <v>71</v>
      </c>
    </row>
    <row r="1328" spans="1:9" x14ac:dyDescent="0.65">
      <c r="A1328" s="188">
        <v>40813</v>
      </c>
      <c r="B1328" s="35" t="s">
        <v>7</v>
      </c>
      <c r="C1328" t="s">
        <v>7</v>
      </c>
      <c r="D1328" t="s">
        <v>18</v>
      </c>
      <c r="E1328" s="141">
        <v>4</v>
      </c>
      <c r="F1328" s="141">
        <v>35.35</v>
      </c>
      <c r="G1328" s="142"/>
      <c r="H1328" s="142">
        <v>141.4</v>
      </c>
      <c r="I1328" s="192">
        <v>71</v>
      </c>
    </row>
    <row r="1329" spans="1:9" x14ac:dyDescent="0.65">
      <c r="A1329" s="188">
        <v>40813</v>
      </c>
      <c r="B1329" s="35" t="s">
        <v>1347</v>
      </c>
      <c r="C1329" t="s">
        <v>1348</v>
      </c>
      <c r="D1329" t="s">
        <v>18</v>
      </c>
      <c r="E1329" s="141">
        <v>4</v>
      </c>
      <c r="F1329" s="141">
        <v>90</v>
      </c>
      <c r="G1329" s="142"/>
      <c r="H1329" s="142">
        <v>360</v>
      </c>
      <c r="I1329" s="192">
        <v>71</v>
      </c>
    </row>
    <row r="1330" spans="1:9" x14ac:dyDescent="0.65">
      <c r="A1330" s="188">
        <v>40817</v>
      </c>
      <c r="B1330" s="35" t="s">
        <v>1434</v>
      </c>
      <c r="C1330" t="s">
        <v>1435</v>
      </c>
      <c r="D1330" t="s">
        <v>451</v>
      </c>
      <c r="E1330" s="141">
        <v>1</v>
      </c>
      <c r="F1330" s="141">
        <v>1300</v>
      </c>
      <c r="G1330" s="142"/>
      <c r="H1330" s="142">
        <v>1300</v>
      </c>
      <c r="I1330" s="192">
        <v>71</v>
      </c>
    </row>
    <row r="1331" spans="1:9" x14ac:dyDescent="0.65">
      <c r="A1331" s="188">
        <v>40853</v>
      </c>
      <c r="B1331" s="35" t="s">
        <v>1436</v>
      </c>
      <c r="C1331" t="s">
        <v>1437</v>
      </c>
      <c r="D1331" t="s">
        <v>451</v>
      </c>
      <c r="E1331" s="141">
        <v>1456</v>
      </c>
      <c r="F1331" s="141">
        <v>20</v>
      </c>
      <c r="G1331" s="142"/>
      <c r="H1331" s="142">
        <v>29120</v>
      </c>
      <c r="I1331" s="192">
        <v>71</v>
      </c>
    </row>
    <row r="1332" spans="1:9" x14ac:dyDescent="0.65">
      <c r="A1332" s="188">
        <v>40877</v>
      </c>
      <c r="B1332" s="35" t="s">
        <v>1438</v>
      </c>
      <c r="C1332" t="s">
        <v>1433</v>
      </c>
      <c r="D1332" t="s">
        <v>451</v>
      </c>
      <c r="E1332" s="141">
        <v>1</v>
      </c>
      <c r="F1332" s="141">
        <v>1330</v>
      </c>
      <c r="G1332" s="142"/>
      <c r="H1332" s="142">
        <v>1330</v>
      </c>
      <c r="I1332" s="192">
        <v>71</v>
      </c>
    </row>
    <row r="1333" spans="1:9" x14ac:dyDescent="0.65">
      <c r="A1333" s="188">
        <v>40877</v>
      </c>
      <c r="B1333" s="35" t="s">
        <v>7</v>
      </c>
      <c r="C1333" t="s">
        <v>7</v>
      </c>
      <c r="D1333" t="s">
        <v>18</v>
      </c>
      <c r="E1333" s="141">
        <v>3</v>
      </c>
      <c r="F1333" s="141">
        <v>35.35</v>
      </c>
      <c r="G1333" s="142"/>
      <c r="H1333" s="142">
        <v>106.05</v>
      </c>
      <c r="I1333" s="192">
        <v>71</v>
      </c>
    </row>
    <row r="1334" spans="1:9" x14ac:dyDescent="0.65">
      <c r="A1334" s="188">
        <v>40877</v>
      </c>
      <c r="B1334" s="35" t="s">
        <v>1425</v>
      </c>
      <c r="C1334" t="s">
        <v>7</v>
      </c>
      <c r="D1334" t="s">
        <v>18</v>
      </c>
      <c r="E1334" s="141">
        <v>3</v>
      </c>
      <c r="F1334" s="141">
        <v>35.35</v>
      </c>
      <c r="G1334" s="142"/>
      <c r="H1334" s="142">
        <v>106.05</v>
      </c>
      <c r="I1334" s="192">
        <v>71</v>
      </c>
    </row>
    <row r="1335" spans="1:9" x14ac:dyDescent="0.65">
      <c r="A1335" s="188">
        <v>40877</v>
      </c>
      <c r="B1335" s="35" t="s">
        <v>1439</v>
      </c>
      <c r="C1335" t="s">
        <v>1433</v>
      </c>
      <c r="D1335" t="s">
        <v>451</v>
      </c>
      <c r="E1335" s="141">
        <v>1</v>
      </c>
      <c r="F1335" s="141">
        <v>1380</v>
      </c>
      <c r="G1335" s="142"/>
      <c r="H1335" s="142">
        <v>1380</v>
      </c>
      <c r="I1335" s="192">
        <v>71</v>
      </c>
    </row>
    <row r="1336" spans="1:9" x14ac:dyDescent="0.65">
      <c r="A1336" s="189" t="s">
        <v>448</v>
      </c>
      <c r="B1336" s="183" t="s">
        <v>1440</v>
      </c>
      <c r="C1336" s="184" t="s">
        <v>448</v>
      </c>
      <c r="D1336" s="184" t="s">
        <v>448</v>
      </c>
      <c r="E1336" s="185"/>
      <c r="F1336" s="185"/>
      <c r="G1336" s="186"/>
      <c r="H1336" s="186">
        <v>37066.6</v>
      </c>
      <c r="I1336" s="193" t="s">
        <v>1767</v>
      </c>
    </row>
    <row r="1337" spans="1:9" x14ac:dyDescent="0.65">
      <c r="A1337" s="188" t="s">
        <v>448</v>
      </c>
      <c r="B1337" s="35" t="s">
        <v>448</v>
      </c>
      <c r="C1337" t="s">
        <v>448</v>
      </c>
      <c r="D1337" t="s">
        <v>448</v>
      </c>
      <c r="E1337" s="141"/>
      <c r="F1337" s="141"/>
      <c r="G1337" s="142"/>
      <c r="H1337" s="142"/>
      <c r="I1337" s="191" t="s">
        <v>1767</v>
      </c>
    </row>
    <row r="1338" spans="1:9" x14ac:dyDescent="0.65">
      <c r="A1338" s="187" t="s">
        <v>448</v>
      </c>
      <c r="B1338" s="29" t="s">
        <v>1829</v>
      </c>
      <c r="C1338" s="27" t="s">
        <v>448</v>
      </c>
      <c r="D1338" s="27" t="s">
        <v>448</v>
      </c>
      <c r="E1338" s="181"/>
      <c r="F1338" s="181"/>
      <c r="G1338" s="182"/>
      <c r="H1338" s="182"/>
      <c r="I1338" s="140" t="s">
        <v>1767</v>
      </c>
    </row>
    <row r="1339" spans="1:9" x14ac:dyDescent="0.65">
      <c r="A1339" s="188">
        <v>40765</v>
      </c>
      <c r="B1339" s="35" t="s">
        <v>1347</v>
      </c>
      <c r="C1339" t="s">
        <v>1348</v>
      </c>
      <c r="D1339" t="s">
        <v>18</v>
      </c>
      <c r="E1339" s="141">
        <v>6</v>
      </c>
      <c r="F1339" s="141">
        <v>90</v>
      </c>
      <c r="G1339" s="142"/>
      <c r="H1339" s="142">
        <v>540</v>
      </c>
      <c r="I1339" s="192">
        <v>73</v>
      </c>
    </row>
    <row r="1340" spans="1:9" x14ac:dyDescent="0.65">
      <c r="A1340" s="188">
        <v>40765</v>
      </c>
      <c r="B1340" s="35" t="s">
        <v>1441</v>
      </c>
      <c r="C1340" t="s">
        <v>1442</v>
      </c>
      <c r="D1340" t="s">
        <v>451</v>
      </c>
      <c r="E1340" s="141">
        <v>1</v>
      </c>
      <c r="F1340" s="141">
        <v>318.7</v>
      </c>
      <c r="G1340" s="142"/>
      <c r="H1340" s="142">
        <v>318.7</v>
      </c>
      <c r="I1340" s="192">
        <v>73</v>
      </c>
    </row>
    <row r="1341" spans="1:9" x14ac:dyDescent="0.65">
      <c r="A1341" s="188">
        <v>40765</v>
      </c>
      <c r="B1341" s="35" t="s">
        <v>7</v>
      </c>
      <c r="C1341" t="s">
        <v>7</v>
      </c>
      <c r="D1341" t="s">
        <v>18</v>
      </c>
      <c r="E1341" s="141">
        <v>4</v>
      </c>
      <c r="F1341" s="141">
        <v>39.39</v>
      </c>
      <c r="G1341" s="142"/>
      <c r="H1341" s="142">
        <v>157.56</v>
      </c>
      <c r="I1341" s="192">
        <v>73</v>
      </c>
    </row>
    <row r="1342" spans="1:9" x14ac:dyDescent="0.65">
      <c r="A1342" s="188">
        <v>40765</v>
      </c>
      <c r="B1342" s="35" t="s">
        <v>1443</v>
      </c>
      <c r="C1342" t="s">
        <v>1442</v>
      </c>
      <c r="D1342" t="s">
        <v>451</v>
      </c>
      <c r="E1342" s="141">
        <v>34</v>
      </c>
      <c r="F1342" s="141">
        <v>59.3</v>
      </c>
      <c r="G1342" s="142"/>
      <c r="H1342" s="142">
        <v>2016.2</v>
      </c>
      <c r="I1342" s="192">
        <v>73</v>
      </c>
    </row>
    <row r="1343" spans="1:9" x14ac:dyDescent="0.65">
      <c r="A1343" s="188">
        <v>40766</v>
      </c>
      <c r="B1343" s="35" t="s">
        <v>7</v>
      </c>
      <c r="C1343" t="s">
        <v>7</v>
      </c>
      <c r="D1343" t="s">
        <v>18</v>
      </c>
      <c r="E1343" s="141">
        <v>3.5</v>
      </c>
      <c r="F1343" s="141">
        <v>39.39</v>
      </c>
      <c r="G1343" s="142"/>
      <c r="H1343" s="142">
        <v>137.86500000000001</v>
      </c>
      <c r="I1343" s="192">
        <v>73</v>
      </c>
    </row>
    <row r="1344" spans="1:9" x14ac:dyDescent="0.65">
      <c r="A1344" s="188">
        <v>40766</v>
      </c>
      <c r="B1344" s="35" t="s">
        <v>1347</v>
      </c>
      <c r="C1344" t="s">
        <v>1348</v>
      </c>
      <c r="D1344" t="s">
        <v>18</v>
      </c>
      <c r="E1344" s="141">
        <v>3</v>
      </c>
      <c r="F1344" s="141">
        <v>90</v>
      </c>
      <c r="G1344" s="142"/>
      <c r="H1344" s="142">
        <v>270</v>
      </c>
      <c r="I1344" s="192">
        <v>73</v>
      </c>
    </row>
    <row r="1345" spans="1:9" x14ac:dyDescent="0.65">
      <c r="A1345" s="188">
        <v>40777</v>
      </c>
      <c r="B1345" s="35" t="s">
        <v>1347</v>
      </c>
      <c r="C1345" t="s">
        <v>1348</v>
      </c>
      <c r="D1345" t="s">
        <v>18</v>
      </c>
      <c r="E1345" s="141">
        <v>7</v>
      </c>
      <c r="F1345" s="141">
        <v>90</v>
      </c>
      <c r="G1345" s="142"/>
      <c r="H1345" s="142">
        <v>630</v>
      </c>
      <c r="I1345" s="192">
        <v>73</v>
      </c>
    </row>
    <row r="1346" spans="1:9" x14ac:dyDescent="0.65">
      <c r="A1346" s="188">
        <v>40777</v>
      </c>
      <c r="B1346" s="35" t="s">
        <v>7</v>
      </c>
      <c r="C1346" t="s">
        <v>7</v>
      </c>
      <c r="D1346" t="s">
        <v>18</v>
      </c>
      <c r="E1346" s="141">
        <v>5.5</v>
      </c>
      <c r="F1346" s="141">
        <v>39.39</v>
      </c>
      <c r="G1346" s="142"/>
      <c r="H1346" s="142">
        <v>216.64500000000001</v>
      </c>
      <c r="I1346" s="192">
        <v>73</v>
      </c>
    </row>
    <row r="1347" spans="1:9" x14ac:dyDescent="0.65">
      <c r="A1347" s="188">
        <v>40778</v>
      </c>
      <c r="B1347" s="35" t="s">
        <v>7</v>
      </c>
      <c r="C1347" t="s">
        <v>7</v>
      </c>
      <c r="D1347" t="s">
        <v>18</v>
      </c>
      <c r="E1347" s="141">
        <v>4</v>
      </c>
      <c r="F1347" s="141">
        <v>39.39</v>
      </c>
      <c r="G1347" s="142"/>
      <c r="H1347" s="142">
        <v>157.56</v>
      </c>
      <c r="I1347" s="192">
        <v>73</v>
      </c>
    </row>
    <row r="1348" spans="1:9" x14ac:dyDescent="0.65">
      <c r="A1348" s="188">
        <v>40778</v>
      </c>
      <c r="B1348" s="35" t="s">
        <v>7</v>
      </c>
      <c r="C1348" t="s">
        <v>7</v>
      </c>
      <c r="D1348" t="s">
        <v>18</v>
      </c>
      <c r="E1348" s="141">
        <v>5.5</v>
      </c>
      <c r="F1348" s="141">
        <v>39.39</v>
      </c>
      <c r="G1348" s="142"/>
      <c r="H1348" s="142">
        <v>216.64500000000001</v>
      </c>
      <c r="I1348" s="192">
        <v>73</v>
      </c>
    </row>
    <row r="1349" spans="1:9" x14ac:dyDescent="0.65">
      <c r="A1349" s="188">
        <v>40786</v>
      </c>
      <c r="B1349" s="35" t="s">
        <v>1444</v>
      </c>
      <c r="C1349" t="s">
        <v>1433</v>
      </c>
      <c r="D1349" t="s">
        <v>451</v>
      </c>
      <c r="E1349" s="141">
        <v>1</v>
      </c>
      <c r="F1349" s="141">
        <v>11380</v>
      </c>
      <c r="G1349" s="142"/>
      <c r="H1349" s="142">
        <v>11380</v>
      </c>
      <c r="I1349" s="192">
        <v>73</v>
      </c>
    </row>
    <row r="1350" spans="1:9" x14ac:dyDescent="0.65">
      <c r="A1350" s="188">
        <v>40805</v>
      </c>
      <c r="B1350" s="35" t="s">
        <v>7</v>
      </c>
      <c r="C1350" t="s">
        <v>7</v>
      </c>
      <c r="D1350" t="s">
        <v>18</v>
      </c>
      <c r="E1350" s="141">
        <v>7.5</v>
      </c>
      <c r="F1350" s="141">
        <v>35.35</v>
      </c>
      <c r="G1350" s="142"/>
      <c r="H1350" s="142">
        <v>265.125</v>
      </c>
      <c r="I1350" s="192">
        <v>73</v>
      </c>
    </row>
    <row r="1351" spans="1:9" x14ac:dyDescent="0.65">
      <c r="A1351" s="188">
        <v>40805</v>
      </c>
      <c r="B1351" s="35" t="s">
        <v>1347</v>
      </c>
      <c r="C1351" t="s">
        <v>1348</v>
      </c>
      <c r="D1351" t="s">
        <v>18</v>
      </c>
      <c r="E1351" s="141">
        <v>7.5</v>
      </c>
      <c r="F1351" s="141">
        <v>90</v>
      </c>
      <c r="G1351" s="142"/>
      <c r="H1351" s="142">
        <v>675</v>
      </c>
      <c r="I1351" s="192">
        <v>73</v>
      </c>
    </row>
    <row r="1352" spans="1:9" x14ac:dyDescent="0.65">
      <c r="A1352" s="188">
        <v>40806</v>
      </c>
      <c r="B1352" s="35" t="s">
        <v>7</v>
      </c>
      <c r="C1352" t="s">
        <v>7</v>
      </c>
      <c r="D1352" t="s">
        <v>18</v>
      </c>
      <c r="E1352" s="141">
        <v>4</v>
      </c>
      <c r="F1352" s="141">
        <v>35.35</v>
      </c>
      <c r="G1352" s="142"/>
      <c r="H1352" s="142">
        <v>141.4</v>
      </c>
      <c r="I1352" s="192">
        <v>73</v>
      </c>
    </row>
    <row r="1353" spans="1:9" x14ac:dyDescent="0.65">
      <c r="A1353" s="188">
        <v>40808</v>
      </c>
      <c r="B1353" s="35" t="s">
        <v>1347</v>
      </c>
      <c r="C1353" t="s">
        <v>1348</v>
      </c>
      <c r="D1353" t="s">
        <v>18</v>
      </c>
      <c r="E1353" s="141">
        <v>3</v>
      </c>
      <c r="F1353" s="141">
        <v>90</v>
      </c>
      <c r="G1353" s="142"/>
      <c r="H1353" s="142">
        <v>270</v>
      </c>
      <c r="I1353" s="192">
        <v>73</v>
      </c>
    </row>
    <row r="1354" spans="1:9" x14ac:dyDescent="0.65">
      <c r="A1354" s="188">
        <v>40808</v>
      </c>
      <c r="B1354" s="35" t="s">
        <v>7</v>
      </c>
      <c r="C1354" t="s">
        <v>7</v>
      </c>
      <c r="D1354" t="s">
        <v>18</v>
      </c>
      <c r="E1354" s="141">
        <v>4</v>
      </c>
      <c r="F1354" s="141">
        <v>35.35</v>
      </c>
      <c r="G1354" s="142"/>
      <c r="H1354" s="142">
        <v>141.4</v>
      </c>
      <c r="I1354" s="192">
        <v>73</v>
      </c>
    </row>
    <row r="1355" spans="1:9" x14ac:dyDescent="0.65">
      <c r="A1355" s="188">
        <v>40809</v>
      </c>
      <c r="B1355" s="35" t="s">
        <v>7</v>
      </c>
      <c r="C1355" t="s">
        <v>7</v>
      </c>
      <c r="D1355" t="s">
        <v>18</v>
      </c>
      <c r="E1355" s="141">
        <v>2</v>
      </c>
      <c r="F1355" s="141">
        <v>35.35</v>
      </c>
      <c r="G1355" s="142"/>
      <c r="H1355" s="142">
        <v>70.7</v>
      </c>
      <c r="I1355" s="192">
        <v>73</v>
      </c>
    </row>
    <row r="1356" spans="1:9" x14ac:dyDescent="0.65">
      <c r="A1356" s="188">
        <v>40809</v>
      </c>
      <c r="B1356" s="35" t="s">
        <v>1347</v>
      </c>
      <c r="C1356" t="s">
        <v>1348</v>
      </c>
      <c r="D1356" t="s">
        <v>18</v>
      </c>
      <c r="E1356" s="141">
        <v>4.5</v>
      </c>
      <c r="F1356" s="141">
        <v>90</v>
      </c>
      <c r="G1356" s="142"/>
      <c r="H1356" s="142">
        <v>405</v>
      </c>
      <c r="I1356" s="192">
        <v>73</v>
      </c>
    </row>
    <row r="1357" spans="1:9" x14ac:dyDescent="0.65">
      <c r="A1357" s="188">
        <v>40817</v>
      </c>
      <c r="B1357" s="35" t="s">
        <v>1445</v>
      </c>
      <c r="C1357" t="s">
        <v>1435</v>
      </c>
      <c r="D1357" t="s">
        <v>451</v>
      </c>
      <c r="E1357" s="141">
        <v>1</v>
      </c>
      <c r="F1357" s="141">
        <v>1260</v>
      </c>
      <c r="G1357" s="142"/>
      <c r="H1357" s="142">
        <v>1260</v>
      </c>
      <c r="I1357" s="192">
        <v>73</v>
      </c>
    </row>
    <row r="1358" spans="1:9" x14ac:dyDescent="0.65">
      <c r="A1358" s="188">
        <v>40817</v>
      </c>
      <c r="B1358" s="35" t="s">
        <v>1446</v>
      </c>
      <c r="C1358" t="s">
        <v>1435</v>
      </c>
      <c r="D1358" t="s">
        <v>451</v>
      </c>
      <c r="E1358" s="141">
        <v>1</v>
      </c>
      <c r="F1358" s="141">
        <v>4989.6000000000004</v>
      </c>
      <c r="G1358" s="142"/>
      <c r="H1358" s="142">
        <v>4989.6000000000004</v>
      </c>
      <c r="I1358" s="192">
        <v>73</v>
      </c>
    </row>
    <row r="1359" spans="1:9" x14ac:dyDescent="0.65">
      <c r="A1359" s="188">
        <v>40817</v>
      </c>
      <c r="B1359" s="35" t="s">
        <v>1447</v>
      </c>
      <c r="C1359" t="s">
        <v>1433</v>
      </c>
      <c r="D1359" t="s">
        <v>451</v>
      </c>
      <c r="E1359" s="141">
        <v>1</v>
      </c>
      <c r="F1359" s="141">
        <v>6537.5</v>
      </c>
      <c r="G1359" s="142"/>
      <c r="H1359" s="142">
        <v>6537.5</v>
      </c>
      <c r="I1359" s="192">
        <v>73</v>
      </c>
    </row>
    <row r="1360" spans="1:9" ht="28.5" x14ac:dyDescent="0.65">
      <c r="A1360" s="188">
        <v>40817</v>
      </c>
      <c r="B1360" s="35" t="s">
        <v>1448</v>
      </c>
      <c r="C1360" t="s">
        <v>1435</v>
      </c>
      <c r="D1360" t="s">
        <v>451</v>
      </c>
      <c r="E1360" s="141">
        <v>1</v>
      </c>
      <c r="F1360" s="141">
        <v>720</v>
      </c>
      <c r="G1360" s="142"/>
      <c r="H1360" s="142">
        <v>720</v>
      </c>
      <c r="I1360" s="192">
        <v>73</v>
      </c>
    </row>
    <row r="1361" spans="1:9" x14ac:dyDescent="0.65">
      <c r="A1361" s="188">
        <v>40877</v>
      </c>
      <c r="B1361" s="35" t="s">
        <v>1449</v>
      </c>
      <c r="C1361" t="s">
        <v>1433</v>
      </c>
      <c r="D1361" t="s">
        <v>451</v>
      </c>
      <c r="E1361" s="141">
        <v>1</v>
      </c>
      <c r="F1361" s="141">
        <v>1080</v>
      </c>
      <c r="G1361" s="142"/>
      <c r="H1361" s="142">
        <v>1080</v>
      </c>
      <c r="I1361" s="192">
        <v>73</v>
      </c>
    </row>
    <row r="1362" spans="1:9" x14ac:dyDescent="0.65">
      <c r="A1362" s="188">
        <v>40877</v>
      </c>
      <c r="B1362" s="35" t="s">
        <v>1450</v>
      </c>
      <c r="C1362" t="s">
        <v>1433</v>
      </c>
      <c r="D1362" t="s">
        <v>451</v>
      </c>
      <c r="E1362" s="141">
        <v>1</v>
      </c>
      <c r="F1362" s="141">
        <v>1080</v>
      </c>
      <c r="G1362" s="142"/>
      <c r="H1362" s="142">
        <v>1080</v>
      </c>
      <c r="I1362" s="192">
        <v>73</v>
      </c>
    </row>
    <row r="1363" spans="1:9" x14ac:dyDescent="0.65">
      <c r="A1363" s="189" t="s">
        <v>448</v>
      </c>
      <c r="B1363" s="183" t="s">
        <v>1451</v>
      </c>
      <c r="C1363" s="184" t="s">
        <v>448</v>
      </c>
      <c r="D1363" s="184" t="s">
        <v>448</v>
      </c>
      <c r="E1363" s="185"/>
      <c r="F1363" s="185"/>
      <c r="G1363" s="186"/>
      <c r="H1363" s="186">
        <v>33676.9</v>
      </c>
      <c r="I1363" s="193" t="s">
        <v>1767</v>
      </c>
    </row>
    <row r="1364" spans="1:9" x14ac:dyDescent="0.65">
      <c r="A1364" s="188" t="s">
        <v>448</v>
      </c>
      <c r="B1364" s="35" t="s">
        <v>448</v>
      </c>
      <c r="C1364" t="s">
        <v>448</v>
      </c>
      <c r="D1364" t="s">
        <v>448</v>
      </c>
      <c r="E1364" s="141"/>
      <c r="F1364" s="141"/>
      <c r="G1364" s="142"/>
      <c r="H1364" s="142"/>
      <c r="I1364" s="191" t="s">
        <v>1767</v>
      </c>
    </row>
    <row r="1365" spans="1:9" x14ac:dyDescent="0.65">
      <c r="A1365" s="187" t="s">
        <v>448</v>
      </c>
      <c r="B1365" s="29" t="s">
        <v>1830</v>
      </c>
      <c r="C1365" s="27" t="s">
        <v>448</v>
      </c>
      <c r="D1365" s="27" t="s">
        <v>448</v>
      </c>
      <c r="E1365" s="181"/>
      <c r="F1365" s="181"/>
      <c r="G1365" s="182"/>
      <c r="H1365" s="182"/>
      <c r="I1365" s="140" t="s">
        <v>1767</v>
      </c>
    </row>
    <row r="1366" spans="1:9" x14ac:dyDescent="0.65">
      <c r="A1366" s="188">
        <v>40696</v>
      </c>
      <c r="B1366" s="35" t="s">
        <v>7</v>
      </c>
      <c r="C1366" t="s">
        <v>7</v>
      </c>
      <c r="D1366" t="s">
        <v>18</v>
      </c>
      <c r="E1366" s="141">
        <v>4</v>
      </c>
      <c r="F1366" s="141">
        <v>39.39</v>
      </c>
      <c r="G1366" s="142"/>
      <c r="H1366" s="142">
        <v>157.56</v>
      </c>
      <c r="I1366" s="192">
        <v>81</v>
      </c>
    </row>
    <row r="1367" spans="1:9" x14ac:dyDescent="0.65">
      <c r="A1367" s="188">
        <v>40729</v>
      </c>
      <c r="B1367" s="35" t="s">
        <v>1370</v>
      </c>
      <c r="C1367" t="s">
        <v>7</v>
      </c>
      <c r="D1367" t="s">
        <v>18</v>
      </c>
      <c r="E1367" s="141">
        <v>2</v>
      </c>
      <c r="F1367" s="141">
        <v>39.18</v>
      </c>
      <c r="G1367" s="142"/>
      <c r="H1367" s="142">
        <v>78.36</v>
      </c>
      <c r="I1367" s="192">
        <v>81</v>
      </c>
    </row>
    <row r="1368" spans="1:9" x14ac:dyDescent="0.65">
      <c r="A1368" s="188">
        <v>40729</v>
      </c>
      <c r="B1368" s="35" t="s">
        <v>1336</v>
      </c>
      <c r="C1368" t="s">
        <v>1371</v>
      </c>
      <c r="D1368" t="s">
        <v>18</v>
      </c>
      <c r="E1368" s="141">
        <v>2.5</v>
      </c>
      <c r="F1368" s="141">
        <v>65</v>
      </c>
      <c r="G1368" s="142"/>
      <c r="H1368" s="142">
        <v>162.5</v>
      </c>
      <c r="I1368" s="192">
        <v>81</v>
      </c>
    </row>
    <row r="1369" spans="1:9" x14ac:dyDescent="0.65">
      <c r="A1369" s="188">
        <v>40749</v>
      </c>
      <c r="B1369" s="35" t="s">
        <v>1334</v>
      </c>
      <c r="C1369" t="s">
        <v>1335</v>
      </c>
      <c r="D1369" t="s">
        <v>18</v>
      </c>
      <c r="E1369" s="141">
        <v>5</v>
      </c>
      <c r="F1369" s="141">
        <v>135</v>
      </c>
      <c r="G1369" s="142"/>
      <c r="H1369" s="142">
        <v>675</v>
      </c>
      <c r="I1369" s="192">
        <v>81</v>
      </c>
    </row>
    <row r="1370" spans="1:9" x14ac:dyDescent="0.65">
      <c r="A1370" s="188">
        <v>40750</v>
      </c>
      <c r="B1370" s="35" t="s">
        <v>1347</v>
      </c>
      <c r="C1370" t="s">
        <v>1348</v>
      </c>
      <c r="D1370" t="s">
        <v>18</v>
      </c>
      <c r="E1370" s="141">
        <v>3</v>
      </c>
      <c r="F1370" s="141">
        <v>90</v>
      </c>
      <c r="G1370" s="142"/>
      <c r="H1370" s="142">
        <v>270</v>
      </c>
      <c r="I1370" s="192">
        <v>81</v>
      </c>
    </row>
    <row r="1371" spans="1:9" x14ac:dyDescent="0.65">
      <c r="A1371" s="188">
        <v>40753</v>
      </c>
      <c r="B1371" s="35" t="s">
        <v>1452</v>
      </c>
      <c r="C1371" t="s">
        <v>1453</v>
      </c>
      <c r="D1371" t="s">
        <v>451</v>
      </c>
      <c r="E1371" s="141">
        <v>1</v>
      </c>
      <c r="F1371" s="141">
        <v>11851</v>
      </c>
      <c r="G1371" s="142"/>
      <c r="H1371" s="142">
        <v>11851</v>
      </c>
      <c r="I1371" s="192">
        <v>81</v>
      </c>
    </row>
    <row r="1372" spans="1:9" x14ac:dyDescent="0.65">
      <c r="A1372" s="188">
        <v>40766</v>
      </c>
      <c r="B1372" s="35" t="s">
        <v>1347</v>
      </c>
      <c r="C1372" t="s">
        <v>1348</v>
      </c>
      <c r="D1372" t="s">
        <v>18</v>
      </c>
      <c r="E1372" s="141">
        <v>3</v>
      </c>
      <c r="F1372" s="141">
        <v>90</v>
      </c>
      <c r="G1372" s="142"/>
      <c r="H1372" s="142">
        <v>270</v>
      </c>
      <c r="I1372" s="192">
        <v>81</v>
      </c>
    </row>
    <row r="1373" spans="1:9" x14ac:dyDescent="0.65">
      <c r="A1373" s="188">
        <v>40814</v>
      </c>
      <c r="B1373" s="35" t="s">
        <v>1454</v>
      </c>
      <c r="C1373" t="s">
        <v>1442</v>
      </c>
      <c r="D1373" t="s">
        <v>451</v>
      </c>
      <c r="E1373" s="141">
        <v>1</v>
      </c>
      <c r="F1373" s="141">
        <v>180</v>
      </c>
      <c r="G1373" s="142"/>
      <c r="H1373" s="142">
        <v>180</v>
      </c>
      <c r="I1373" s="192">
        <v>81</v>
      </c>
    </row>
    <row r="1374" spans="1:9" x14ac:dyDescent="0.65">
      <c r="A1374" s="188">
        <v>40816</v>
      </c>
      <c r="B1374" s="35" t="s">
        <v>1455</v>
      </c>
      <c r="C1374" t="s">
        <v>1453</v>
      </c>
      <c r="D1374" t="s">
        <v>451</v>
      </c>
      <c r="E1374" s="141">
        <v>1</v>
      </c>
      <c r="F1374" s="141">
        <v>2130.4</v>
      </c>
      <c r="G1374" s="142"/>
      <c r="H1374" s="142">
        <v>2130.4</v>
      </c>
      <c r="I1374" s="192">
        <v>81</v>
      </c>
    </row>
    <row r="1375" spans="1:9" x14ac:dyDescent="0.65">
      <c r="A1375" s="188">
        <v>40816</v>
      </c>
      <c r="B1375" s="35" t="s">
        <v>1456</v>
      </c>
      <c r="C1375" t="s">
        <v>1453</v>
      </c>
      <c r="D1375" t="s">
        <v>451</v>
      </c>
      <c r="E1375" s="141">
        <v>1</v>
      </c>
      <c r="F1375" s="141">
        <v>1720</v>
      </c>
      <c r="G1375" s="142"/>
      <c r="H1375" s="142">
        <v>1720</v>
      </c>
      <c r="I1375" s="192">
        <v>81</v>
      </c>
    </row>
    <row r="1376" spans="1:9" x14ac:dyDescent="0.65">
      <c r="A1376" s="189" t="s">
        <v>448</v>
      </c>
      <c r="B1376" s="183" t="s">
        <v>1457</v>
      </c>
      <c r="C1376" s="184" t="s">
        <v>448</v>
      </c>
      <c r="D1376" s="184" t="s">
        <v>448</v>
      </c>
      <c r="E1376" s="185"/>
      <c r="F1376" s="185"/>
      <c r="G1376" s="186"/>
      <c r="H1376" s="186">
        <v>17494.82</v>
      </c>
      <c r="I1376" s="193" t="s">
        <v>1767</v>
      </c>
    </row>
    <row r="1377" spans="1:9" x14ac:dyDescent="0.65">
      <c r="A1377" s="188" t="s">
        <v>448</v>
      </c>
      <c r="B1377" s="35" t="s">
        <v>448</v>
      </c>
      <c r="C1377" t="s">
        <v>448</v>
      </c>
      <c r="D1377" t="s">
        <v>448</v>
      </c>
      <c r="E1377" s="141"/>
      <c r="F1377" s="141"/>
      <c r="G1377" s="142"/>
      <c r="H1377" s="142"/>
      <c r="I1377" s="191" t="s">
        <v>1767</v>
      </c>
    </row>
    <row r="1378" spans="1:9" x14ac:dyDescent="0.65">
      <c r="A1378" s="187" t="s">
        <v>448</v>
      </c>
      <c r="B1378" s="29" t="s">
        <v>1831</v>
      </c>
      <c r="C1378" s="27" t="s">
        <v>448</v>
      </c>
      <c r="D1378" s="27" t="s">
        <v>448</v>
      </c>
      <c r="E1378" s="181"/>
      <c r="F1378" s="181"/>
      <c r="G1378" s="182"/>
      <c r="H1378" s="182"/>
      <c r="I1378" s="140" t="s">
        <v>1767</v>
      </c>
    </row>
    <row r="1379" spans="1:9" x14ac:dyDescent="0.65">
      <c r="A1379" s="188">
        <v>40753</v>
      </c>
      <c r="B1379" s="35" t="s">
        <v>1452</v>
      </c>
      <c r="C1379" t="s">
        <v>1453</v>
      </c>
      <c r="D1379" t="s">
        <v>451</v>
      </c>
      <c r="E1379" s="141">
        <v>1</v>
      </c>
      <c r="F1379" s="141">
        <v>4000</v>
      </c>
      <c r="G1379" s="142"/>
      <c r="H1379" s="142">
        <v>4000</v>
      </c>
      <c r="I1379" s="192">
        <v>85</v>
      </c>
    </row>
    <row r="1380" spans="1:9" x14ac:dyDescent="0.65">
      <c r="A1380" s="188">
        <v>40756</v>
      </c>
      <c r="B1380" s="35" t="s">
        <v>7</v>
      </c>
      <c r="C1380" t="s">
        <v>7</v>
      </c>
      <c r="D1380" t="s">
        <v>18</v>
      </c>
      <c r="E1380" s="141">
        <v>8</v>
      </c>
      <c r="F1380" s="141">
        <v>39.39</v>
      </c>
      <c r="G1380" s="142"/>
      <c r="H1380" s="142">
        <v>315.12</v>
      </c>
      <c r="I1380" s="192">
        <v>85</v>
      </c>
    </row>
    <row r="1381" spans="1:9" x14ac:dyDescent="0.65">
      <c r="A1381" s="188">
        <v>40756</v>
      </c>
      <c r="B1381" s="35" t="s">
        <v>1347</v>
      </c>
      <c r="C1381" t="s">
        <v>1348</v>
      </c>
      <c r="D1381" t="s">
        <v>18</v>
      </c>
      <c r="E1381" s="141">
        <v>6</v>
      </c>
      <c r="F1381" s="141">
        <v>90</v>
      </c>
      <c r="G1381" s="142"/>
      <c r="H1381" s="142">
        <v>540</v>
      </c>
      <c r="I1381" s="192">
        <v>85</v>
      </c>
    </row>
    <row r="1382" spans="1:9" x14ac:dyDescent="0.65">
      <c r="A1382" s="188">
        <v>40757</v>
      </c>
      <c r="B1382" s="35" t="s">
        <v>7</v>
      </c>
      <c r="C1382" t="s">
        <v>7</v>
      </c>
      <c r="D1382" t="s">
        <v>18</v>
      </c>
      <c r="E1382" s="141">
        <v>6.5</v>
      </c>
      <c r="F1382" s="141">
        <v>39.39</v>
      </c>
      <c r="G1382" s="142"/>
      <c r="H1382" s="142">
        <v>256.03500000000003</v>
      </c>
      <c r="I1382" s="192">
        <v>85</v>
      </c>
    </row>
    <row r="1383" spans="1:9" x14ac:dyDescent="0.65">
      <c r="A1383" s="188">
        <v>40757</v>
      </c>
      <c r="B1383" s="35" t="s">
        <v>1347</v>
      </c>
      <c r="C1383" t="s">
        <v>1348</v>
      </c>
      <c r="D1383" t="s">
        <v>18</v>
      </c>
      <c r="E1383" s="141">
        <v>6</v>
      </c>
      <c r="F1383" s="141">
        <v>90</v>
      </c>
      <c r="G1383" s="142"/>
      <c r="H1383" s="142">
        <v>540</v>
      </c>
      <c r="I1383" s="192">
        <v>85</v>
      </c>
    </row>
    <row r="1384" spans="1:9" x14ac:dyDescent="0.65">
      <c r="A1384" s="188">
        <v>40758</v>
      </c>
      <c r="B1384" s="35" t="s">
        <v>1458</v>
      </c>
      <c r="C1384" t="s">
        <v>1459</v>
      </c>
      <c r="D1384" t="s">
        <v>451</v>
      </c>
      <c r="E1384" s="141">
        <v>1</v>
      </c>
      <c r="F1384" s="141">
        <v>382</v>
      </c>
      <c r="G1384" s="142"/>
      <c r="H1384" s="142">
        <v>382</v>
      </c>
      <c r="I1384" s="192">
        <v>85</v>
      </c>
    </row>
    <row r="1385" spans="1:9" x14ac:dyDescent="0.65">
      <c r="A1385" s="188">
        <v>40758</v>
      </c>
      <c r="B1385" s="35" t="s">
        <v>7</v>
      </c>
      <c r="C1385" t="s">
        <v>7</v>
      </c>
      <c r="D1385" t="s">
        <v>18</v>
      </c>
      <c r="E1385" s="141">
        <v>4</v>
      </c>
      <c r="F1385" s="141">
        <v>39.39</v>
      </c>
      <c r="G1385" s="142"/>
      <c r="H1385" s="142">
        <v>157.56</v>
      </c>
      <c r="I1385" s="192">
        <v>85</v>
      </c>
    </row>
    <row r="1386" spans="1:9" x14ac:dyDescent="0.65">
      <c r="A1386" s="188">
        <v>40758</v>
      </c>
      <c r="B1386" s="35" t="s">
        <v>7</v>
      </c>
      <c r="C1386" t="s">
        <v>7</v>
      </c>
      <c r="D1386" t="s">
        <v>18</v>
      </c>
      <c r="E1386" s="141">
        <v>2</v>
      </c>
      <c r="F1386" s="141">
        <v>39.39</v>
      </c>
      <c r="G1386" s="142"/>
      <c r="H1386" s="142">
        <v>78.78</v>
      </c>
      <c r="I1386" s="192">
        <v>85</v>
      </c>
    </row>
    <row r="1387" spans="1:9" x14ac:dyDescent="0.65">
      <c r="A1387" s="188">
        <v>40759</v>
      </c>
      <c r="B1387" s="35" t="s">
        <v>7</v>
      </c>
      <c r="C1387" t="s">
        <v>7</v>
      </c>
      <c r="D1387" t="s">
        <v>18</v>
      </c>
      <c r="E1387" s="141">
        <v>6</v>
      </c>
      <c r="F1387" s="141">
        <v>39.39</v>
      </c>
      <c r="G1387" s="142"/>
      <c r="H1387" s="142">
        <v>236.34</v>
      </c>
      <c r="I1387" s="192">
        <v>85</v>
      </c>
    </row>
    <row r="1388" spans="1:9" x14ac:dyDescent="0.65">
      <c r="A1388" s="188">
        <v>40763</v>
      </c>
      <c r="B1388" s="35" t="s">
        <v>7</v>
      </c>
      <c r="C1388" t="s">
        <v>7</v>
      </c>
      <c r="D1388" t="s">
        <v>18</v>
      </c>
      <c r="E1388" s="141">
        <v>6.5</v>
      </c>
      <c r="F1388" s="141">
        <v>39.39</v>
      </c>
      <c r="G1388" s="142"/>
      <c r="H1388" s="142">
        <v>256.03500000000003</v>
      </c>
      <c r="I1388" s="192">
        <v>85</v>
      </c>
    </row>
    <row r="1389" spans="1:9" x14ac:dyDescent="0.65">
      <c r="A1389" s="188">
        <v>40763</v>
      </c>
      <c r="B1389" s="35" t="s">
        <v>1347</v>
      </c>
      <c r="C1389" t="s">
        <v>1348</v>
      </c>
      <c r="D1389" t="s">
        <v>18</v>
      </c>
      <c r="E1389" s="141">
        <v>2</v>
      </c>
      <c r="F1389" s="141">
        <v>90</v>
      </c>
      <c r="G1389" s="142"/>
      <c r="H1389" s="142">
        <v>180</v>
      </c>
      <c r="I1389" s="192">
        <v>85</v>
      </c>
    </row>
    <row r="1390" spans="1:9" x14ac:dyDescent="0.65">
      <c r="A1390" s="188">
        <v>40766</v>
      </c>
      <c r="B1390" s="35" t="s">
        <v>7</v>
      </c>
      <c r="C1390" t="s">
        <v>7</v>
      </c>
      <c r="D1390" t="s">
        <v>18</v>
      </c>
      <c r="E1390" s="141">
        <v>2</v>
      </c>
      <c r="F1390" s="141">
        <v>39.39</v>
      </c>
      <c r="G1390" s="142"/>
      <c r="H1390" s="142">
        <v>78.78</v>
      </c>
      <c r="I1390" s="192">
        <v>85</v>
      </c>
    </row>
    <row r="1391" spans="1:9" x14ac:dyDescent="0.65">
      <c r="A1391" s="188">
        <v>40766</v>
      </c>
      <c r="B1391" s="35" t="s">
        <v>1347</v>
      </c>
      <c r="C1391" t="s">
        <v>1348</v>
      </c>
      <c r="D1391" t="s">
        <v>18</v>
      </c>
      <c r="E1391" s="141">
        <v>2</v>
      </c>
      <c r="F1391" s="141">
        <v>90</v>
      </c>
      <c r="G1391" s="142"/>
      <c r="H1391" s="142">
        <v>180</v>
      </c>
      <c r="I1391" s="192">
        <v>85</v>
      </c>
    </row>
    <row r="1392" spans="1:9" x14ac:dyDescent="0.65">
      <c r="A1392" s="188">
        <v>40766</v>
      </c>
      <c r="B1392" s="35" t="s">
        <v>7</v>
      </c>
      <c r="C1392" t="s">
        <v>7</v>
      </c>
      <c r="D1392" t="s">
        <v>18</v>
      </c>
      <c r="E1392" s="141">
        <v>2</v>
      </c>
      <c r="F1392" s="141">
        <v>39.39</v>
      </c>
      <c r="G1392" s="142"/>
      <c r="H1392" s="142">
        <v>78.78</v>
      </c>
      <c r="I1392" s="192">
        <v>85</v>
      </c>
    </row>
    <row r="1393" spans="1:9" x14ac:dyDescent="0.65">
      <c r="A1393" s="188">
        <v>40767</v>
      </c>
      <c r="B1393" s="35" t="s">
        <v>7</v>
      </c>
      <c r="C1393" t="s">
        <v>7</v>
      </c>
      <c r="D1393" t="s">
        <v>18</v>
      </c>
      <c r="E1393" s="141">
        <v>3</v>
      </c>
      <c r="F1393" s="141">
        <v>39.39</v>
      </c>
      <c r="G1393" s="142"/>
      <c r="H1393" s="142">
        <v>118.17</v>
      </c>
      <c r="I1393" s="192">
        <v>85</v>
      </c>
    </row>
    <row r="1394" spans="1:9" x14ac:dyDescent="0.65">
      <c r="A1394" s="188">
        <v>40771</v>
      </c>
      <c r="B1394" s="35" t="s">
        <v>7</v>
      </c>
      <c r="C1394" t="s">
        <v>7</v>
      </c>
      <c r="D1394" t="s">
        <v>18</v>
      </c>
      <c r="E1394" s="141">
        <v>3</v>
      </c>
      <c r="F1394" s="141">
        <v>39.39</v>
      </c>
      <c r="G1394" s="142"/>
      <c r="H1394" s="142">
        <v>118.17</v>
      </c>
      <c r="I1394" s="192">
        <v>85</v>
      </c>
    </row>
    <row r="1395" spans="1:9" x14ac:dyDescent="0.65">
      <c r="A1395" s="188">
        <v>40779</v>
      </c>
      <c r="B1395" s="35" t="s">
        <v>1460</v>
      </c>
      <c r="C1395" t="s">
        <v>1453</v>
      </c>
      <c r="D1395" t="s">
        <v>451</v>
      </c>
      <c r="E1395" s="141">
        <v>1</v>
      </c>
      <c r="F1395" s="141">
        <v>5681.81</v>
      </c>
      <c r="G1395" s="142"/>
      <c r="H1395" s="142">
        <v>5681.81</v>
      </c>
      <c r="I1395" s="192">
        <v>85</v>
      </c>
    </row>
    <row r="1396" spans="1:9" x14ac:dyDescent="0.65">
      <c r="A1396" s="188">
        <v>40794</v>
      </c>
      <c r="B1396" s="35" t="s">
        <v>1347</v>
      </c>
      <c r="C1396" t="s">
        <v>1348</v>
      </c>
      <c r="D1396" t="s">
        <v>18</v>
      </c>
      <c r="E1396" s="141">
        <v>4</v>
      </c>
      <c r="F1396" s="141">
        <v>90</v>
      </c>
      <c r="G1396" s="142"/>
      <c r="H1396" s="142">
        <v>360</v>
      </c>
      <c r="I1396" s="192">
        <v>85</v>
      </c>
    </row>
    <row r="1397" spans="1:9" x14ac:dyDescent="0.65">
      <c r="A1397" s="188">
        <v>40794</v>
      </c>
      <c r="B1397" s="35" t="s">
        <v>7</v>
      </c>
      <c r="C1397" t="s">
        <v>7</v>
      </c>
      <c r="D1397" t="s">
        <v>18</v>
      </c>
      <c r="E1397" s="141">
        <v>3</v>
      </c>
      <c r="F1397" s="141">
        <v>39.39</v>
      </c>
      <c r="G1397" s="142"/>
      <c r="H1397" s="142">
        <v>118.17</v>
      </c>
      <c r="I1397" s="192">
        <v>85</v>
      </c>
    </row>
    <row r="1398" spans="1:9" x14ac:dyDescent="0.65">
      <c r="A1398" s="188">
        <v>40795</v>
      </c>
      <c r="B1398" s="35" t="s">
        <v>7</v>
      </c>
      <c r="C1398" t="s">
        <v>7</v>
      </c>
      <c r="D1398" t="s">
        <v>18</v>
      </c>
      <c r="E1398" s="141">
        <v>2</v>
      </c>
      <c r="F1398" s="141">
        <v>39.39</v>
      </c>
      <c r="G1398" s="142"/>
      <c r="H1398" s="142">
        <v>78.78</v>
      </c>
      <c r="I1398" s="192">
        <v>85</v>
      </c>
    </row>
    <row r="1399" spans="1:9" x14ac:dyDescent="0.65">
      <c r="A1399" s="188">
        <v>40796</v>
      </c>
      <c r="B1399" s="35" t="s">
        <v>7</v>
      </c>
      <c r="C1399" t="s">
        <v>7</v>
      </c>
      <c r="D1399" t="s">
        <v>18</v>
      </c>
      <c r="E1399" s="141">
        <v>6</v>
      </c>
      <c r="F1399" s="141">
        <v>39.39</v>
      </c>
      <c r="G1399" s="142"/>
      <c r="H1399" s="142">
        <v>236.34</v>
      </c>
      <c r="I1399" s="192">
        <v>85</v>
      </c>
    </row>
    <row r="1400" spans="1:9" x14ac:dyDescent="0.65">
      <c r="A1400" s="188">
        <v>40799</v>
      </c>
      <c r="B1400" s="35" t="s">
        <v>7</v>
      </c>
      <c r="C1400" t="s">
        <v>7</v>
      </c>
      <c r="D1400" t="s">
        <v>18</v>
      </c>
      <c r="E1400" s="141">
        <v>4</v>
      </c>
      <c r="F1400" s="141">
        <v>39.39</v>
      </c>
      <c r="G1400" s="142"/>
      <c r="H1400" s="142">
        <v>157.56</v>
      </c>
      <c r="I1400" s="192">
        <v>85</v>
      </c>
    </row>
    <row r="1401" spans="1:9" x14ac:dyDescent="0.65">
      <c r="A1401" s="188">
        <v>40799</v>
      </c>
      <c r="B1401" s="35" t="s">
        <v>7</v>
      </c>
      <c r="C1401" t="s">
        <v>7</v>
      </c>
      <c r="D1401" t="s">
        <v>18</v>
      </c>
      <c r="E1401" s="141">
        <v>4</v>
      </c>
      <c r="F1401" s="141">
        <v>39.39</v>
      </c>
      <c r="G1401" s="142"/>
      <c r="H1401" s="142">
        <v>157.56</v>
      </c>
      <c r="I1401" s="192">
        <v>85</v>
      </c>
    </row>
    <row r="1402" spans="1:9" x14ac:dyDescent="0.65">
      <c r="A1402" s="188">
        <v>40801</v>
      </c>
      <c r="B1402" s="35" t="s">
        <v>7</v>
      </c>
      <c r="C1402" t="s">
        <v>7</v>
      </c>
      <c r="D1402" t="s">
        <v>18</v>
      </c>
      <c r="E1402" s="141">
        <v>2.5</v>
      </c>
      <c r="F1402" s="141">
        <v>35.35</v>
      </c>
      <c r="G1402" s="142"/>
      <c r="H1402" s="142">
        <v>88.375</v>
      </c>
      <c r="I1402" s="192">
        <v>85</v>
      </c>
    </row>
    <row r="1403" spans="1:9" x14ac:dyDescent="0.65">
      <c r="A1403" s="188">
        <v>40801</v>
      </c>
      <c r="B1403" s="35" t="s">
        <v>7</v>
      </c>
      <c r="C1403" t="s">
        <v>7</v>
      </c>
      <c r="D1403" t="s">
        <v>18</v>
      </c>
      <c r="E1403" s="141">
        <v>2.5</v>
      </c>
      <c r="F1403" s="141">
        <v>35.35</v>
      </c>
      <c r="G1403" s="142"/>
      <c r="H1403" s="142">
        <v>88.375</v>
      </c>
      <c r="I1403" s="192">
        <v>85</v>
      </c>
    </row>
    <row r="1404" spans="1:9" x14ac:dyDescent="0.65">
      <c r="A1404" s="188">
        <v>40802</v>
      </c>
      <c r="B1404" s="35" t="s">
        <v>7</v>
      </c>
      <c r="C1404" t="s">
        <v>7</v>
      </c>
      <c r="D1404" t="s">
        <v>18</v>
      </c>
      <c r="E1404" s="141">
        <v>4</v>
      </c>
      <c r="F1404" s="141">
        <v>35.35</v>
      </c>
      <c r="G1404" s="142"/>
      <c r="H1404" s="142">
        <v>141.4</v>
      </c>
      <c r="I1404" s="192">
        <v>85</v>
      </c>
    </row>
    <row r="1405" spans="1:9" x14ac:dyDescent="0.65">
      <c r="A1405" s="188">
        <v>40802</v>
      </c>
      <c r="B1405" s="35" t="s">
        <v>7</v>
      </c>
      <c r="C1405" t="s">
        <v>7</v>
      </c>
      <c r="D1405" t="s">
        <v>18</v>
      </c>
      <c r="E1405" s="141">
        <v>4</v>
      </c>
      <c r="F1405" s="141">
        <v>35.35</v>
      </c>
      <c r="G1405" s="142"/>
      <c r="H1405" s="142">
        <v>141.4</v>
      </c>
      <c r="I1405" s="192">
        <v>85</v>
      </c>
    </row>
    <row r="1406" spans="1:9" x14ac:dyDescent="0.65">
      <c r="A1406" s="188">
        <v>40807</v>
      </c>
      <c r="B1406" s="35" t="s">
        <v>1461</v>
      </c>
      <c r="C1406" t="s">
        <v>1442</v>
      </c>
      <c r="D1406" t="s">
        <v>451</v>
      </c>
      <c r="E1406" s="141">
        <v>1</v>
      </c>
      <c r="F1406" s="141">
        <v>873.75</v>
      </c>
      <c r="G1406" s="142"/>
      <c r="H1406" s="142">
        <v>873.75</v>
      </c>
      <c r="I1406" s="192">
        <v>85</v>
      </c>
    </row>
    <row r="1407" spans="1:9" x14ac:dyDescent="0.65">
      <c r="A1407" s="188">
        <v>40816</v>
      </c>
      <c r="B1407" s="35" t="s">
        <v>1462</v>
      </c>
      <c r="C1407" t="s">
        <v>1453</v>
      </c>
      <c r="D1407" t="s">
        <v>451</v>
      </c>
      <c r="E1407" s="141">
        <v>1</v>
      </c>
      <c r="F1407" s="141">
        <v>6560</v>
      </c>
      <c r="G1407" s="142"/>
      <c r="H1407" s="142">
        <v>6560</v>
      </c>
      <c r="I1407" s="192">
        <v>85</v>
      </c>
    </row>
    <row r="1408" spans="1:9" x14ac:dyDescent="0.65">
      <c r="A1408" s="188">
        <v>40816</v>
      </c>
      <c r="B1408" s="35" t="s">
        <v>1463</v>
      </c>
      <c r="C1408" t="s">
        <v>1453</v>
      </c>
      <c r="D1408" t="s">
        <v>451</v>
      </c>
      <c r="E1408" s="141">
        <v>1</v>
      </c>
      <c r="F1408" s="141">
        <v>2600</v>
      </c>
      <c r="G1408" s="142"/>
      <c r="H1408" s="142">
        <v>2600</v>
      </c>
      <c r="I1408" s="192">
        <v>85</v>
      </c>
    </row>
    <row r="1409" spans="1:9" x14ac:dyDescent="0.65">
      <c r="A1409" s="188">
        <v>40822</v>
      </c>
      <c r="B1409" s="35" t="s">
        <v>1347</v>
      </c>
      <c r="C1409" t="s">
        <v>1348</v>
      </c>
      <c r="D1409" t="s">
        <v>18</v>
      </c>
      <c r="E1409" s="141">
        <v>2</v>
      </c>
      <c r="F1409" s="141">
        <v>90</v>
      </c>
      <c r="G1409" s="142"/>
      <c r="H1409" s="142">
        <v>180</v>
      </c>
      <c r="I1409" s="192">
        <v>85</v>
      </c>
    </row>
    <row r="1410" spans="1:9" x14ac:dyDescent="0.65">
      <c r="A1410" s="188">
        <v>40822</v>
      </c>
      <c r="B1410" s="35" t="s">
        <v>7</v>
      </c>
      <c r="C1410" t="s">
        <v>7</v>
      </c>
      <c r="D1410" t="s">
        <v>18</v>
      </c>
      <c r="E1410" s="141">
        <v>2</v>
      </c>
      <c r="F1410" s="141">
        <v>35.35</v>
      </c>
      <c r="G1410" s="142"/>
      <c r="H1410" s="142">
        <v>70.7</v>
      </c>
      <c r="I1410" s="192">
        <v>85</v>
      </c>
    </row>
    <row r="1411" spans="1:9" x14ac:dyDescent="0.65">
      <c r="A1411" s="188">
        <v>40822</v>
      </c>
      <c r="B1411" s="35" t="s">
        <v>7</v>
      </c>
      <c r="C1411" t="s">
        <v>7</v>
      </c>
      <c r="D1411" t="s">
        <v>18</v>
      </c>
      <c r="E1411" s="141">
        <v>2</v>
      </c>
      <c r="F1411" s="141">
        <v>35.35</v>
      </c>
      <c r="G1411" s="142"/>
      <c r="H1411" s="142">
        <v>70.7</v>
      </c>
      <c r="I1411" s="192">
        <v>85</v>
      </c>
    </row>
    <row r="1412" spans="1:9" x14ac:dyDescent="0.65">
      <c r="A1412" s="189" t="s">
        <v>448</v>
      </c>
      <c r="B1412" s="183" t="s">
        <v>1464</v>
      </c>
      <c r="C1412" s="184" t="s">
        <v>448</v>
      </c>
      <c r="D1412" s="184" t="s">
        <v>448</v>
      </c>
      <c r="E1412" s="185"/>
      <c r="F1412" s="185"/>
      <c r="G1412" s="186"/>
      <c r="H1412" s="186">
        <v>25120.69</v>
      </c>
      <c r="I1412" s="193" t="s">
        <v>1767</v>
      </c>
    </row>
    <row r="1413" spans="1:9" x14ac:dyDescent="0.65">
      <c r="A1413" s="188" t="s">
        <v>448</v>
      </c>
      <c r="B1413" s="35" t="s">
        <v>448</v>
      </c>
      <c r="C1413" t="s">
        <v>448</v>
      </c>
      <c r="D1413" t="s">
        <v>448</v>
      </c>
      <c r="E1413" s="141"/>
      <c r="F1413" s="141"/>
      <c r="G1413" s="142"/>
      <c r="H1413" s="142"/>
      <c r="I1413" s="191" t="s">
        <v>1767</v>
      </c>
    </row>
    <row r="1414" spans="1:9" x14ac:dyDescent="0.65">
      <c r="A1414" s="187" t="s">
        <v>448</v>
      </c>
      <c r="B1414" s="29" t="s">
        <v>1832</v>
      </c>
      <c r="C1414" s="27" t="s">
        <v>448</v>
      </c>
      <c r="D1414" s="27" t="s">
        <v>448</v>
      </c>
      <c r="E1414" s="181"/>
      <c r="F1414" s="181"/>
      <c r="G1414" s="182"/>
      <c r="H1414" s="182"/>
      <c r="I1414" s="140" t="s">
        <v>1767</v>
      </c>
    </row>
    <row r="1415" spans="1:9" x14ac:dyDescent="0.65">
      <c r="A1415" s="188">
        <v>40681</v>
      </c>
      <c r="B1415" s="35" t="s">
        <v>1465</v>
      </c>
      <c r="C1415" t="s">
        <v>1466</v>
      </c>
      <c r="D1415" t="s">
        <v>451</v>
      </c>
      <c r="E1415" s="141">
        <v>1</v>
      </c>
      <c r="F1415" s="141">
        <v>1440.91</v>
      </c>
      <c r="G1415" s="142"/>
      <c r="H1415" s="142">
        <v>1440.91</v>
      </c>
      <c r="I1415" s="192">
        <v>95</v>
      </c>
    </row>
    <row r="1416" spans="1:9" x14ac:dyDescent="0.65">
      <c r="A1416" s="188">
        <v>40681</v>
      </c>
      <c r="B1416" s="35" t="s">
        <v>1467</v>
      </c>
      <c r="C1416" t="s">
        <v>1466</v>
      </c>
      <c r="D1416" t="s">
        <v>451</v>
      </c>
      <c r="E1416" s="141">
        <v>2</v>
      </c>
      <c r="F1416" s="141">
        <v>4176</v>
      </c>
      <c r="G1416" s="142"/>
      <c r="H1416" s="142">
        <v>8352</v>
      </c>
      <c r="I1416" s="192">
        <v>95</v>
      </c>
    </row>
    <row r="1417" spans="1:9" x14ac:dyDescent="0.65">
      <c r="A1417" s="188">
        <v>40694</v>
      </c>
      <c r="B1417" s="35" t="s">
        <v>1468</v>
      </c>
      <c r="C1417" t="s">
        <v>1453</v>
      </c>
      <c r="D1417" t="s">
        <v>451</v>
      </c>
      <c r="E1417" s="141">
        <v>1</v>
      </c>
      <c r="F1417" s="141">
        <v>19747</v>
      </c>
      <c r="G1417" s="142"/>
      <c r="H1417" s="142">
        <v>19747</v>
      </c>
      <c r="I1417" s="192">
        <v>95</v>
      </c>
    </row>
    <row r="1418" spans="1:9" x14ac:dyDescent="0.65">
      <c r="A1418" s="188">
        <v>40697</v>
      </c>
      <c r="B1418" s="35" t="s">
        <v>7</v>
      </c>
      <c r="C1418" t="s">
        <v>7</v>
      </c>
      <c r="D1418" t="s">
        <v>18</v>
      </c>
      <c r="E1418" s="141">
        <v>3</v>
      </c>
      <c r="F1418" s="141">
        <v>39.39</v>
      </c>
      <c r="G1418" s="142"/>
      <c r="H1418" s="142">
        <v>118.17</v>
      </c>
      <c r="I1418" s="192">
        <v>95</v>
      </c>
    </row>
    <row r="1419" spans="1:9" x14ac:dyDescent="0.65">
      <c r="A1419" s="188">
        <v>40700</v>
      </c>
      <c r="B1419" s="35" t="s">
        <v>7</v>
      </c>
      <c r="C1419" t="s">
        <v>7</v>
      </c>
      <c r="D1419" t="s">
        <v>18</v>
      </c>
      <c r="E1419" s="141">
        <v>6</v>
      </c>
      <c r="F1419" s="141">
        <v>39.39</v>
      </c>
      <c r="G1419" s="142"/>
      <c r="H1419" s="142">
        <v>236.34</v>
      </c>
      <c r="I1419" s="192">
        <v>95</v>
      </c>
    </row>
    <row r="1420" spans="1:9" x14ac:dyDescent="0.65">
      <c r="A1420" s="188">
        <v>40700</v>
      </c>
      <c r="B1420" s="35" t="s">
        <v>1469</v>
      </c>
      <c r="C1420" t="s">
        <v>1459</v>
      </c>
      <c r="D1420" t="s">
        <v>451</v>
      </c>
      <c r="E1420" s="141">
        <v>1</v>
      </c>
      <c r="F1420" s="141">
        <v>160.16</v>
      </c>
      <c r="G1420" s="142"/>
      <c r="H1420" s="142">
        <v>160.16</v>
      </c>
      <c r="I1420" s="192">
        <v>95</v>
      </c>
    </row>
    <row r="1421" spans="1:9" x14ac:dyDescent="0.65">
      <c r="A1421" s="188">
        <v>40701</v>
      </c>
      <c r="B1421" s="35" t="s">
        <v>7</v>
      </c>
      <c r="C1421" t="s">
        <v>7</v>
      </c>
      <c r="D1421" t="s">
        <v>18</v>
      </c>
      <c r="E1421" s="141">
        <v>3</v>
      </c>
      <c r="F1421" s="141">
        <v>39.39</v>
      </c>
      <c r="G1421" s="142"/>
      <c r="H1421" s="142">
        <v>118.17</v>
      </c>
      <c r="I1421" s="192">
        <v>95</v>
      </c>
    </row>
    <row r="1422" spans="1:9" x14ac:dyDescent="0.65">
      <c r="A1422" s="188">
        <v>40701</v>
      </c>
      <c r="B1422" s="35" t="s">
        <v>7</v>
      </c>
      <c r="C1422" t="s">
        <v>7</v>
      </c>
      <c r="D1422" t="s">
        <v>18</v>
      </c>
      <c r="E1422" s="141">
        <v>3</v>
      </c>
      <c r="F1422" s="141">
        <v>39.39</v>
      </c>
      <c r="G1422" s="142"/>
      <c r="H1422" s="142">
        <v>118.17</v>
      </c>
      <c r="I1422" s="192">
        <v>95</v>
      </c>
    </row>
    <row r="1423" spans="1:9" x14ac:dyDescent="0.65">
      <c r="A1423" s="188">
        <v>40704</v>
      </c>
      <c r="B1423" s="35" t="s">
        <v>1470</v>
      </c>
      <c r="C1423" t="s">
        <v>1453</v>
      </c>
      <c r="D1423" t="s">
        <v>451</v>
      </c>
      <c r="E1423" s="141">
        <v>1</v>
      </c>
      <c r="F1423" s="141">
        <v>32270</v>
      </c>
      <c r="G1423" s="142"/>
      <c r="H1423" s="142">
        <v>32270</v>
      </c>
      <c r="I1423" s="192">
        <v>95</v>
      </c>
    </row>
    <row r="1424" spans="1:9" x14ac:dyDescent="0.65">
      <c r="A1424" s="188">
        <v>40743</v>
      </c>
      <c r="B1424" s="35" t="s">
        <v>1471</v>
      </c>
      <c r="C1424" t="s">
        <v>1453</v>
      </c>
      <c r="D1424" t="s">
        <v>451</v>
      </c>
      <c r="E1424" s="141">
        <v>1</v>
      </c>
      <c r="F1424" s="141">
        <v>171</v>
      </c>
      <c r="G1424" s="142"/>
      <c r="H1424" s="142">
        <v>171</v>
      </c>
      <c r="I1424" s="192">
        <v>95</v>
      </c>
    </row>
    <row r="1425" spans="1:9" x14ac:dyDescent="0.65">
      <c r="A1425" s="188">
        <v>40750</v>
      </c>
      <c r="B1425" s="35" t="s">
        <v>1472</v>
      </c>
      <c r="C1425" t="s">
        <v>1453</v>
      </c>
      <c r="D1425" t="s">
        <v>451</v>
      </c>
      <c r="E1425" s="141">
        <v>1</v>
      </c>
      <c r="F1425" s="141">
        <v>815</v>
      </c>
      <c r="G1425" s="142"/>
      <c r="H1425" s="142">
        <v>815</v>
      </c>
      <c r="I1425" s="192">
        <v>95</v>
      </c>
    </row>
    <row r="1426" spans="1:9" x14ac:dyDescent="0.65">
      <c r="A1426" s="188">
        <v>40784</v>
      </c>
      <c r="B1426" s="35" t="s">
        <v>1473</v>
      </c>
      <c r="C1426" t="s">
        <v>1453</v>
      </c>
      <c r="D1426" t="s">
        <v>451</v>
      </c>
      <c r="E1426" s="141">
        <v>1</v>
      </c>
      <c r="F1426" s="141">
        <v>1590</v>
      </c>
      <c r="G1426" s="142"/>
      <c r="H1426" s="142">
        <v>1590</v>
      </c>
      <c r="I1426" s="192">
        <v>95</v>
      </c>
    </row>
    <row r="1427" spans="1:9" x14ac:dyDescent="0.65">
      <c r="A1427" s="188">
        <v>40816</v>
      </c>
      <c r="B1427" s="35" t="s">
        <v>1474</v>
      </c>
      <c r="C1427" t="s">
        <v>1453</v>
      </c>
      <c r="D1427" t="s">
        <v>451</v>
      </c>
      <c r="E1427" s="141">
        <v>1</v>
      </c>
      <c r="F1427" s="141">
        <v>73815</v>
      </c>
      <c r="G1427" s="142"/>
      <c r="H1427" s="142">
        <v>73815</v>
      </c>
      <c r="I1427" s="192">
        <v>95</v>
      </c>
    </row>
    <row r="1428" spans="1:9" x14ac:dyDescent="0.65">
      <c r="A1428" s="188">
        <v>40819</v>
      </c>
      <c r="B1428" s="35" t="s">
        <v>7</v>
      </c>
      <c r="C1428" t="s">
        <v>7</v>
      </c>
      <c r="D1428" t="s">
        <v>18</v>
      </c>
      <c r="E1428" s="141">
        <v>2</v>
      </c>
      <c r="F1428" s="141">
        <v>35.35</v>
      </c>
      <c r="G1428" s="142"/>
      <c r="H1428" s="142">
        <v>70.7</v>
      </c>
      <c r="I1428" s="192">
        <v>95</v>
      </c>
    </row>
    <row r="1429" spans="1:9" x14ac:dyDescent="0.65">
      <c r="A1429" s="188">
        <v>40819</v>
      </c>
      <c r="B1429" s="35" t="s">
        <v>7</v>
      </c>
      <c r="C1429" t="s">
        <v>7</v>
      </c>
      <c r="D1429" t="s">
        <v>18</v>
      </c>
      <c r="E1429" s="141">
        <v>2</v>
      </c>
      <c r="F1429" s="141">
        <v>35.35</v>
      </c>
      <c r="G1429" s="142"/>
      <c r="H1429" s="142">
        <v>70.7</v>
      </c>
      <c r="I1429" s="192">
        <v>95</v>
      </c>
    </row>
    <row r="1430" spans="1:9" x14ac:dyDescent="0.65">
      <c r="A1430" s="188">
        <v>40821</v>
      </c>
      <c r="B1430" s="35" t="s">
        <v>7</v>
      </c>
      <c r="C1430" t="s">
        <v>7</v>
      </c>
      <c r="D1430" t="s">
        <v>18</v>
      </c>
      <c r="E1430" s="141">
        <v>2</v>
      </c>
      <c r="F1430" s="141">
        <v>35.35</v>
      </c>
      <c r="G1430" s="142"/>
      <c r="H1430" s="142">
        <v>70.7</v>
      </c>
      <c r="I1430" s="192">
        <v>95</v>
      </c>
    </row>
    <row r="1431" spans="1:9" x14ac:dyDescent="0.65">
      <c r="A1431" s="188">
        <v>40821</v>
      </c>
      <c r="B1431" s="35" t="s">
        <v>1347</v>
      </c>
      <c r="C1431" t="s">
        <v>1348</v>
      </c>
      <c r="D1431" t="s">
        <v>18</v>
      </c>
      <c r="E1431" s="141">
        <v>2</v>
      </c>
      <c r="F1431" s="141">
        <v>90</v>
      </c>
      <c r="G1431" s="142"/>
      <c r="H1431" s="142">
        <v>180</v>
      </c>
      <c r="I1431" s="192">
        <v>95</v>
      </c>
    </row>
    <row r="1432" spans="1:9" x14ac:dyDescent="0.65">
      <c r="A1432" s="188">
        <v>40821</v>
      </c>
      <c r="B1432" s="35" t="s">
        <v>7</v>
      </c>
      <c r="C1432" t="s">
        <v>7</v>
      </c>
      <c r="D1432" t="s">
        <v>18</v>
      </c>
      <c r="E1432" s="141">
        <v>2</v>
      </c>
      <c r="F1432" s="141">
        <v>35.35</v>
      </c>
      <c r="G1432" s="142"/>
      <c r="H1432" s="142">
        <v>70.7</v>
      </c>
      <c r="I1432" s="192">
        <v>95</v>
      </c>
    </row>
    <row r="1433" spans="1:9" x14ac:dyDescent="0.65">
      <c r="A1433" s="188">
        <v>40822</v>
      </c>
      <c r="B1433" s="35" t="s">
        <v>7</v>
      </c>
      <c r="C1433" t="s">
        <v>7</v>
      </c>
      <c r="D1433" t="s">
        <v>18</v>
      </c>
      <c r="E1433" s="141">
        <v>2</v>
      </c>
      <c r="F1433" s="141">
        <v>35.35</v>
      </c>
      <c r="G1433" s="142"/>
      <c r="H1433" s="142">
        <v>70.7</v>
      </c>
      <c r="I1433" s="192">
        <v>95</v>
      </c>
    </row>
    <row r="1434" spans="1:9" x14ac:dyDescent="0.65">
      <c r="A1434" s="188">
        <v>40822</v>
      </c>
      <c r="B1434" s="35" t="s">
        <v>7</v>
      </c>
      <c r="C1434" t="s">
        <v>7</v>
      </c>
      <c r="D1434" t="s">
        <v>18</v>
      </c>
      <c r="E1434" s="141">
        <v>2</v>
      </c>
      <c r="F1434" s="141">
        <v>35.35</v>
      </c>
      <c r="G1434" s="142"/>
      <c r="H1434" s="142">
        <v>70.7</v>
      </c>
      <c r="I1434" s="192">
        <v>95</v>
      </c>
    </row>
    <row r="1435" spans="1:9" x14ac:dyDescent="0.65">
      <c r="A1435" s="188">
        <v>40877</v>
      </c>
      <c r="B1435" s="35" t="s">
        <v>1475</v>
      </c>
      <c r="C1435" t="s">
        <v>1453</v>
      </c>
      <c r="D1435" t="s">
        <v>451</v>
      </c>
      <c r="E1435" s="141">
        <v>1</v>
      </c>
      <c r="F1435" s="141">
        <v>5686</v>
      </c>
      <c r="G1435" s="142"/>
      <c r="H1435" s="142">
        <v>5686</v>
      </c>
      <c r="I1435" s="192">
        <v>95</v>
      </c>
    </row>
    <row r="1436" spans="1:9" x14ac:dyDescent="0.65">
      <c r="A1436" s="189" t="s">
        <v>448</v>
      </c>
      <c r="B1436" s="183" t="s">
        <v>1476</v>
      </c>
      <c r="C1436" s="184" t="s">
        <v>448</v>
      </c>
      <c r="D1436" s="184" t="s">
        <v>448</v>
      </c>
      <c r="E1436" s="185"/>
      <c r="F1436" s="185"/>
      <c r="G1436" s="186"/>
      <c r="H1436" s="186">
        <v>145242.12</v>
      </c>
      <c r="I1436" s="193" t="s">
        <v>1767</v>
      </c>
    </row>
    <row r="1437" spans="1:9" x14ac:dyDescent="0.65">
      <c r="A1437" s="188" t="s">
        <v>448</v>
      </c>
      <c r="B1437" s="35" t="s">
        <v>448</v>
      </c>
      <c r="C1437" t="s">
        <v>448</v>
      </c>
      <c r="D1437" t="s">
        <v>448</v>
      </c>
      <c r="E1437" s="141"/>
      <c r="F1437" s="141"/>
      <c r="G1437" s="142"/>
      <c r="H1437" s="142"/>
      <c r="I1437" s="191" t="s">
        <v>1767</v>
      </c>
    </row>
    <row r="1438" spans="1:9" x14ac:dyDescent="0.65">
      <c r="A1438" s="187" t="s">
        <v>448</v>
      </c>
      <c r="B1438" s="29" t="s">
        <v>1833</v>
      </c>
      <c r="C1438" s="27" t="s">
        <v>448</v>
      </c>
      <c r="D1438" s="27" t="s">
        <v>448</v>
      </c>
      <c r="E1438" s="181"/>
      <c r="F1438" s="181"/>
      <c r="G1438" s="182"/>
      <c r="H1438" s="182"/>
      <c r="I1438" s="140" t="s">
        <v>1767</v>
      </c>
    </row>
    <row r="1439" spans="1:9" x14ac:dyDescent="0.65">
      <c r="A1439" s="188">
        <v>40694</v>
      </c>
      <c r="B1439" s="35" t="s">
        <v>1468</v>
      </c>
      <c r="C1439" t="s">
        <v>1453</v>
      </c>
      <c r="D1439" t="s">
        <v>451</v>
      </c>
      <c r="E1439" s="141">
        <v>1</v>
      </c>
      <c r="F1439" s="141">
        <v>2320</v>
      </c>
      <c r="G1439" s="142"/>
      <c r="H1439" s="142">
        <v>2320</v>
      </c>
      <c r="I1439" s="192">
        <v>103</v>
      </c>
    </row>
    <row r="1440" spans="1:9" x14ac:dyDescent="0.65">
      <c r="A1440" s="188">
        <v>40704</v>
      </c>
      <c r="B1440" s="35" t="s">
        <v>1477</v>
      </c>
      <c r="C1440" t="s">
        <v>1453</v>
      </c>
      <c r="D1440" t="s">
        <v>451</v>
      </c>
      <c r="E1440" s="141">
        <v>1</v>
      </c>
      <c r="F1440" s="141">
        <v>585</v>
      </c>
      <c r="G1440" s="142"/>
      <c r="H1440" s="142">
        <v>585</v>
      </c>
      <c r="I1440" s="192">
        <v>103</v>
      </c>
    </row>
    <row r="1441" spans="1:9" x14ac:dyDescent="0.65">
      <c r="A1441" s="188">
        <v>40779</v>
      </c>
      <c r="B1441" s="35" t="s">
        <v>1460</v>
      </c>
      <c r="C1441" t="s">
        <v>1453</v>
      </c>
      <c r="D1441" t="s">
        <v>451</v>
      </c>
      <c r="E1441" s="141">
        <v>1</v>
      </c>
      <c r="F1441" s="141">
        <v>5230</v>
      </c>
      <c r="G1441" s="142"/>
      <c r="H1441" s="142">
        <v>5230</v>
      </c>
      <c r="I1441" s="192">
        <v>103</v>
      </c>
    </row>
    <row r="1442" spans="1:9" x14ac:dyDescent="0.65">
      <c r="A1442" s="188">
        <v>40877</v>
      </c>
      <c r="B1442" s="35" t="s">
        <v>1478</v>
      </c>
      <c r="C1442" t="s">
        <v>1479</v>
      </c>
      <c r="D1442" t="s">
        <v>451</v>
      </c>
      <c r="E1442" s="141">
        <v>1</v>
      </c>
      <c r="F1442" s="141">
        <v>190</v>
      </c>
      <c r="G1442" s="142"/>
      <c r="H1442" s="142">
        <v>190</v>
      </c>
      <c r="I1442" s="192">
        <v>103</v>
      </c>
    </row>
    <row r="1443" spans="1:9" x14ac:dyDescent="0.65">
      <c r="A1443" s="189" t="s">
        <v>448</v>
      </c>
      <c r="B1443" s="183" t="s">
        <v>1480</v>
      </c>
      <c r="C1443" s="184" t="s">
        <v>448</v>
      </c>
      <c r="D1443" s="184" t="s">
        <v>448</v>
      </c>
      <c r="E1443" s="185"/>
      <c r="F1443" s="185"/>
      <c r="G1443" s="186"/>
      <c r="H1443" s="186">
        <v>8325</v>
      </c>
      <c r="I1443" s="193" t="s">
        <v>1767</v>
      </c>
    </row>
    <row r="1444" spans="1:9" x14ac:dyDescent="0.65">
      <c r="A1444" s="188" t="s">
        <v>448</v>
      </c>
      <c r="B1444" s="35" t="s">
        <v>448</v>
      </c>
      <c r="C1444" t="s">
        <v>448</v>
      </c>
      <c r="D1444" t="s">
        <v>448</v>
      </c>
      <c r="E1444" s="141"/>
      <c r="F1444" s="141"/>
      <c r="G1444" s="142"/>
      <c r="H1444" s="142"/>
      <c r="I1444" s="191" t="s">
        <v>1767</v>
      </c>
    </row>
    <row r="1445" spans="1:9" x14ac:dyDescent="0.65">
      <c r="A1445" s="187" t="s">
        <v>448</v>
      </c>
      <c r="B1445" s="29" t="s">
        <v>1834</v>
      </c>
      <c r="C1445" s="27" t="s">
        <v>448</v>
      </c>
      <c r="D1445" s="27" t="s">
        <v>448</v>
      </c>
      <c r="E1445" s="181"/>
      <c r="F1445" s="181"/>
      <c r="G1445" s="182"/>
      <c r="H1445" s="182"/>
      <c r="I1445" s="140" t="s">
        <v>1767</v>
      </c>
    </row>
    <row r="1446" spans="1:9" x14ac:dyDescent="0.65">
      <c r="A1446" s="188">
        <v>40721</v>
      </c>
      <c r="B1446" s="35" t="s">
        <v>1481</v>
      </c>
      <c r="C1446" t="s">
        <v>1453</v>
      </c>
      <c r="D1446" t="s">
        <v>451</v>
      </c>
      <c r="E1446" s="141">
        <v>1</v>
      </c>
      <c r="F1446" s="141">
        <v>13375</v>
      </c>
      <c r="G1446" s="142"/>
      <c r="H1446" s="142">
        <v>13375</v>
      </c>
      <c r="I1446" s="192">
        <v>111</v>
      </c>
    </row>
    <row r="1447" spans="1:9" x14ac:dyDescent="0.65">
      <c r="A1447" s="188">
        <v>40750</v>
      </c>
      <c r="B1447" s="35" t="s">
        <v>7</v>
      </c>
      <c r="C1447" t="s">
        <v>7</v>
      </c>
      <c r="D1447" t="s">
        <v>18</v>
      </c>
      <c r="E1447" s="141">
        <v>6</v>
      </c>
      <c r="F1447" s="141">
        <v>39.39</v>
      </c>
      <c r="G1447" s="142"/>
      <c r="H1447" s="142">
        <v>236.34</v>
      </c>
      <c r="I1447" s="192">
        <v>111</v>
      </c>
    </row>
    <row r="1448" spans="1:9" x14ac:dyDescent="0.65">
      <c r="A1448" s="188">
        <v>40750</v>
      </c>
      <c r="B1448" s="35" t="s">
        <v>1347</v>
      </c>
      <c r="C1448" t="s">
        <v>1348</v>
      </c>
      <c r="D1448" t="s">
        <v>18</v>
      </c>
      <c r="E1448" s="141">
        <v>6</v>
      </c>
      <c r="F1448" s="141">
        <v>90</v>
      </c>
      <c r="G1448" s="142"/>
      <c r="H1448" s="142">
        <v>540</v>
      </c>
      <c r="I1448" s="192">
        <v>111</v>
      </c>
    </row>
    <row r="1449" spans="1:9" x14ac:dyDescent="0.65">
      <c r="A1449" s="188">
        <v>40753</v>
      </c>
      <c r="B1449" s="35" t="s">
        <v>1452</v>
      </c>
      <c r="C1449" t="s">
        <v>1453</v>
      </c>
      <c r="D1449" t="s">
        <v>451</v>
      </c>
      <c r="E1449" s="141">
        <v>1</v>
      </c>
      <c r="F1449" s="141">
        <v>20300</v>
      </c>
      <c r="G1449" s="142"/>
      <c r="H1449" s="142">
        <v>20300</v>
      </c>
      <c r="I1449" s="192">
        <v>111</v>
      </c>
    </row>
    <row r="1450" spans="1:9" x14ac:dyDescent="0.65">
      <c r="A1450" s="188">
        <v>40765</v>
      </c>
      <c r="B1450" s="35" t="s">
        <v>1347</v>
      </c>
      <c r="C1450" t="s">
        <v>1348</v>
      </c>
      <c r="D1450" t="s">
        <v>18</v>
      </c>
      <c r="E1450" s="141">
        <v>2</v>
      </c>
      <c r="F1450" s="141">
        <v>90</v>
      </c>
      <c r="G1450" s="142"/>
      <c r="H1450" s="142">
        <v>180</v>
      </c>
      <c r="I1450" s="192">
        <v>111</v>
      </c>
    </row>
    <row r="1451" spans="1:9" x14ac:dyDescent="0.65">
      <c r="A1451" s="188">
        <v>40801</v>
      </c>
      <c r="B1451" s="35" t="s">
        <v>7</v>
      </c>
      <c r="C1451" t="s">
        <v>7</v>
      </c>
      <c r="D1451" t="s">
        <v>18</v>
      </c>
      <c r="E1451" s="141">
        <v>2</v>
      </c>
      <c r="F1451" s="141">
        <v>35.35</v>
      </c>
      <c r="G1451" s="142"/>
      <c r="H1451" s="142">
        <v>70.7</v>
      </c>
      <c r="I1451" s="192">
        <v>111</v>
      </c>
    </row>
    <row r="1452" spans="1:9" x14ac:dyDescent="0.65">
      <c r="A1452" s="188">
        <v>40808</v>
      </c>
      <c r="B1452" s="35" t="s">
        <v>7</v>
      </c>
      <c r="C1452" t="s">
        <v>7</v>
      </c>
      <c r="D1452" t="s">
        <v>18</v>
      </c>
      <c r="E1452" s="141">
        <v>6</v>
      </c>
      <c r="F1452" s="141">
        <v>35.35</v>
      </c>
      <c r="G1452" s="142"/>
      <c r="H1452" s="142">
        <v>212.1</v>
      </c>
      <c r="I1452" s="192">
        <v>111</v>
      </c>
    </row>
    <row r="1453" spans="1:9" x14ac:dyDescent="0.65">
      <c r="A1453" s="188">
        <v>40812</v>
      </c>
      <c r="B1453" s="35" t="s">
        <v>1347</v>
      </c>
      <c r="C1453" t="s">
        <v>1348</v>
      </c>
      <c r="D1453" t="s">
        <v>18</v>
      </c>
      <c r="E1453" s="141">
        <v>2.5</v>
      </c>
      <c r="F1453" s="141">
        <v>90</v>
      </c>
      <c r="G1453" s="142"/>
      <c r="H1453" s="142">
        <v>225</v>
      </c>
      <c r="I1453" s="192">
        <v>111</v>
      </c>
    </row>
    <row r="1454" spans="1:9" x14ac:dyDescent="0.65">
      <c r="A1454" s="188">
        <v>40814</v>
      </c>
      <c r="B1454" s="35" t="s">
        <v>1347</v>
      </c>
      <c r="C1454" t="s">
        <v>1348</v>
      </c>
      <c r="D1454" t="s">
        <v>18</v>
      </c>
      <c r="E1454" s="141">
        <v>4</v>
      </c>
      <c r="F1454" s="141">
        <v>90</v>
      </c>
      <c r="G1454" s="142"/>
      <c r="H1454" s="142">
        <v>360</v>
      </c>
      <c r="I1454" s="192">
        <v>111</v>
      </c>
    </row>
    <row r="1455" spans="1:9" x14ac:dyDescent="0.65">
      <c r="A1455" s="188">
        <v>40814</v>
      </c>
      <c r="B1455" s="35" t="s">
        <v>7</v>
      </c>
      <c r="C1455" t="s">
        <v>7</v>
      </c>
      <c r="D1455" t="s">
        <v>18</v>
      </c>
      <c r="E1455" s="141">
        <v>11</v>
      </c>
      <c r="F1455" s="141">
        <v>35.35</v>
      </c>
      <c r="G1455" s="142"/>
      <c r="H1455" s="142">
        <v>388.85</v>
      </c>
      <c r="I1455" s="192">
        <v>111</v>
      </c>
    </row>
    <row r="1456" spans="1:9" x14ac:dyDescent="0.65">
      <c r="A1456" s="188">
        <v>40815</v>
      </c>
      <c r="B1456" s="35" t="s">
        <v>1347</v>
      </c>
      <c r="C1456" t="s">
        <v>1348</v>
      </c>
      <c r="D1456" t="s">
        <v>18</v>
      </c>
      <c r="E1456" s="141">
        <v>3</v>
      </c>
      <c r="F1456" s="141">
        <v>90</v>
      </c>
      <c r="G1456" s="142"/>
      <c r="H1456" s="142">
        <v>270</v>
      </c>
      <c r="I1456" s="192">
        <v>111</v>
      </c>
    </row>
    <row r="1457" spans="1:9" x14ac:dyDescent="0.65">
      <c r="A1457" s="188">
        <v>40815</v>
      </c>
      <c r="B1457" s="35" t="s">
        <v>7</v>
      </c>
      <c r="C1457" t="s">
        <v>7</v>
      </c>
      <c r="D1457" t="s">
        <v>18</v>
      </c>
      <c r="E1457" s="141">
        <v>3</v>
      </c>
      <c r="F1457" s="141">
        <v>35.35</v>
      </c>
      <c r="G1457" s="142"/>
      <c r="H1457" s="142">
        <v>106.05</v>
      </c>
      <c r="I1457" s="192">
        <v>111</v>
      </c>
    </row>
    <row r="1458" spans="1:9" x14ac:dyDescent="0.65">
      <c r="A1458" s="188">
        <v>40815</v>
      </c>
      <c r="B1458" s="35" t="s">
        <v>7</v>
      </c>
      <c r="C1458" t="s">
        <v>7</v>
      </c>
      <c r="D1458" t="s">
        <v>18</v>
      </c>
      <c r="E1458" s="141">
        <v>3</v>
      </c>
      <c r="F1458" s="141">
        <v>35.35</v>
      </c>
      <c r="G1458" s="142"/>
      <c r="H1458" s="142">
        <v>106.05</v>
      </c>
      <c r="I1458" s="192">
        <v>111</v>
      </c>
    </row>
    <row r="1459" spans="1:9" x14ac:dyDescent="0.65">
      <c r="A1459" s="188">
        <v>40816</v>
      </c>
      <c r="B1459" s="35" t="s">
        <v>7</v>
      </c>
      <c r="C1459" t="s">
        <v>7</v>
      </c>
      <c r="D1459" t="s">
        <v>18</v>
      </c>
      <c r="E1459" s="141">
        <v>5</v>
      </c>
      <c r="F1459" s="141">
        <v>35.35</v>
      </c>
      <c r="G1459" s="142"/>
      <c r="H1459" s="142">
        <v>176.75</v>
      </c>
      <c r="I1459" s="192">
        <v>111</v>
      </c>
    </row>
    <row r="1460" spans="1:9" x14ac:dyDescent="0.65">
      <c r="A1460" s="188">
        <v>40816</v>
      </c>
      <c r="B1460" s="35" t="s">
        <v>7</v>
      </c>
      <c r="C1460" t="s">
        <v>7</v>
      </c>
      <c r="D1460" t="s">
        <v>18</v>
      </c>
      <c r="E1460" s="141">
        <v>5</v>
      </c>
      <c r="F1460" s="141">
        <v>35.35</v>
      </c>
      <c r="G1460" s="142"/>
      <c r="H1460" s="142">
        <v>176.75</v>
      </c>
      <c r="I1460" s="192">
        <v>111</v>
      </c>
    </row>
    <row r="1461" spans="1:9" x14ac:dyDescent="0.65">
      <c r="A1461" s="188">
        <v>40816</v>
      </c>
      <c r="B1461" s="35" t="s">
        <v>1347</v>
      </c>
      <c r="C1461" t="s">
        <v>1348</v>
      </c>
      <c r="D1461" t="s">
        <v>18</v>
      </c>
      <c r="E1461" s="141">
        <v>5</v>
      </c>
      <c r="F1461" s="141">
        <v>90</v>
      </c>
      <c r="G1461" s="142"/>
      <c r="H1461" s="142">
        <v>450</v>
      </c>
      <c r="I1461" s="192">
        <v>111</v>
      </c>
    </row>
    <row r="1462" spans="1:9" x14ac:dyDescent="0.65">
      <c r="A1462" s="188">
        <v>40819</v>
      </c>
      <c r="B1462" s="35" t="s">
        <v>7</v>
      </c>
      <c r="C1462" t="s">
        <v>7</v>
      </c>
      <c r="D1462" t="s">
        <v>18</v>
      </c>
      <c r="E1462" s="141">
        <v>2</v>
      </c>
      <c r="F1462" s="141">
        <v>35.35</v>
      </c>
      <c r="G1462" s="142"/>
      <c r="H1462" s="142">
        <v>70.7</v>
      </c>
      <c r="I1462" s="192">
        <v>111</v>
      </c>
    </row>
    <row r="1463" spans="1:9" x14ac:dyDescent="0.65">
      <c r="A1463" s="188">
        <v>40819</v>
      </c>
      <c r="B1463" s="35" t="s">
        <v>7</v>
      </c>
      <c r="C1463" t="s">
        <v>7</v>
      </c>
      <c r="D1463" t="s">
        <v>18</v>
      </c>
      <c r="E1463" s="141">
        <v>2</v>
      </c>
      <c r="F1463" s="141">
        <v>35.35</v>
      </c>
      <c r="G1463" s="142"/>
      <c r="H1463" s="142">
        <v>70.7</v>
      </c>
      <c r="I1463" s="192">
        <v>111</v>
      </c>
    </row>
    <row r="1464" spans="1:9" x14ac:dyDescent="0.65">
      <c r="A1464" s="188">
        <v>40819</v>
      </c>
      <c r="B1464" s="35" t="s">
        <v>1347</v>
      </c>
      <c r="C1464" t="s">
        <v>1348</v>
      </c>
      <c r="D1464" t="s">
        <v>18</v>
      </c>
      <c r="E1464" s="141">
        <v>2</v>
      </c>
      <c r="F1464" s="141">
        <v>90</v>
      </c>
      <c r="G1464" s="142"/>
      <c r="H1464" s="142">
        <v>180</v>
      </c>
      <c r="I1464" s="192">
        <v>111</v>
      </c>
    </row>
    <row r="1465" spans="1:9" x14ac:dyDescent="0.65">
      <c r="A1465" s="188">
        <v>40820</v>
      </c>
      <c r="B1465" s="35" t="s">
        <v>7</v>
      </c>
      <c r="C1465" t="s">
        <v>7</v>
      </c>
      <c r="D1465" t="s">
        <v>18</v>
      </c>
      <c r="E1465" s="141">
        <v>4</v>
      </c>
      <c r="F1465" s="141">
        <v>35.35</v>
      </c>
      <c r="G1465" s="142"/>
      <c r="H1465" s="142">
        <v>141.4</v>
      </c>
      <c r="I1465" s="192">
        <v>111</v>
      </c>
    </row>
    <row r="1466" spans="1:9" x14ac:dyDescent="0.65">
      <c r="A1466" s="188">
        <v>40820</v>
      </c>
      <c r="B1466" s="35" t="s">
        <v>1347</v>
      </c>
      <c r="C1466" t="s">
        <v>1348</v>
      </c>
      <c r="D1466" t="s">
        <v>18</v>
      </c>
      <c r="E1466" s="141">
        <v>4</v>
      </c>
      <c r="F1466" s="141">
        <v>90</v>
      </c>
      <c r="G1466" s="142"/>
      <c r="H1466" s="142">
        <v>360</v>
      </c>
      <c r="I1466" s="192">
        <v>111</v>
      </c>
    </row>
    <row r="1467" spans="1:9" x14ac:dyDescent="0.65">
      <c r="A1467" s="188">
        <v>40820</v>
      </c>
      <c r="B1467" s="35" t="s">
        <v>7</v>
      </c>
      <c r="C1467" t="s">
        <v>7</v>
      </c>
      <c r="D1467" t="s">
        <v>18</v>
      </c>
      <c r="E1467" s="141">
        <v>2</v>
      </c>
      <c r="F1467" s="141">
        <v>35.35</v>
      </c>
      <c r="G1467" s="142"/>
      <c r="H1467" s="142">
        <v>70.7</v>
      </c>
      <c r="I1467" s="192">
        <v>111</v>
      </c>
    </row>
    <row r="1468" spans="1:9" x14ac:dyDescent="0.65">
      <c r="A1468" s="188">
        <v>40821</v>
      </c>
      <c r="B1468" s="35" t="s">
        <v>7</v>
      </c>
      <c r="C1468" t="s">
        <v>7</v>
      </c>
      <c r="D1468" t="s">
        <v>18</v>
      </c>
      <c r="E1468" s="141">
        <v>2</v>
      </c>
      <c r="F1468" s="141">
        <v>35.35</v>
      </c>
      <c r="G1468" s="142"/>
      <c r="H1468" s="142">
        <v>70.7</v>
      </c>
      <c r="I1468" s="192">
        <v>111</v>
      </c>
    </row>
    <row r="1469" spans="1:9" x14ac:dyDescent="0.65">
      <c r="A1469" s="188">
        <v>40821</v>
      </c>
      <c r="B1469" s="35" t="s">
        <v>1347</v>
      </c>
      <c r="C1469" t="s">
        <v>1348</v>
      </c>
      <c r="D1469" t="s">
        <v>18</v>
      </c>
      <c r="E1469" s="141">
        <v>2</v>
      </c>
      <c r="F1469" s="141">
        <v>90</v>
      </c>
      <c r="G1469" s="142"/>
      <c r="H1469" s="142">
        <v>180</v>
      </c>
      <c r="I1469" s="192">
        <v>111</v>
      </c>
    </row>
    <row r="1470" spans="1:9" x14ac:dyDescent="0.65">
      <c r="A1470" s="188">
        <v>40821</v>
      </c>
      <c r="B1470" s="35" t="s">
        <v>7</v>
      </c>
      <c r="C1470" t="s">
        <v>7</v>
      </c>
      <c r="D1470" t="s">
        <v>18</v>
      </c>
      <c r="E1470" s="141">
        <v>2</v>
      </c>
      <c r="F1470" s="141">
        <v>35.35</v>
      </c>
      <c r="G1470" s="142"/>
      <c r="H1470" s="142">
        <v>70.7</v>
      </c>
      <c r="I1470" s="192">
        <v>111</v>
      </c>
    </row>
    <row r="1471" spans="1:9" x14ac:dyDescent="0.65">
      <c r="A1471" s="188">
        <v>40822</v>
      </c>
      <c r="B1471" s="35" t="s">
        <v>7</v>
      </c>
      <c r="C1471" t="s">
        <v>7</v>
      </c>
      <c r="D1471" t="s">
        <v>18</v>
      </c>
      <c r="E1471" s="141">
        <v>2</v>
      </c>
      <c r="F1471" s="141">
        <v>35.35</v>
      </c>
      <c r="G1471" s="142"/>
      <c r="H1471" s="142">
        <v>70.7</v>
      </c>
      <c r="I1471" s="192">
        <v>111</v>
      </c>
    </row>
    <row r="1472" spans="1:9" x14ac:dyDescent="0.65">
      <c r="A1472" s="188">
        <v>40822</v>
      </c>
      <c r="B1472" s="35" t="s">
        <v>7</v>
      </c>
      <c r="C1472" t="s">
        <v>7</v>
      </c>
      <c r="D1472" t="s">
        <v>18</v>
      </c>
      <c r="E1472" s="141">
        <v>2</v>
      </c>
      <c r="F1472" s="141">
        <v>35.35</v>
      </c>
      <c r="G1472" s="142"/>
      <c r="H1472" s="142">
        <v>70.7</v>
      </c>
      <c r="I1472" s="192">
        <v>111</v>
      </c>
    </row>
    <row r="1473" spans="1:9" x14ac:dyDescent="0.65">
      <c r="A1473" s="188">
        <v>40823</v>
      </c>
      <c r="B1473" s="35" t="s">
        <v>7</v>
      </c>
      <c r="C1473" t="s">
        <v>7</v>
      </c>
      <c r="D1473" t="s">
        <v>18</v>
      </c>
      <c r="E1473" s="141">
        <v>4</v>
      </c>
      <c r="F1473" s="141">
        <v>35.35</v>
      </c>
      <c r="G1473" s="142"/>
      <c r="H1473" s="142">
        <v>141.4</v>
      </c>
      <c r="I1473" s="192">
        <v>111</v>
      </c>
    </row>
    <row r="1474" spans="1:9" x14ac:dyDescent="0.65">
      <c r="A1474" s="188">
        <v>40823</v>
      </c>
      <c r="B1474" s="35" t="s">
        <v>7</v>
      </c>
      <c r="C1474" t="s">
        <v>7</v>
      </c>
      <c r="D1474" t="s">
        <v>18</v>
      </c>
      <c r="E1474" s="141">
        <v>4</v>
      </c>
      <c r="F1474" s="141">
        <v>35.35</v>
      </c>
      <c r="G1474" s="142"/>
      <c r="H1474" s="142">
        <v>141.4</v>
      </c>
      <c r="I1474" s="192">
        <v>111</v>
      </c>
    </row>
    <row r="1475" spans="1:9" x14ac:dyDescent="0.65">
      <c r="A1475" s="188">
        <v>40829</v>
      </c>
      <c r="B1475" s="35" t="s">
        <v>1482</v>
      </c>
      <c r="C1475" t="s">
        <v>1483</v>
      </c>
      <c r="D1475" t="s">
        <v>451</v>
      </c>
      <c r="E1475" s="141">
        <v>1</v>
      </c>
      <c r="F1475" s="141">
        <v>525</v>
      </c>
      <c r="G1475" s="142"/>
      <c r="H1475" s="142">
        <v>525</v>
      </c>
      <c r="I1475" s="192">
        <v>111</v>
      </c>
    </row>
    <row r="1476" spans="1:9" x14ac:dyDescent="0.65">
      <c r="A1476" s="188">
        <v>40877</v>
      </c>
      <c r="B1476" s="35" t="s">
        <v>1484</v>
      </c>
      <c r="C1476" t="s">
        <v>1485</v>
      </c>
      <c r="D1476" t="s">
        <v>18</v>
      </c>
      <c r="E1476" s="141">
        <v>8</v>
      </c>
      <c r="F1476" s="141">
        <v>110</v>
      </c>
      <c r="G1476" s="142"/>
      <c r="H1476" s="142">
        <v>880</v>
      </c>
      <c r="I1476" s="192">
        <v>111</v>
      </c>
    </row>
    <row r="1477" spans="1:9" ht="28.5" x14ac:dyDescent="0.65">
      <c r="A1477" s="188">
        <v>40877</v>
      </c>
      <c r="B1477" s="35" t="s">
        <v>1486</v>
      </c>
      <c r="C1477" t="s">
        <v>1435</v>
      </c>
      <c r="D1477" t="s">
        <v>451</v>
      </c>
      <c r="E1477" s="141">
        <v>1</v>
      </c>
      <c r="F1477" s="141">
        <v>450.8</v>
      </c>
      <c r="G1477" s="142"/>
      <c r="H1477" s="142">
        <v>450.8</v>
      </c>
      <c r="I1477" s="192">
        <v>111</v>
      </c>
    </row>
    <row r="1478" spans="1:9" x14ac:dyDescent="0.65">
      <c r="A1478" s="189" t="s">
        <v>448</v>
      </c>
      <c r="B1478" s="183" t="s">
        <v>1487</v>
      </c>
      <c r="C1478" s="184" t="s">
        <v>448</v>
      </c>
      <c r="D1478" s="184" t="s">
        <v>448</v>
      </c>
      <c r="E1478" s="185"/>
      <c r="F1478" s="185"/>
      <c r="G1478" s="186"/>
      <c r="H1478" s="186">
        <v>40668.49</v>
      </c>
      <c r="I1478" s="193" t="s">
        <v>1767</v>
      </c>
    </row>
    <row r="1479" spans="1:9" x14ac:dyDescent="0.65">
      <c r="A1479" s="188" t="s">
        <v>448</v>
      </c>
      <c r="B1479" s="35" t="s">
        <v>448</v>
      </c>
      <c r="C1479" t="s">
        <v>448</v>
      </c>
      <c r="D1479" t="s">
        <v>448</v>
      </c>
      <c r="E1479" s="141"/>
      <c r="F1479" s="141"/>
      <c r="G1479" s="142"/>
      <c r="H1479" s="142"/>
      <c r="I1479" s="191" t="s">
        <v>1767</v>
      </c>
    </row>
    <row r="1480" spans="1:9" x14ac:dyDescent="0.65">
      <c r="A1480" s="187" t="s">
        <v>448</v>
      </c>
      <c r="B1480" s="29" t="s">
        <v>1835</v>
      </c>
      <c r="C1480" s="27" t="s">
        <v>448</v>
      </c>
      <c r="D1480" s="27" t="s">
        <v>448</v>
      </c>
      <c r="E1480" s="181"/>
      <c r="F1480" s="181"/>
      <c r="G1480" s="182"/>
      <c r="H1480" s="182"/>
      <c r="I1480" s="140" t="s">
        <v>1767</v>
      </c>
    </row>
    <row r="1481" spans="1:9" x14ac:dyDescent="0.65">
      <c r="A1481" s="188">
        <v>40877</v>
      </c>
      <c r="B1481" s="35" t="s">
        <v>1488</v>
      </c>
      <c r="C1481" t="s">
        <v>1489</v>
      </c>
      <c r="D1481" t="s">
        <v>451</v>
      </c>
      <c r="E1481" s="141">
        <v>1</v>
      </c>
      <c r="F1481" s="141">
        <v>150</v>
      </c>
      <c r="G1481" s="142"/>
      <c r="H1481" s="142">
        <v>150</v>
      </c>
      <c r="I1481" s="192">
        <v>112</v>
      </c>
    </row>
    <row r="1482" spans="1:9" x14ac:dyDescent="0.65">
      <c r="A1482" s="189" t="s">
        <v>448</v>
      </c>
      <c r="B1482" s="183" t="s">
        <v>1490</v>
      </c>
      <c r="C1482" s="184" t="s">
        <v>448</v>
      </c>
      <c r="D1482" s="184" t="s">
        <v>448</v>
      </c>
      <c r="E1482" s="185"/>
      <c r="F1482" s="185"/>
      <c r="G1482" s="186"/>
      <c r="H1482" s="186">
        <v>150</v>
      </c>
      <c r="I1482" s="193" t="s">
        <v>1767</v>
      </c>
    </row>
    <row r="1483" spans="1:9" x14ac:dyDescent="0.65">
      <c r="A1483" s="188" t="s">
        <v>448</v>
      </c>
      <c r="B1483" s="35" t="s">
        <v>448</v>
      </c>
      <c r="C1483" t="s">
        <v>448</v>
      </c>
      <c r="D1483" t="s">
        <v>448</v>
      </c>
      <c r="E1483" s="141"/>
      <c r="F1483" s="141"/>
      <c r="G1483" s="142"/>
      <c r="H1483" s="142"/>
      <c r="I1483" s="191" t="s">
        <v>1767</v>
      </c>
    </row>
    <row r="1484" spans="1:9" x14ac:dyDescent="0.65">
      <c r="A1484" s="187" t="s">
        <v>448</v>
      </c>
      <c r="B1484" s="29" t="s">
        <v>1836</v>
      </c>
      <c r="C1484" s="27" t="s">
        <v>448</v>
      </c>
      <c r="D1484" s="27" t="s">
        <v>448</v>
      </c>
      <c r="E1484" s="181"/>
      <c r="F1484" s="181"/>
      <c r="G1484" s="182"/>
      <c r="H1484" s="182"/>
      <c r="I1484" s="140" t="s">
        <v>1767</v>
      </c>
    </row>
    <row r="1485" spans="1:9" x14ac:dyDescent="0.65">
      <c r="A1485" s="188">
        <v>40731</v>
      </c>
      <c r="B1485" s="35" t="s">
        <v>1491</v>
      </c>
      <c r="C1485" t="s">
        <v>1489</v>
      </c>
      <c r="D1485" t="s">
        <v>451</v>
      </c>
      <c r="E1485" s="141">
        <v>1</v>
      </c>
      <c r="F1485" s="141">
        <v>1410</v>
      </c>
      <c r="G1485" s="142"/>
      <c r="H1485" s="142">
        <v>1410</v>
      </c>
      <c r="I1485" s="192">
        <v>113</v>
      </c>
    </row>
    <row r="1486" spans="1:9" x14ac:dyDescent="0.65">
      <c r="A1486" s="188">
        <v>40742</v>
      </c>
      <c r="B1486" s="35" t="s">
        <v>7</v>
      </c>
      <c r="C1486" t="s">
        <v>7</v>
      </c>
      <c r="D1486" t="s">
        <v>18</v>
      </c>
      <c r="E1486" s="141">
        <v>7.5</v>
      </c>
      <c r="F1486" s="141">
        <v>39.39</v>
      </c>
      <c r="G1486" s="142"/>
      <c r="H1486" s="142">
        <v>295.42500000000001</v>
      </c>
      <c r="I1486" s="192">
        <v>113</v>
      </c>
    </row>
    <row r="1487" spans="1:9" x14ac:dyDescent="0.65">
      <c r="A1487" s="188">
        <v>40772</v>
      </c>
      <c r="B1487" s="35" t="s">
        <v>1492</v>
      </c>
      <c r="C1487" t="s">
        <v>1489</v>
      </c>
      <c r="D1487" t="s">
        <v>451</v>
      </c>
      <c r="E1487" s="141">
        <v>1</v>
      </c>
      <c r="F1487" s="141">
        <v>820</v>
      </c>
      <c r="G1487" s="142"/>
      <c r="H1487" s="142">
        <v>820</v>
      </c>
      <c r="I1487" s="192">
        <v>113</v>
      </c>
    </row>
    <row r="1488" spans="1:9" x14ac:dyDescent="0.65">
      <c r="A1488" s="188">
        <v>40779</v>
      </c>
      <c r="B1488" s="35" t="s">
        <v>1493</v>
      </c>
      <c r="C1488" t="s">
        <v>1453</v>
      </c>
      <c r="D1488" t="s">
        <v>451</v>
      </c>
      <c r="E1488" s="141">
        <v>1</v>
      </c>
      <c r="F1488" s="141">
        <v>10100</v>
      </c>
      <c r="G1488" s="142"/>
      <c r="H1488" s="142">
        <v>10100</v>
      </c>
      <c r="I1488" s="192">
        <v>113</v>
      </c>
    </row>
    <row r="1489" spans="1:9" x14ac:dyDescent="0.65">
      <c r="A1489" s="188">
        <v>40806</v>
      </c>
      <c r="B1489" s="35" t="s">
        <v>7</v>
      </c>
      <c r="C1489" t="s">
        <v>7</v>
      </c>
      <c r="D1489" t="s">
        <v>18</v>
      </c>
      <c r="E1489" s="141">
        <v>4</v>
      </c>
      <c r="F1489" s="141">
        <v>35.35</v>
      </c>
      <c r="G1489" s="142"/>
      <c r="H1489" s="142">
        <v>141.4</v>
      </c>
      <c r="I1489" s="192">
        <v>113</v>
      </c>
    </row>
    <row r="1490" spans="1:9" x14ac:dyDescent="0.65">
      <c r="A1490" s="188">
        <v>40816</v>
      </c>
      <c r="B1490" s="35" t="s">
        <v>1494</v>
      </c>
      <c r="C1490" t="s">
        <v>1489</v>
      </c>
      <c r="D1490" t="s">
        <v>451</v>
      </c>
      <c r="E1490" s="141">
        <v>1</v>
      </c>
      <c r="F1490" s="141">
        <v>2720</v>
      </c>
      <c r="G1490" s="142"/>
      <c r="H1490" s="142">
        <v>2720</v>
      </c>
      <c r="I1490" s="192">
        <v>113</v>
      </c>
    </row>
    <row r="1491" spans="1:9" x14ac:dyDescent="0.65">
      <c r="A1491" s="188">
        <v>40816</v>
      </c>
      <c r="B1491" s="35" t="s">
        <v>1495</v>
      </c>
      <c r="C1491" t="s">
        <v>1489</v>
      </c>
      <c r="D1491" t="s">
        <v>451</v>
      </c>
      <c r="E1491" s="141">
        <v>1</v>
      </c>
      <c r="F1491" s="141">
        <v>3650</v>
      </c>
      <c r="G1491" s="142"/>
      <c r="H1491" s="142">
        <v>3650</v>
      </c>
      <c r="I1491" s="192">
        <v>113</v>
      </c>
    </row>
    <row r="1492" spans="1:9" x14ac:dyDescent="0.65">
      <c r="A1492" s="188">
        <v>40816</v>
      </c>
      <c r="B1492" s="35" t="s">
        <v>1496</v>
      </c>
      <c r="C1492" t="s">
        <v>1489</v>
      </c>
      <c r="D1492" t="s">
        <v>451</v>
      </c>
      <c r="E1492" s="141">
        <v>1</v>
      </c>
      <c r="F1492" s="141">
        <v>10000</v>
      </c>
      <c r="G1492" s="142"/>
      <c r="H1492" s="142">
        <v>10000</v>
      </c>
      <c r="I1492" s="192">
        <v>113</v>
      </c>
    </row>
    <row r="1493" spans="1:9" x14ac:dyDescent="0.65">
      <c r="A1493" s="188">
        <v>40841</v>
      </c>
      <c r="B1493" s="35" t="s">
        <v>1497</v>
      </c>
      <c r="C1493" t="s">
        <v>1489</v>
      </c>
      <c r="D1493" t="s">
        <v>451</v>
      </c>
      <c r="E1493" s="141">
        <v>1</v>
      </c>
      <c r="F1493" s="141">
        <v>2017</v>
      </c>
      <c r="G1493" s="142"/>
      <c r="H1493" s="142">
        <v>2017</v>
      </c>
      <c r="I1493" s="192">
        <v>113</v>
      </c>
    </row>
    <row r="1494" spans="1:9" x14ac:dyDescent="0.65">
      <c r="A1494" s="188">
        <v>40841</v>
      </c>
      <c r="B1494" s="35" t="s">
        <v>1498</v>
      </c>
      <c r="C1494" t="s">
        <v>1489</v>
      </c>
      <c r="D1494" t="s">
        <v>451</v>
      </c>
      <c r="E1494" s="141">
        <v>1</v>
      </c>
      <c r="F1494" s="141">
        <v>53315.61</v>
      </c>
      <c r="G1494" s="142"/>
      <c r="H1494" s="142">
        <v>53315.61</v>
      </c>
      <c r="I1494" s="192">
        <v>113</v>
      </c>
    </row>
    <row r="1495" spans="1:9" x14ac:dyDescent="0.65">
      <c r="A1495" s="189" t="s">
        <v>448</v>
      </c>
      <c r="B1495" s="183" t="s">
        <v>1499</v>
      </c>
      <c r="C1495" s="184" t="s">
        <v>448</v>
      </c>
      <c r="D1495" s="184" t="s">
        <v>448</v>
      </c>
      <c r="E1495" s="185"/>
      <c r="F1495" s="185"/>
      <c r="G1495" s="186"/>
      <c r="H1495" s="186">
        <v>84469.434999999998</v>
      </c>
      <c r="I1495" s="193" t="s">
        <v>1767</v>
      </c>
    </row>
    <row r="1496" spans="1:9" x14ac:dyDescent="0.65">
      <c r="A1496" s="188" t="s">
        <v>448</v>
      </c>
      <c r="B1496" s="35" t="s">
        <v>448</v>
      </c>
      <c r="C1496" t="s">
        <v>448</v>
      </c>
      <c r="D1496" t="s">
        <v>448</v>
      </c>
      <c r="E1496" s="141"/>
      <c r="F1496" s="141"/>
      <c r="G1496" s="142"/>
      <c r="H1496" s="142"/>
      <c r="I1496" s="191" t="s">
        <v>1767</v>
      </c>
    </row>
    <row r="1497" spans="1:9" x14ac:dyDescent="0.65">
      <c r="A1497" s="187" t="s">
        <v>448</v>
      </c>
      <c r="B1497" s="29" t="s">
        <v>1837</v>
      </c>
      <c r="C1497" s="27" t="s">
        <v>448</v>
      </c>
      <c r="D1497" s="27" t="s">
        <v>448</v>
      </c>
      <c r="E1497" s="181"/>
      <c r="F1497" s="181"/>
      <c r="G1497" s="182"/>
      <c r="H1497" s="182"/>
      <c r="I1497" s="140" t="s">
        <v>1767</v>
      </c>
    </row>
    <row r="1498" spans="1:9" x14ac:dyDescent="0.65">
      <c r="A1498" s="188">
        <v>40863</v>
      </c>
      <c r="B1498" s="35" t="s">
        <v>1500</v>
      </c>
      <c r="C1498" t="s">
        <v>1501</v>
      </c>
      <c r="D1498" t="s">
        <v>451</v>
      </c>
      <c r="E1498" s="141">
        <v>1</v>
      </c>
      <c r="F1498" s="141">
        <v>7800</v>
      </c>
      <c r="G1498" s="142"/>
      <c r="H1498" s="142">
        <v>7800</v>
      </c>
      <c r="I1498" s="192">
        <v>121</v>
      </c>
    </row>
    <row r="1499" spans="1:9" x14ac:dyDescent="0.65">
      <c r="A1499" s="189" t="s">
        <v>448</v>
      </c>
      <c r="B1499" s="183" t="s">
        <v>1502</v>
      </c>
      <c r="C1499" s="184" t="s">
        <v>448</v>
      </c>
      <c r="D1499" s="184" t="s">
        <v>448</v>
      </c>
      <c r="E1499" s="185"/>
      <c r="F1499" s="185"/>
      <c r="G1499" s="186"/>
      <c r="H1499" s="186">
        <v>7800</v>
      </c>
      <c r="I1499" s="193" t="s">
        <v>1767</v>
      </c>
    </row>
    <row r="1500" spans="1:9" x14ac:dyDescent="0.65">
      <c r="A1500" s="188" t="s">
        <v>448</v>
      </c>
      <c r="B1500" s="35" t="s">
        <v>448</v>
      </c>
      <c r="C1500" t="s">
        <v>448</v>
      </c>
      <c r="D1500" t="s">
        <v>448</v>
      </c>
      <c r="E1500" s="141"/>
      <c r="F1500" s="141"/>
      <c r="G1500" s="142"/>
      <c r="H1500" s="142"/>
      <c r="I1500" s="191" t="s">
        <v>1767</v>
      </c>
    </row>
    <row r="1501" spans="1:9" x14ac:dyDescent="0.65">
      <c r="A1501" s="187" t="s">
        <v>448</v>
      </c>
      <c r="B1501" s="29" t="s">
        <v>1838</v>
      </c>
      <c r="C1501" s="27" t="s">
        <v>448</v>
      </c>
      <c r="D1501" s="27" t="s">
        <v>448</v>
      </c>
      <c r="E1501" s="181"/>
      <c r="F1501" s="181"/>
      <c r="G1501" s="182"/>
      <c r="H1501" s="182"/>
      <c r="I1501" s="140" t="s">
        <v>1767</v>
      </c>
    </row>
    <row r="1502" spans="1:9" x14ac:dyDescent="0.65">
      <c r="A1502" s="188">
        <v>40778</v>
      </c>
      <c r="B1502" s="35" t="s">
        <v>1503</v>
      </c>
      <c r="C1502" t="s">
        <v>1504</v>
      </c>
      <c r="D1502" t="s">
        <v>451</v>
      </c>
      <c r="E1502" s="141">
        <v>1</v>
      </c>
      <c r="F1502" s="141">
        <v>1680.35</v>
      </c>
      <c r="G1502" s="142"/>
      <c r="H1502" s="142">
        <v>1680.35</v>
      </c>
      <c r="I1502" s="192">
        <v>131</v>
      </c>
    </row>
    <row r="1503" spans="1:9" x14ac:dyDescent="0.65">
      <c r="A1503" s="188">
        <v>40835</v>
      </c>
      <c r="B1503" s="35" t="s">
        <v>1505</v>
      </c>
      <c r="C1503" t="s">
        <v>1506</v>
      </c>
      <c r="D1503" t="s">
        <v>451</v>
      </c>
      <c r="E1503" s="141">
        <v>1</v>
      </c>
      <c r="F1503" s="141">
        <v>283.18</v>
      </c>
      <c r="G1503" s="142"/>
      <c r="H1503" s="142">
        <v>283.18</v>
      </c>
      <c r="I1503" s="192">
        <v>131</v>
      </c>
    </row>
    <row r="1504" spans="1:9" x14ac:dyDescent="0.65">
      <c r="A1504" s="188">
        <v>40863</v>
      </c>
      <c r="B1504" s="35" t="s">
        <v>1507</v>
      </c>
      <c r="C1504" t="s">
        <v>1508</v>
      </c>
      <c r="D1504" t="s">
        <v>451</v>
      </c>
      <c r="E1504" s="141">
        <v>1</v>
      </c>
      <c r="F1504" s="141">
        <v>10460</v>
      </c>
      <c r="G1504" s="142"/>
      <c r="H1504" s="142">
        <v>10460</v>
      </c>
      <c r="I1504" s="192">
        <v>131</v>
      </c>
    </row>
    <row r="1505" spans="1:9" x14ac:dyDescent="0.65">
      <c r="A1505" s="188">
        <v>40863</v>
      </c>
      <c r="B1505" s="35" t="s">
        <v>1509</v>
      </c>
      <c r="C1505" t="s">
        <v>1504</v>
      </c>
      <c r="D1505" t="s">
        <v>451</v>
      </c>
      <c r="E1505" s="141">
        <v>1</v>
      </c>
      <c r="F1505" s="141">
        <v>46763.64</v>
      </c>
      <c r="G1505" s="142"/>
      <c r="H1505" s="142">
        <v>46763.64</v>
      </c>
      <c r="I1505" s="192">
        <v>131</v>
      </c>
    </row>
    <row r="1506" spans="1:9" x14ac:dyDescent="0.65">
      <c r="A1506" s="188">
        <v>40877</v>
      </c>
      <c r="B1506" s="35" t="s">
        <v>1510</v>
      </c>
      <c r="C1506" t="s">
        <v>1508</v>
      </c>
      <c r="D1506" t="s">
        <v>451</v>
      </c>
      <c r="E1506" s="141">
        <v>1</v>
      </c>
      <c r="F1506" s="141">
        <v>3855</v>
      </c>
      <c r="G1506" s="142"/>
      <c r="H1506" s="142">
        <v>3855</v>
      </c>
      <c r="I1506" s="192">
        <v>131</v>
      </c>
    </row>
    <row r="1507" spans="1:9" x14ac:dyDescent="0.65">
      <c r="A1507" s="189" t="s">
        <v>448</v>
      </c>
      <c r="B1507" s="183" t="s">
        <v>1511</v>
      </c>
      <c r="C1507" s="184" t="s">
        <v>448</v>
      </c>
      <c r="D1507" s="184" t="s">
        <v>448</v>
      </c>
      <c r="E1507" s="185"/>
      <c r="F1507" s="185"/>
      <c r="G1507" s="186"/>
      <c r="H1507" s="186">
        <v>63042.17</v>
      </c>
      <c r="I1507" s="193" t="s">
        <v>1767</v>
      </c>
    </row>
    <row r="1508" spans="1:9" x14ac:dyDescent="0.65">
      <c r="A1508" s="188" t="s">
        <v>448</v>
      </c>
      <c r="B1508" s="35" t="s">
        <v>448</v>
      </c>
      <c r="C1508" t="s">
        <v>448</v>
      </c>
      <c r="D1508" t="s">
        <v>448</v>
      </c>
      <c r="E1508" s="141"/>
      <c r="F1508" s="141"/>
      <c r="G1508" s="142"/>
      <c r="H1508" s="142"/>
      <c r="I1508" s="191" t="s">
        <v>1767</v>
      </c>
    </row>
    <row r="1509" spans="1:9" x14ac:dyDescent="0.65">
      <c r="A1509" s="187" t="s">
        <v>448</v>
      </c>
      <c r="B1509" s="29" t="s">
        <v>1839</v>
      </c>
      <c r="C1509" s="27" t="s">
        <v>448</v>
      </c>
      <c r="D1509" s="27" t="s">
        <v>448</v>
      </c>
      <c r="E1509" s="181"/>
      <c r="F1509" s="181"/>
      <c r="G1509" s="182"/>
      <c r="H1509" s="182"/>
      <c r="I1509" s="140" t="s">
        <v>1767</v>
      </c>
    </row>
    <row r="1510" spans="1:9" x14ac:dyDescent="0.65">
      <c r="A1510" s="188">
        <v>40877</v>
      </c>
      <c r="B1510" s="35" t="s">
        <v>1512</v>
      </c>
      <c r="C1510" t="s">
        <v>1504</v>
      </c>
      <c r="D1510" t="s">
        <v>451</v>
      </c>
      <c r="E1510" s="141">
        <v>1</v>
      </c>
      <c r="F1510" s="141">
        <v>708.3</v>
      </c>
      <c r="G1510" s="142"/>
      <c r="H1510" s="142">
        <v>708.3</v>
      </c>
      <c r="I1510" s="192">
        <v>134</v>
      </c>
    </row>
    <row r="1511" spans="1:9" x14ac:dyDescent="0.65">
      <c r="A1511" s="189" t="s">
        <v>448</v>
      </c>
      <c r="B1511" s="183" t="s">
        <v>1513</v>
      </c>
      <c r="C1511" s="184" t="s">
        <v>448</v>
      </c>
      <c r="D1511" s="184" t="s">
        <v>448</v>
      </c>
      <c r="E1511" s="185"/>
      <c r="F1511" s="185"/>
      <c r="G1511" s="186"/>
      <c r="H1511" s="186">
        <v>708.3</v>
      </c>
      <c r="I1511" s="193" t="s">
        <v>1767</v>
      </c>
    </row>
    <row r="1512" spans="1:9" x14ac:dyDescent="0.65">
      <c r="A1512" s="188" t="s">
        <v>448</v>
      </c>
      <c r="B1512" s="35" t="s">
        <v>448</v>
      </c>
      <c r="C1512" t="s">
        <v>448</v>
      </c>
      <c r="D1512" t="s">
        <v>448</v>
      </c>
      <c r="E1512" s="141"/>
      <c r="F1512" s="141"/>
      <c r="G1512" s="142"/>
      <c r="H1512" s="142"/>
      <c r="I1512" s="191" t="s">
        <v>1767</v>
      </c>
    </row>
    <row r="1513" spans="1:9" x14ac:dyDescent="0.65">
      <c r="A1513" s="187" t="s">
        <v>448</v>
      </c>
      <c r="B1513" s="29" t="s">
        <v>1840</v>
      </c>
      <c r="C1513" s="27" t="s">
        <v>448</v>
      </c>
      <c r="D1513" s="27" t="s">
        <v>448</v>
      </c>
      <c r="E1513" s="181"/>
      <c r="F1513" s="181"/>
      <c r="G1513" s="182"/>
      <c r="H1513" s="182"/>
      <c r="I1513" s="140" t="s">
        <v>1767</v>
      </c>
    </row>
    <row r="1514" spans="1:9" x14ac:dyDescent="0.65">
      <c r="A1514" s="188">
        <v>40757</v>
      </c>
      <c r="B1514" s="35" t="s">
        <v>7</v>
      </c>
      <c r="C1514" t="s">
        <v>7</v>
      </c>
      <c r="D1514" t="s">
        <v>18</v>
      </c>
      <c r="E1514" s="141">
        <v>3</v>
      </c>
      <c r="F1514" s="141">
        <v>39.39</v>
      </c>
      <c r="G1514" s="142"/>
      <c r="H1514" s="142">
        <v>118.17</v>
      </c>
      <c r="I1514" s="192">
        <v>141</v>
      </c>
    </row>
    <row r="1515" spans="1:9" x14ac:dyDescent="0.65">
      <c r="A1515" s="188">
        <v>40758</v>
      </c>
      <c r="B1515" s="35" t="s">
        <v>7</v>
      </c>
      <c r="C1515" t="s">
        <v>7</v>
      </c>
      <c r="D1515" t="s">
        <v>18</v>
      </c>
      <c r="E1515" s="141">
        <v>4</v>
      </c>
      <c r="F1515" s="141">
        <v>39.39</v>
      </c>
      <c r="G1515" s="142"/>
      <c r="H1515" s="142">
        <v>157.56</v>
      </c>
      <c r="I1515" s="192">
        <v>141</v>
      </c>
    </row>
    <row r="1516" spans="1:9" x14ac:dyDescent="0.65">
      <c r="A1516" s="188">
        <v>40770</v>
      </c>
      <c r="B1516" s="35" t="s">
        <v>1370</v>
      </c>
      <c r="C1516" t="s">
        <v>7</v>
      </c>
      <c r="D1516" t="s">
        <v>18</v>
      </c>
      <c r="E1516" s="141">
        <v>5</v>
      </c>
      <c r="F1516" s="141">
        <v>39.18</v>
      </c>
      <c r="G1516" s="142"/>
      <c r="H1516" s="142">
        <v>195.9</v>
      </c>
      <c r="I1516" s="192">
        <v>141</v>
      </c>
    </row>
    <row r="1517" spans="1:9" x14ac:dyDescent="0.65">
      <c r="A1517" s="188">
        <v>40771</v>
      </c>
      <c r="B1517" s="35" t="s">
        <v>1370</v>
      </c>
      <c r="C1517" t="s">
        <v>7</v>
      </c>
      <c r="D1517" t="s">
        <v>18</v>
      </c>
      <c r="E1517" s="141">
        <v>5</v>
      </c>
      <c r="F1517" s="141">
        <v>39.18</v>
      </c>
      <c r="G1517" s="142"/>
      <c r="H1517" s="142">
        <v>195.9</v>
      </c>
      <c r="I1517" s="192">
        <v>141</v>
      </c>
    </row>
    <row r="1518" spans="1:9" x14ac:dyDescent="0.65">
      <c r="A1518" s="188">
        <v>40781</v>
      </c>
      <c r="B1518" s="35" t="s">
        <v>7</v>
      </c>
      <c r="C1518" t="s">
        <v>7</v>
      </c>
      <c r="D1518" t="s">
        <v>18</v>
      </c>
      <c r="E1518" s="141">
        <v>3</v>
      </c>
      <c r="F1518" s="141">
        <v>39.39</v>
      </c>
      <c r="G1518" s="142"/>
      <c r="H1518" s="142">
        <v>118.17</v>
      </c>
      <c r="I1518" s="192">
        <v>141</v>
      </c>
    </row>
    <row r="1519" spans="1:9" x14ac:dyDescent="0.65">
      <c r="A1519" s="188">
        <v>40781</v>
      </c>
      <c r="B1519" s="35" t="s">
        <v>1514</v>
      </c>
      <c r="C1519" t="s">
        <v>1515</v>
      </c>
      <c r="D1519" t="s">
        <v>451</v>
      </c>
      <c r="E1519" s="141">
        <v>1</v>
      </c>
      <c r="F1519" s="141">
        <v>700</v>
      </c>
      <c r="G1519" s="142"/>
      <c r="H1519" s="142">
        <v>700</v>
      </c>
      <c r="I1519" s="192">
        <v>141</v>
      </c>
    </row>
    <row r="1520" spans="1:9" x14ac:dyDescent="0.65">
      <c r="A1520" s="188">
        <v>40806</v>
      </c>
      <c r="B1520" s="35" t="s">
        <v>1516</v>
      </c>
      <c r="C1520" t="s">
        <v>1517</v>
      </c>
      <c r="D1520" t="s">
        <v>451</v>
      </c>
      <c r="E1520" s="141">
        <v>1</v>
      </c>
      <c r="F1520" s="141">
        <v>3406.3</v>
      </c>
      <c r="G1520" s="142"/>
      <c r="H1520" s="142">
        <v>3406.3</v>
      </c>
      <c r="I1520" s="192">
        <v>141</v>
      </c>
    </row>
    <row r="1521" spans="1:9" x14ac:dyDescent="0.65">
      <c r="A1521" s="188">
        <v>40835</v>
      </c>
      <c r="B1521" s="35" t="s">
        <v>7</v>
      </c>
      <c r="C1521" t="s">
        <v>7</v>
      </c>
      <c r="D1521" t="s">
        <v>18</v>
      </c>
      <c r="E1521" s="141">
        <v>8</v>
      </c>
      <c r="F1521" s="141">
        <v>35.35</v>
      </c>
      <c r="G1521" s="142"/>
      <c r="H1521" s="142">
        <v>282.8</v>
      </c>
      <c r="I1521" s="192">
        <v>141</v>
      </c>
    </row>
    <row r="1522" spans="1:9" x14ac:dyDescent="0.65">
      <c r="A1522" s="188">
        <v>40836</v>
      </c>
      <c r="B1522" s="35" t="s">
        <v>1425</v>
      </c>
      <c r="C1522" t="s">
        <v>7</v>
      </c>
      <c r="D1522" t="s">
        <v>18</v>
      </c>
      <c r="E1522" s="141">
        <v>8.5</v>
      </c>
      <c r="F1522" s="141">
        <v>35.35</v>
      </c>
      <c r="G1522" s="142"/>
      <c r="H1522" s="142">
        <v>300.47500000000002</v>
      </c>
      <c r="I1522" s="192">
        <v>141</v>
      </c>
    </row>
    <row r="1523" spans="1:9" x14ac:dyDescent="0.65">
      <c r="A1523" s="188">
        <v>40837</v>
      </c>
      <c r="B1523" s="35" t="s">
        <v>1425</v>
      </c>
      <c r="C1523" t="s">
        <v>7</v>
      </c>
      <c r="D1523" t="s">
        <v>18</v>
      </c>
      <c r="E1523" s="141">
        <v>8</v>
      </c>
      <c r="F1523" s="141">
        <v>35.35</v>
      </c>
      <c r="G1523" s="142"/>
      <c r="H1523" s="142">
        <v>282.8</v>
      </c>
      <c r="I1523" s="192">
        <v>141</v>
      </c>
    </row>
    <row r="1524" spans="1:9" x14ac:dyDescent="0.65">
      <c r="A1524" s="188">
        <v>40840</v>
      </c>
      <c r="B1524" s="35" t="s">
        <v>1425</v>
      </c>
      <c r="C1524" t="s">
        <v>7</v>
      </c>
      <c r="D1524" t="s">
        <v>18</v>
      </c>
      <c r="E1524" s="141">
        <v>8.5</v>
      </c>
      <c r="F1524" s="141">
        <v>35.35</v>
      </c>
      <c r="G1524" s="142"/>
      <c r="H1524" s="142">
        <v>300.47500000000002</v>
      </c>
      <c r="I1524" s="192">
        <v>141</v>
      </c>
    </row>
    <row r="1525" spans="1:9" x14ac:dyDescent="0.65">
      <c r="A1525" s="188">
        <v>40841</v>
      </c>
      <c r="B1525" s="35" t="s">
        <v>1425</v>
      </c>
      <c r="C1525" t="s">
        <v>7</v>
      </c>
      <c r="D1525" t="s">
        <v>18</v>
      </c>
      <c r="E1525" s="141">
        <v>4.5</v>
      </c>
      <c r="F1525" s="141">
        <v>35.35</v>
      </c>
      <c r="G1525" s="142"/>
      <c r="H1525" s="142">
        <v>159.07499999999999</v>
      </c>
      <c r="I1525" s="192">
        <v>141</v>
      </c>
    </row>
    <row r="1526" spans="1:9" x14ac:dyDescent="0.65">
      <c r="A1526" s="188">
        <v>40843</v>
      </c>
      <c r="B1526" s="35" t="s">
        <v>1425</v>
      </c>
      <c r="C1526" t="s">
        <v>7</v>
      </c>
      <c r="D1526" t="s">
        <v>18</v>
      </c>
      <c r="E1526" s="141">
        <v>3</v>
      </c>
      <c r="F1526" s="141">
        <v>35.35</v>
      </c>
      <c r="G1526" s="142"/>
      <c r="H1526" s="142">
        <v>106.05</v>
      </c>
      <c r="I1526" s="192">
        <v>141</v>
      </c>
    </row>
    <row r="1527" spans="1:9" x14ac:dyDescent="0.65">
      <c r="A1527" s="188">
        <v>40849</v>
      </c>
      <c r="B1527" s="35" t="s">
        <v>1518</v>
      </c>
      <c r="C1527" t="s">
        <v>1519</v>
      </c>
      <c r="D1527" t="s">
        <v>451</v>
      </c>
      <c r="E1527" s="141">
        <v>1</v>
      </c>
      <c r="F1527" s="141">
        <v>7900</v>
      </c>
      <c r="G1527" s="142"/>
      <c r="H1527" s="142">
        <v>7900</v>
      </c>
      <c r="I1527" s="192">
        <v>141</v>
      </c>
    </row>
    <row r="1528" spans="1:9" x14ac:dyDescent="0.65">
      <c r="A1528" s="188">
        <v>40862</v>
      </c>
      <c r="B1528" s="35" t="s">
        <v>1520</v>
      </c>
      <c r="C1528" t="s">
        <v>1417</v>
      </c>
      <c r="D1528" t="s">
        <v>451</v>
      </c>
      <c r="E1528" s="141">
        <v>1</v>
      </c>
      <c r="F1528" s="141">
        <v>574.79999999999995</v>
      </c>
      <c r="G1528" s="142"/>
      <c r="H1528" s="142">
        <v>574.79999999999995</v>
      </c>
      <c r="I1528" s="192">
        <v>141</v>
      </c>
    </row>
    <row r="1529" spans="1:9" x14ac:dyDescent="0.65">
      <c r="A1529" s="189" t="s">
        <v>448</v>
      </c>
      <c r="B1529" s="183" t="s">
        <v>1521</v>
      </c>
      <c r="C1529" s="184" t="s">
        <v>448</v>
      </c>
      <c r="D1529" s="184" t="s">
        <v>448</v>
      </c>
      <c r="E1529" s="185"/>
      <c r="F1529" s="185"/>
      <c r="G1529" s="186"/>
      <c r="H1529" s="186">
        <v>14798.475</v>
      </c>
      <c r="I1529" s="193" t="s">
        <v>1767</v>
      </c>
    </row>
    <row r="1530" spans="1:9" x14ac:dyDescent="0.65">
      <c r="A1530" s="188" t="s">
        <v>448</v>
      </c>
      <c r="B1530" s="35" t="s">
        <v>448</v>
      </c>
      <c r="C1530" t="s">
        <v>448</v>
      </c>
      <c r="D1530" t="s">
        <v>448</v>
      </c>
      <c r="E1530" s="141"/>
      <c r="F1530" s="141"/>
      <c r="G1530" s="142"/>
      <c r="H1530" s="142"/>
      <c r="I1530" s="191" t="s">
        <v>1767</v>
      </c>
    </row>
    <row r="1531" spans="1:9" x14ac:dyDescent="0.65">
      <c r="A1531" s="187" t="s">
        <v>448</v>
      </c>
      <c r="B1531" s="29" t="s">
        <v>1841</v>
      </c>
      <c r="C1531" s="27" t="s">
        <v>448</v>
      </c>
      <c r="D1531" s="27" t="s">
        <v>448</v>
      </c>
      <c r="E1531" s="181"/>
      <c r="F1531" s="181"/>
      <c r="G1531" s="182"/>
      <c r="H1531" s="182"/>
      <c r="I1531" s="140" t="s">
        <v>1767</v>
      </c>
    </row>
    <row r="1532" spans="1:9" x14ac:dyDescent="0.65">
      <c r="A1532" s="188">
        <v>40757</v>
      </c>
      <c r="B1532" s="35" t="s">
        <v>1522</v>
      </c>
      <c r="C1532" t="s">
        <v>1515</v>
      </c>
      <c r="D1532" t="s">
        <v>451</v>
      </c>
      <c r="E1532" s="141">
        <v>1</v>
      </c>
      <c r="F1532" s="141">
        <v>1257.04</v>
      </c>
      <c r="G1532" s="142"/>
      <c r="H1532" s="142">
        <v>1257.04</v>
      </c>
      <c r="I1532" s="192">
        <v>142</v>
      </c>
    </row>
    <row r="1533" spans="1:9" ht="28.5" x14ac:dyDescent="0.65">
      <c r="A1533" s="188">
        <v>40757</v>
      </c>
      <c r="B1533" s="35" t="s">
        <v>1523</v>
      </c>
      <c r="C1533" t="s">
        <v>1515</v>
      </c>
      <c r="D1533" t="s">
        <v>451</v>
      </c>
      <c r="E1533" s="141">
        <v>1</v>
      </c>
      <c r="F1533" s="141">
        <v>197.07</v>
      </c>
      <c r="G1533" s="142"/>
      <c r="H1533" s="142">
        <v>197.07</v>
      </c>
      <c r="I1533" s="192">
        <v>142</v>
      </c>
    </row>
    <row r="1534" spans="1:9" x14ac:dyDescent="0.65">
      <c r="A1534" s="188">
        <v>40847</v>
      </c>
      <c r="B1534" s="35" t="s">
        <v>1524</v>
      </c>
      <c r="C1534" t="s">
        <v>1517</v>
      </c>
      <c r="D1534" t="s">
        <v>451</v>
      </c>
      <c r="E1534" s="141">
        <v>1</v>
      </c>
      <c r="F1534" s="141">
        <v>2885.3</v>
      </c>
      <c r="G1534" s="142"/>
      <c r="H1534" s="142">
        <v>2885.3</v>
      </c>
      <c r="I1534" s="192">
        <v>142</v>
      </c>
    </row>
    <row r="1535" spans="1:9" x14ac:dyDescent="0.65">
      <c r="A1535" s="189" t="s">
        <v>448</v>
      </c>
      <c r="B1535" s="183" t="s">
        <v>1525</v>
      </c>
      <c r="C1535" s="184" t="s">
        <v>448</v>
      </c>
      <c r="D1535" s="184" t="s">
        <v>448</v>
      </c>
      <c r="E1535" s="185"/>
      <c r="F1535" s="185"/>
      <c r="G1535" s="186"/>
      <c r="H1535" s="186">
        <v>4339.41</v>
      </c>
      <c r="I1535" s="193" t="s">
        <v>1767</v>
      </c>
    </row>
    <row r="1536" spans="1:9" x14ac:dyDescent="0.65">
      <c r="A1536" s="188" t="s">
        <v>448</v>
      </c>
      <c r="B1536" s="35" t="s">
        <v>448</v>
      </c>
      <c r="C1536" t="s">
        <v>448</v>
      </c>
      <c r="D1536" t="s">
        <v>448</v>
      </c>
      <c r="E1536" s="141"/>
      <c r="F1536" s="141"/>
      <c r="G1536" s="142"/>
      <c r="H1536" s="142"/>
      <c r="I1536" s="191" t="s">
        <v>1767</v>
      </c>
    </row>
    <row r="1537" spans="1:9" x14ac:dyDescent="0.65">
      <c r="A1537" s="187" t="s">
        <v>448</v>
      </c>
      <c r="B1537" s="29" t="s">
        <v>1842</v>
      </c>
      <c r="C1537" s="27" t="s">
        <v>448</v>
      </c>
      <c r="D1537" s="27" t="s">
        <v>448</v>
      </c>
      <c r="E1537" s="181"/>
      <c r="F1537" s="181"/>
      <c r="G1537" s="182"/>
      <c r="H1537" s="182"/>
      <c r="I1537" s="140" t="s">
        <v>1767</v>
      </c>
    </row>
    <row r="1538" spans="1:9" x14ac:dyDescent="0.65">
      <c r="A1538" s="188">
        <v>40700</v>
      </c>
      <c r="B1538" s="35" t="s">
        <v>7</v>
      </c>
      <c r="C1538" t="s">
        <v>7</v>
      </c>
      <c r="D1538" t="s">
        <v>18</v>
      </c>
      <c r="E1538" s="141">
        <v>1</v>
      </c>
      <c r="F1538" s="141">
        <v>39.39</v>
      </c>
      <c r="G1538" s="142"/>
      <c r="H1538" s="142">
        <v>39.39</v>
      </c>
      <c r="I1538" s="192">
        <v>151</v>
      </c>
    </row>
    <row r="1539" spans="1:9" x14ac:dyDescent="0.65">
      <c r="A1539" s="188">
        <v>40703</v>
      </c>
      <c r="B1539" s="35" t="s">
        <v>7</v>
      </c>
      <c r="C1539" t="s">
        <v>7</v>
      </c>
      <c r="D1539" t="s">
        <v>18</v>
      </c>
      <c r="E1539" s="141">
        <v>3.5</v>
      </c>
      <c r="F1539" s="141">
        <v>39.39</v>
      </c>
      <c r="G1539" s="142"/>
      <c r="H1539" s="142">
        <v>137.86500000000001</v>
      </c>
      <c r="I1539" s="192">
        <v>151</v>
      </c>
    </row>
    <row r="1540" spans="1:9" x14ac:dyDescent="0.65">
      <c r="A1540" s="189" t="s">
        <v>448</v>
      </c>
      <c r="B1540" s="183" t="s">
        <v>1526</v>
      </c>
      <c r="C1540" s="184" t="s">
        <v>448</v>
      </c>
      <c r="D1540" s="184" t="s">
        <v>448</v>
      </c>
      <c r="E1540" s="185"/>
      <c r="F1540" s="185"/>
      <c r="G1540" s="186"/>
      <c r="H1540" s="186">
        <v>177.255</v>
      </c>
      <c r="I1540" s="193" t="s">
        <v>1767</v>
      </c>
    </row>
    <row r="1541" spans="1:9" x14ac:dyDescent="0.65">
      <c r="A1541" s="188" t="s">
        <v>448</v>
      </c>
      <c r="B1541" s="35" t="s">
        <v>448</v>
      </c>
      <c r="C1541" t="s">
        <v>448</v>
      </c>
      <c r="D1541" t="s">
        <v>448</v>
      </c>
      <c r="E1541" s="141"/>
      <c r="F1541" s="141"/>
      <c r="G1541" s="142"/>
      <c r="H1541" s="142"/>
      <c r="I1541" s="191" t="s">
        <v>1767</v>
      </c>
    </row>
    <row r="1542" spans="1:9" x14ac:dyDescent="0.65">
      <c r="A1542" s="187" t="s">
        <v>448</v>
      </c>
      <c r="B1542" s="29" t="s">
        <v>1843</v>
      </c>
      <c r="C1542" s="27" t="s">
        <v>448</v>
      </c>
      <c r="D1542" s="27" t="s">
        <v>448</v>
      </c>
      <c r="E1542" s="181"/>
      <c r="F1542" s="181"/>
      <c r="G1542" s="182"/>
      <c r="H1542" s="182"/>
      <c r="I1542" s="140" t="s">
        <v>1767</v>
      </c>
    </row>
    <row r="1543" spans="1:9" x14ac:dyDescent="0.65">
      <c r="A1543" s="188">
        <v>40680</v>
      </c>
      <c r="B1543" s="35" t="s">
        <v>7</v>
      </c>
      <c r="C1543" t="s">
        <v>7</v>
      </c>
      <c r="D1543" t="s">
        <v>18</v>
      </c>
      <c r="E1543" s="141">
        <v>8</v>
      </c>
      <c r="F1543" s="141">
        <v>39.39</v>
      </c>
      <c r="G1543" s="142"/>
      <c r="H1543" s="142">
        <v>315.12</v>
      </c>
      <c r="I1543" s="192">
        <v>152</v>
      </c>
    </row>
    <row r="1544" spans="1:9" x14ac:dyDescent="0.65">
      <c r="A1544" s="188">
        <v>40690</v>
      </c>
      <c r="B1544" s="35" t="s">
        <v>7</v>
      </c>
      <c r="C1544" t="s">
        <v>7</v>
      </c>
      <c r="D1544" t="s">
        <v>18</v>
      </c>
      <c r="E1544" s="141">
        <v>3.5</v>
      </c>
      <c r="F1544" s="141">
        <v>39.39</v>
      </c>
      <c r="G1544" s="142"/>
      <c r="H1544" s="142">
        <v>137.86500000000001</v>
      </c>
      <c r="I1544" s="192">
        <v>152</v>
      </c>
    </row>
    <row r="1545" spans="1:9" x14ac:dyDescent="0.65">
      <c r="A1545" s="188">
        <v>40690</v>
      </c>
      <c r="B1545" s="35" t="s">
        <v>7</v>
      </c>
      <c r="C1545" t="s">
        <v>7</v>
      </c>
      <c r="D1545" t="s">
        <v>18</v>
      </c>
      <c r="E1545" s="141">
        <v>3.5</v>
      </c>
      <c r="F1545" s="141">
        <v>39.39</v>
      </c>
      <c r="G1545" s="142"/>
      <c r="H1545" s="142">
        <v>137.86500000000001</v>
      </c>
      <c r="I1545" s="192">
        <v>152</v>
      </c>
    </row>
    <row r="1546" spans="1:9" x14ac:dyDescent="0.65">
      <c r="A1546" s="188">
        <v>40709</v>
      </c>
      <c r="B1546" s="35" t="s">
        <v>448</v>
      </c>
      <c r="C1546" t="s">
        <v>1527</v>
      </c>
      <c r="D1546" t="s">
        <v>451</v>
      </c>
      <c r="E1546" s="141">
        <v>4</v>
      </c>
      <c r="F1546" s="141">
        <v>54.45</v>
      </c>
      <c r="G1546" s="142"/>
      <c r="H1546" s="142">
        <v>217.8</v>
      </c>
      <c r="I1546" s="192">
        <v>152</v>
      </c>
    </row>
    <row r="1547" spans="1:9" x14ac:dyDescent="0.65">
      <c r="A1547" s="188">
        <v>40709</v>
      </c>
      <c r="B1547" s="35" t="s">
        <v>363</v>
      </c>
      <c r="C1547" t="s">
        <v>1528</v>
      </c>
      <c r="D1547" t="s">
        <v>451</v>
      </c>
      <c r="E1547" s="141">
        <v>100</v>
      </c>
      <c r="F1547" s="141">
        <v>5.3520000000000003</v>
      </c>
      <c r="G1547" s="142"/>
      <c r="H1547" s="142">
        <v>535.20000000000005</v>
      </c>
      <c r="I1547" s="192">
        <v>152</v>
      </c>
    </row>
    <row r="1548" spans="1:9" x14ac:dyDescent="0.65">
      <c r="A1548" s="188">
        <v>40733</v>
      </c>
      <c r="B1548" s="35" t="s">
        <v>7</v>
      </c>
      <c r="C1548" t="s">
        <v>7</v>
      </c>
      <c r="D1548" t="s">
        <v>18</v>
      </c>
      <c r="E1548" s="141">
        <v>2</v>
      </c>
      <c r="F1548" s="141">
        <v>39.39</v>
      </c>
      <c r="G1548" s="142"/>
      <c r="H1548" s="142">
        <v>78.78</v>
      </c>
      <c r="I1548" s="192">
        <v>152</v>
      </c>
    </row>
    <row r="1549" spans="1:9" x14ac:dyDescent="0.65">
      <c r="A1549" s="188">
        <v>40734</v>
      </c>
      <c r="B1549" s="35" t="s">
        <v>1529</v>
      </c>
      <c r="C1549" t="s">
        <v>1530</v>
      </c>
      <c r="D1549" t="s">
        <v>451</v>
      </c>
      <c r="E1549" s="141">
        <v>1</v>
      </c>
      <c r="F1549" s="141">
        <v>16.27</v>
      </c>
      <c r="G1549" s="142"/>
      <c r="H1549" s="142">
        <v>16.27</v>
      </c>
      <c r="I1549" s="192">
        <v>152</v>
      </c>
    </row>
    <row r="1550" spans="1:9" x14ac:dyDescent="0.65">
      <c r="A1550" s="188">
        <v>40737</v>
      </c>
      <c r="B1550" s="35" t="s">
        <v>7</v>
      </c>
      <c r="C1550" t="s">
        <v>7</v>
      </c>
      <c r="D1550" t="s">
        <v>18</v>
      </c>
      <c r="E1550" s="141">
        <v>3.5</v>
      </c>
      <c r="F1550" s="141">
        <v>39.39</v>
      </c>
      <c r="G1550" s="142"/>
      <c r="H1550" s="142">
        <v>137.86500000000001</v>
      </c>
      <c r="I1550" s="192">
        <v>152</v>
      </c>
    </row>
    <row r="1551" spans="1:9" x14ac:dyDescent="0.65">
      <c r="A1551" s="188">
        <v>40738</v>
      </c>
      <c r="B1551" s="35" t="s">
        <v>7</v>
      </c>
      <c r="C1551" t="s">
        <v>7</v>
      </c>
      <c r="D1551" t="s">
        <v>18</v>
      </c>
      <c r="E1551" s="141">
        <v>4.5</v>
      </c>
      <c r="F1551" s="141">
        <v>39.39</v>
      </c>
      <c r="G1551" s="142"/>
      <c r="H1551" s="142">
        <v>177.255</v>
      </c>
      <c r="I1551" s="192">
        <v>152</v>
      </c>
    </row>
    <row r="1552" spans="1:9" x14ac:dyDescent="0.65">
      <c r="A1552" s="188">
        <v>40738</v>
      </c>
      <c r="B1552" s="35" t="s">
        <v>7</v>
      </c>
      <c r="C1552" t="s">
        <v>7</v>
      </c>
      <c r="D1552" t="s">
        <v>18</v>
      </c>
      <c r="E1552" s="141">
        <v>2.5</v>
      </c>
      <c r="F1552" s="141">
        <v>39.39</v>
      </c>
      <c r="G1552" s="142"/>
      <c r="H1552" s="142">
        <v>98.474999999999994</v>
      </c>
      <c r="I1552" s="192">
        <v>152</v>
      </c>
    </row>
    <row r="1553" spans="1:9" x14ac:dyDescent="0.65">
      <c r="A1553" s="188">
        <v>40739</v>
      </c>
      <c r="B1553" s="35" t="s">
        <v>7</v>
      </c>
      <c r="C1553" t="s">
        <v>7</v>
      </c>
      <c r="D1553" t="s">
        <v>18</v>
      </c>
      <c r="E1553" s="141">
        <v>2</v>
      </c>
      <c r="F1553" s="141">
        <v>39.39</v>
      </c>
      <c r="G1553" s="142"/>
      <c r="H1553" s="142">
        <v>78.78</v>
      </c>
      <c r="I1553" s="192">
        <v>152</v>
      </c>
    </row>
    <row r="1554" spans="1:9" x14ac:dyDescent="0.65">
      <c r="A1554" s="188">
        <v>40779</v>
      </c>
      <c r="B1554" s="35" t="s">
        <v>1347</v>
      </c>
      <c r="C1554" t="s">
        <v>1348</v>
      </c>
      <c r="D1554" t="s">
        <v>18</v>
      </c>
      <c r="E1554" s="141">
        <v>2</v>
      </c>
      <c r="F1554" s="141">
        <v>90</v>
      </c>
      <c r="G1554" s="142"/>
      <c r="H1554" s="142">
        <v>180</v>
      </c>
      <c r="I1554" s="192">
        <v>152</v>
      </c>
    </row>
    <row r="1555" spans="1:9" x14ac:dyDescent="0.65">
      <c r="A1555" s="188">
        <v>40779</v>
      </c>
      <c r="B1555" s="35" t="s">
        <v>7</v>
      </c>
      <c r="C1555" t="s">
        <v>7</v>
      </c>
      <c r="D1555" t="s">
        <v>18</v>
      </c>
      <c r="E1555" s="141">
        <v>4</v>
      </c>
      <c r="F1555" s="141">
        <v>39.39</v>
      </c>
      <c r="G1555" s="142"/>
      <c r="H1555" s="142">
        <v>157.56</v>
      </c>
      <c r="I1555" s="192">
        <v>152</v>
      </c>
    </row>
    <row r="1556" spans="1:9" x14ac:dyDescent="0.65">
      <c r="A1556" s="188">
        <v>40780</v>
      </c>
      <c r="B1556" s="35" t="s">
        <v>7</v>
      </c>
      <c r="C1556" t="s">
        <v>7</v>
      </c>
      <c r="D1556" t="s">
        <v>18</v>
      </c>
      <c r="E1556" s="141">
        <v>2</v>
      </c>
      <c r="F1556" s="141">
        <v>39.39</v>
      </c>
      <c r="G1556" s="142"/>
      <c r="H1556" s="142">
        <v>78.78</v>
      </c>
      <c r="I1556" s="192">
        <v>152</v>
      </c>
    </row>
    <row r="1557" spans="1:9" x14ac:dyDescent="0.65">
      <c r="A1557" s="188">
        <v>40781</v>
      </c>
      <c r="B1557" s="35" t="s">
        <v>7</v>
      </c>
      <c r="C1557" t="s">
        <v>7</v>
      </c>
      <c r="D1557" t="s">
        <v>18</v>
      </c>
      <c r="E1557" s="141">
        <v>2</v>
      </c>
      <c r="F1557" s="141">
        <v>39.39</v>
      </c>
      <c r="G1557" s="142"/>
      <c r="H1557" s="142">
        <v>78.78</v>
      </c>
      <c r="I1557" s="192">
        <v>152</v>
      </c>
    </row>
    <row r="1558" spans="1:9" x14ac:dyDescent="0.65">
      <c r="A1558" s="188">
        <v>40781</v>
      </c>
      <c r="B1558" s="35" t="s">
        <v>7</v>
      </c>
      <c r="C1558" t="s">
        <v>7</v>
      </c>
      <c r="D1558" t="s">
        <v>18</v>
      </c>
      <c r="E1558" s="141">
        <v>2</v>
      </c>
      <c r="F1558" s="141">
        <v>32.200000000000003</v>
      </c>
      <c r="G1558" s="142"/>
      <c r="H1558" s="142">
        <v>64.400000000000006</v>
      </c>
      <c r="I1558" s="192">
        <v>152</v>
      </c>
    </row>
    <row r="1559" spans="1:9" x14ac:dyDescent="0.65">
      <c r="A1559" s="188">
        <v>40781</v>
      </c>
      <c r="B1559" s="35" t="s">
        <v>7</v>
      </c>
      <c r="C1559" t="s">
        <v>7</v>
      </c>
      <c r="D1559" t="s">
        <v>18</v>
      </c>
      <c r="E1559" s="141">
        <v>4</v>
      </c>
      <c r="F1559" s="141">
        <v>39.39</v>
      </c>
      <c r="G1559" s="142"/>
      <c r="H1559" s="142">
        <v>157.56</v>
      </c>
      <c r="I1559" s="192">
        <v>152</v>
      </c>
    </row>
    <row r="1560" spans="1:9" x14ac:dyDescent="0.65">
      <c r="A1560" s="188">
        <v>40784</v>
      </c>
      <c r="B1560" s="35" t="s">
        <v>7</v>
      </c>
      <c r="C1560" t="s">
        <v>7</v>
      </c>
      <c r="D1560" t="s">
        <v>18</v>
      </c>
      <c r="E1560" s="141">
        <v>4</v>
      </c>
      <c r="F1560" s="141">
        <v>39.39</v>
      </c>
      <c r="G1560" s="142"/>
      <c r="H1560" s="142">
        <v>157.56</v>
      </c>
      <c r="I1560" s="192">
        <v>152</v>
      </c>
    </row>
    <row r="1561" spans="1:9" x14ac:dyDescent="0.65">
      <c r="A1561" s="189" t="s">
        <v>448</v>
      </c>
      <c r="B1561" s="183" t="s">
        <v>1531</v>
      </c>
      <c r="C1561" s="184" t="s">
        <v>448</v>
      </c>
      <c r="D1561" s="184" t="s">
        <v>448</v>
      </c>
      <c r="E1561" s="185"/>
      <c r="F1561" s="185"/>
      <c r="G1561" s="186"/>
      <c r="H1561" s="186">
        <v>2805.915</v>
      </c>
      <c r="I1561" s="193" t="s">
        <v>1767</v>
      </c>
    </row>
    <row r="1562" spans="1:9" x14ac:dyDescent="0.65">
      <c r="A1562" s="188" t="s">
        <v>448</v>
      </c>
      <c r="B1562" s="35" t="s">
        <v>448</v>
      </c>
      <c r="C1562" t="s">
        <v>448</v>
      </c>
      <c r="D1562" t="s">
        <v>448</v>
      </c>
      <c r="E1562" s="141"/>
      <c r="F1562" s="141"/>
      <c r="G1562" s="142"/>
      <c r="H1562" s="142"/>
      <c r="I1562" s="191" t="s">
        <v>1767</v>
      </c>
    </row>
    <row r="1563" spans="1:9" x14ac:dyDescent="0.65">
      <c r="A1563" s="187" t="s">
        <v>448</v>
      </c>
      <c r="B1563" s="29" t="s">
        <v>1844</v>
      </c>
      <c r="C1563" s="27" t="s">
        <v>448</v>
      </c>
      <c r="D1563" s="27" t="s">
        <v>448</v>
      </c>
      <c r="E1563" s="181"/>
      <c r="F1563" s="181"/>
      <c r="G1563" s="182"/>
      <c r="H1563" s="182"/>
      <c r="I1563" s="140" t="s">
        <v>1767</v>
      </c>
    </row>
    <row r="1564" spans="1:9" x14ac:dyDescent="0.65">
      <c r="A1564" s="188">
        <v>40873</v>
      </c>
      <c r="B1564" s="35" t="s">
        <v>7</v>
      </c>
      <c r="C1564" t="s">
        <v>7</v>
      </c>
      <c r="D1564" t="s">
        <v>18</v>
      </c>
      <c r="E1564" s="141">
        <v>4</v>
      </c>
      <c r="F1564" s="141">
        <v>35.35</v>
      </c>
      <c r="G1564" s="142"/>
      <c r="H1564" s="142">
        <v>141.4</v>
      </c>
      <c r="I1564" s="192">
        <v>221</v>
      </c>
    </row>
    <row r="1565" spans="1:9" x14ac:dyDescent="0.65">
      <c r="A1565" s="188">
        <v>40873</v>
      </c>
      <c r="B1565" s="35" t="s">
        <v>7</v>
      </c>
      <c r="C1565" t="s">
        <v>7</v>
      </c>
      <c r="D1565" t="s">
        <v>18</v>
      </c>
      <c r="E1565" s="141">
        <v>4</v>
      </c>
      <c r="F1565" s="141">
        <v>35.35</v>
      </c>
      <c r="G1565" s="142"/>
      <c r="H1565" s="142">
        <v>141.4</v>
      </c>
      <c r="I1565" s="192">
        <v>221</v>
      </c>
    </row>
    <row r="1566" spans="1:9" x14ac:dyDescent="0.65">
      <c r="A1566" s="188">
        <v>40873</v>
      </c>
      <c r="B1566" s="35" t="s">
        <v>1425</v>
      </c>
      <c r="C1566" t="s">
        <v>7</v>
      </c>
      <c r="D1566" t="s">
        <v>18</v>
      </c>
      <c r="E1566" s="141">
        <v>4</v>
      </c>
      <c r="F1566" s="141">
        <v>35.35</v>
      </c>
      <c r="G1566" s="142"/>
      <c r="H1566" s="142">
        <v>141.4</v>
      </c>
      <c r="I1566" s="192">
        <v>221</v>
      </c>
    </row>
    <row r="1567" spans="1:9" x14ac:dyDescent="0.65">
      <c r="A1567" s="188">
        <v>40877</v>
      </c>
      <c r="B1567" s="35" t="s">
        <v>1532</v>
      </c>
      <c r="C1567" t="s">
        <v>1533</v>
      </c>
      <c r="D1567" t="s">
        <v>451</v>
      </c>
      <c r="E1567" s="141">
        <v>1</v>
      </c>
      <c r="F1567" s="141">
        <v>67.27</v>
      </c>
      <c r="G1567" s="142"/>
      <c r="H1567" s="142">
        <v>67.27</v>
      </c>
      <c r="I1567" s="192">
        <v>221</v>
      </c>
    </row>
    <row r="1568" spans="1:9" x14ac:dyDescent="0.65">
      <c r="A1568" s="189" t="s">
        <v>448</v>
      </c>
      <c r="B1568" s="183" t="s">
        <v>1534</v>
      </c>
      <c r="C1568" s="184" t="s">
        <v>448</v>
      </c>
      <c r="D1568" s="184" t="s">
        <v>448</v>
      </c>
      <c r="E1568" s="185"/>
      <c r="F1568" s="185"/>
      <c r="G1568" s="186"/>
      <c r="H1568" s="186">
        <v>491.47</v>
      </c>
      <c r="I1568" s="193" t="s">
        <v>1767</v>
      </c>
    </row>
    <row r="1569" spans="1:9" x14ac:dyDescent="0.65">
      <c r="A1569" s="188" t="s">
        <v>448</v>
      </c>
      <c r="B1569" s="35" t="s">
        <v>448</v>
      </c>
      <c r="C1569" t="s">
        <v>448</v>
      </c>
      <c r="D1569" t="s">
        <v>448</v>
      </c>
      <c r="E1569" s="141"/>
      <c r="F1569" s="141"/>
      <c r="G1569" s="142"/>
      <c r="H1569" s="142"/>
      <c r="I1569" s="191" t="s">
        <v>1767</v>
      </c>
    </row>
    <row r="1570" spans="1:9" x14ac:dyDescent="0.65">
      <c r="A1570" s="187" t="s">
        <v>448</v>
      </c>
      <c r="B1570" s="29" t="s">
        <v>1845</v>
      </c>
      <c r="C1570" s="27" t="s">
        <v>448</v>
      </c>
      <c r="D1570" s="27" t="s">
        <v>448</v>
      </c>
      <c r="E1570" s="181"/>
      <c r="F1570" s="181"/>
      <c r="G1570" s="182"/>
      <c r="H1570" s="182"/>
      <c r="I1570" s="140" t="s">
        <v>1767</v>
      </c>
    </row>
    <row r="1571" spans="1:9" x14ac:dyDescent="0.65">
      <c r="A1571" s="188">
        <v>40618</v>
      </c>
      <c r="B1571" t="s">
        <v>1535</v>
      </c>
      <c r="C1571" t="s">
        <v>1535</v>
      </c>
      <c r="D1571" t="s">
        <v>451</v>
      </c>
      <c r="E1571" s="141">
        <v>5.5</v>
      </c>
      <c r="F1571" s="141">
        <v>36.020000000000003</v>
      </c>
      <c r="G1571" s="142"/>
      <c r="H1571" s="142">
        <v>198.11</v>
      </c>
      <c r="I1571" s="192">
        <v>901</v>
      </c>
    </row>
    <row r="1572" spans="1:9" x14ac:dyDescent="0.65">
      <c r="A1572" s="188">
        <v>40625</v>
      </c>
      <c r="B1572" t="s">
        <v>1535</v>
      </c>
      <c r="C1572" t="s">
        <v>1535</v>
      </c>
      <c r="D1572" t="s">
        <v>451</v>
      </c>
      <c r="E1572" s="141">
        <v>2.5</v>
      </c>
      <c r="F1572" s="141">
        <v>36.020000000000003</v>
      </c>
      <c r="G1572" s="142"/>
      <c r="H1572" s="142">
        <v>90.05</v>
      </c>
      <c r="I1572" s="192">
        <v>901</v>
      </c>
    </row>
    <row r="1573" spans="1:9" x14ac:dyDescent="0.65">
      <c r="A1573" s="188">
        <v>40626</v>
      </c>
      <c r="B1573" t="s">
        <v>1535</v>
      </c>
      <c r="C1573" t="s">
        <v>1535</v>
      </c>
      <c r="D1573" t="s">
        <v>451</v>
      </c>
      <c r="E1573" s="141">
        <v>1.5</v>
      </c>
      <c r="F1573" s="141">
        <v>36.020000000000003</v>
      </c>
      <c r="G1573" s="142"/>
      <c r="H1573" s="142">
        <v>54.03</v>
      </c>
      <c r="I1573" s="192">
        <v>901</v>
      </c>
    </row>
    <row r="1574" spans="1:9" x14ac:dyDescent="0.65">
      <c r="A1574" s="188">
        <v>40666</v>
      </c>
      <c r="B1574" t="s">
        <v>1535</v>
      </c>
      <c r="C1574" t="s">
        <v>1535</v>
      </c>
      <c r="D1574" t="s">
        <v>451</v>
      </c>
      <c r="E1574" s="141">
        <v>4.5</v>
      </c>
      <c r="F1574" s="141">
        <v>36.020000000000003</v>
      </c>
      <c r="G1574" s="142"/>
      <c r="H1574" s="142">
        <v>162.09</v>
      </c>
      <c r="I1574" s="192">
        <v>901</v>
      </c>
    </row>
    <row r="1575" spans="1:9" x14ac:dyDescent="0.65">
      <c r="A1575" s="188">
        <v>40673</v>
      </c>
      <c r="B1575" t="s">
        <v>1535</v>
      </c>
      <c r="C1575" t="s">
        <v>1535</v>
      </c>
      <c r="D1575" t="s">
        <v>451</v>
      </c>
      <c r="E1575" s="141">
        <v>1</v>
      </c>
      <c r="F1575" s="141">
        <v>36.020000000000003</v>
      </c>
      <c r="G1575" s="142"/>
      <c r="H1575" s="142">
        <v>36.020000000000003</v>
      </c>
      <c r="I1575" s="192">
        <v>901</v>
      </c>
    </row>
    <row r="1576" spans="1:9" x14ac:dyDescent="0.65">
      <c r="A1576" s="188">
        <v>40674</v>
      </c>
      <c r="B1576" t="s">
        <v>1535</v>
      </c>
      <c r="C1576" t="s">
        <v>1535</v>
      </c>
      <c r="D1576" t="s">
        <v>451</v>
      </c>
      <c r="E1576" s="141">
        <v>1</v>
      </c>
      <c r="F1576" s="141">
        <v>36.020000000000003</v>
      </c>
      <c r="G1576" s="142"/>
      <c r="H1576" s="142">
        <v>36.020000000000003</v>
      </c>
      <c r="I1576" s="192">
        <v>901</v>
      </c>
    </row>
    <row r="1577" spans="1:9" x14ac:dyDescent="0.65">
      <c r="A1577" s="188">
        <v>40675</v>
      </c>
      <c r="B1577" t="s">
        <v>1535</v>
      </c>
      <c r="C1577" t="s">
        <v>1535</v>
      </c>
      <c r="D1577" t="s">
        <v>451</v>
      </c>
      <c r="E1577" s="141">
        <v>4.5</v>
      </c>
      <c r="F1577" s="141">
        <v>36.020000000000003</v>
      </c>
      <c r="G1577" s="142"/>
      <c r="H1577" s="142">
        <v>162.09</v>
      </c>
      <c r="I1577" s="192">
        <v>901</v>
      </c>
    </row>
    <row r="1578" spans="1:9" x14ac:dyDescent="0.65">
      <c r="A1578" s="188">
        <v>40680</v>
      </c>
      <c r="B1578" t="s">
        <v>1535</v>
      </c>
      <c r="C1578" t="s">
        <v>1535</v>
      </c>
      <c r="D1578" t="s">
        <v>451</v>
      </c>
      <c r="E1578" s="141">
        <v>1</v>
      </c>
      <c r="F1578" s="141">
        <v>36.020000000000003</v>
      </c>
      <c r="G1578" s="142"/>
      <c r="H1578" s="142">
        <v>36.020000000000003</v>
      </c>
      <c r="I1578" s="192">
        <v>901</v>
      </c>
    </row>
    <row r="1579" spans="1:9" x14ac:dyDescent="0.65">
      <c r="A1579" s="188">
        <v>40681</v>
      </c>
      <c r="B1579" t="s">
        <v>1535</v>
      </c>
      <c r="C1579" t="s">
        <v>1535</v>
      </c>
      <c r="D1579" t="s">
        <v>451</v>
      </c>
      <c r="E1579" s="141">
        <v>3.5</v>
      </c>
      <c r="F1579" s="141">
        <v>36.020000000000003</v>
      </c>
      <c r="G1579" s="142"/>
      <c r="H1579" s="142">
        <v>126.07</v>
      </c>
      <c r="I1579" s="192">
        <v>901</v>
      </c>
    </row>
    <row r="1580" spans="1:9" x14ac:dyDescent="0.65">
      <c r="A1580" s="188">
        <v>40693</v>
      </c>
      <c r="B1580" s="35" t="s">
        <v>326</v>
      </c>
      <c r="C1580" t="s">
        <v>1536</v>
      </c>
      <c r="D1580" t="s">
        <v>20</v>
      </c>
      <c r="E1580" s="141">
        <v>3</v>
      </c>
      <c r="F1580" s="141">
        <v>45</v>
      </c>
      <c r="G1580" s="142"/>
      <c r="H1580" s="142">
        <v>135</v>
      </c>
      <c r="I1580" s="192">
        <v>901</v>
      </c>
    </row>
    <row r="1581" spans="1:9" x14ac:dyDescent="0.65">
      <c r="A1581" s="188">
        <v>40696</v>
      </c>
      <c r="B1581" s="35" t="s">
        <v>326</v>
      </c>
      <c r="C1581" t="s">
        <v>1536</v>
      </c>
      <c r="D1581" t="s">
        <v>20</v>
      </c>
      <c r="E1581" s="141">
        <v>2</v>
      </c>
      <c r="F1581" s="141">
        <v>45</v>
      </c>
      <c r="G1581" s="142"/>
      <c r="H1581" s="142">
        <v>90</v>
      </c>
      <c r="I1581" s="192">
        <v>901</v>
      </c>
    </row>
    <row r="1582" spans="1:9" x14ac:dyDescent="0.65">
      <c r="A1582" s="188">
        <v>40709</v>
      </c>
      <c r="B1582" s="35" t="s">
        <v>326</v>
      </c>
      <c r="C1582" t="s">
        <v>1536</v>
      </c>
      <c r="D1582" t="s">
        <v>20</v>
      </c>
      <c r="E1582" s="141">
        <v>4</v>
      </c>
      <c r="F1582" s="141">
        <v>45</v>
      </c>
      <c r="G1582" s="142"/>
      <c r="H1582" s="142">
        <v>180</v>
      </c>
      <c r="I1582" s="192">
        <v>901</v>
      </c>
    </row>
    <row r="1583" spans="1:9" x14ac:dyDescent="0.65">
      <c r="A1583" s="188">
        <v>40710</v>
      </c>
      <c r="B1583" s="35" t="s">
        <v>326</v>
      </c>
      <c r="C1583" t="s">
        <v>1536</v>
      </c>
      <c r="D1583" t="s">
        <v>20</v>
      </c>
      <c r="E1583" s="141">
        <v>3</v>
      </c>
      <c r="F1583" s="141">
        <v>45</v>
      </c>
      <c r="G1583" s="142"/>
      <c r="H1583" s="142">
        <v>135</v>
      </c>
      <c r="I1583" s="192">
        <v>901</v>
      </c>
    </row>
    <row r="1584" spans="1:9" x14ac:dyDescent="0.65">
      <c r="A1584" s="188">
        <v>40711</v>
      </c>
      <c r="B1584" s="35" t="s">
        <v>326</v>
      </c>
      <c r="C1584" t="s">
        <v>1536</v>
      </c>
      <c r="D1584" t="s">
        <v>20</v>
      </c>
      <c r="E1584" s="141">
        <v>2</v>
      </c>
      <c r="F1584" s="141">
        <v>45</v>
      </c>
      <c r="G1584" s="142"/>
      <c r="H1584" s="142">
        <v>90</v>
      </c>
      <c r="I1584" s="192">
        <v>901</v>
      </c>
    </row>
    <row r="1585" spans="1:9" x14ac:dyDescent="0.65">
      <c r="A1585" s="188">
        <v>40715</v>
      </c>
      <c r="B1585" s="35" t="s">
        <v>326</v>
      </c>
      <c r="C1585" t="s">
        <v>1536</v>
      </c>
      <c r="D1585" t="s">
        <v>20</v>
      </c>
      <c r="E1585" s="141">
        <v>2</v>
      </c>
      <c r="F1585" s="141">
        <v>45</v>
      </c>
      <c r="G1585" s="142"/>
      <c r="H1585" s="142">
        <v>90</v>
      </c>
      <c r="I1585" s="192">
        <v>901</v>
      </c>
    </row>
    <row r="1586" spans="1:9" x14ac:dyDescent="0.65">
      <c r="A1586" s="188">
        <v>40716</v>
      </c>
      <c r="B1586" s="35" t="s">
        <v>326</v>
      </c>
      <c r="C1586" t="s">
        <v>1536</v>
      </c>
      <c r="D1586" t="s">
        <v>20</v>
      </c>
      <c r="E1586" s="141">
        <v>7</v>
      </c>
      <c r="F1586" s="141">
        <v>45</v>
      </c>
      <c r="G1586" s="142"/>
      <c r="H1586" s="142">
        <v>315</v>
      </c>
      <c r="I1586" s="192">
        <v>901</v>
      </c>
    </row>
    <row r="1587" spans="1:9" x14ac:dyDescent="0.65">
      <c r="A1587" s="188">
        <v>40717</v>
      </c>
      <c r="B1587" s="35" t="s">
        <v>326</v>
      </c>
      <c r="C1587" t="s">
        <v>1536</v>
      </c>
      <c r="D1587" t="s">
        <v>20</v>
      </c>
      <c r="E1587" s="141">
        <v>2</v>
      </c>
      <c r="F1587" s="141">
        <v>45</v>
      </c>
      <c r="G1587" s="142"/>
      <c r="H1587" s="142">
        <v>90</v>
      </c>
      <c r="I1587" s="192">
        <v>901</v>
      </c>
    </row>
    <row r="1588" spans="1:9" x14ac:dyDescent="0.65">
      <c r="A1588" s="188">
        <v>40728</v>
      </c>
      <c r="B1588" s="35" t="s">
        <v>326</v>
      </c>
      <c r="C1588" t="s">
        <v>1536</v>
      </c>
      <c r="D1588" t="s">
        <v>451</v>
      </c>
      <c r="E1588" s="141">
        <v>4</v>
      </c>
      <c r="F1588" s="141">
        <v>45</v>
      </c>
      <c r="G1588" s="142"/>
      <c r="H1588" s="142">
        <v>180</v>
      </c>
      <c r="I1588" s="192">
        <v>901</v>
      </c>
    </row>
    <row r="1589" spans="1:9" x14ac:dyDescent="0.65">
      <c r="A1589" s="188">
        <v>40729</v>
      </c>
      <c r="B1589" s="35" t="s">
        <v>326</v>
      </c>
      <c r="C1589" t="s">
        <v>1536</v>
      </c>
      <c r="D1589" t="s">
        <v>451</v>
      </c>
      <c r="E1589" s="141">
        <v>3</v>
      </c>
      <c r="F1589" s="141">
        <v>45</v>
      </c>
      <c r="G1589" s="142"/>
      <c r="H1589" s="142">
        <v>135</v>
      </c>
      <c r="I1589" s="192">
        <v>901</v>
      </c>
    </row>
    <row r="1590" spans="1:9" x14ac:dyDescent="0.65">
      <c r="A1590" s="188">
        <v>40756</v>
      </c>
      <c r="B1590" s="35" t="s">
        <v>326</v>
      </c>
      <c r="C1590" t="s">
        <v>1536</v>
      </c>
      <c r="D1590" t="s">
        <v>20</v>
      </c>
      <c r="E1590" s="141">
        <v>3</v>
      </c>
      <c r="F1590" s="141">
        <v>45</v>
      </c>
      <c r="G1590" s="142"/>
      <c r="H1590" s="142">
        <v>135</v>
      </c>
      <c r="I1590" s="192">
        <v>901</v>
      </c>
    </row>
    <row r="1591" spans="1:9" x14ac:dyDescent="0.65">
      <c r="A1591" s="188">
        <v>40757</v>
      </c>
      <c r="B1591" s="35" t="s">
        <v>326</v>
      </c>
      <c r="C1591" t="s">
        <v>1536</v>
      </c>
      <c r="D1591" t="s">
        <v>20</v>
      </c>
      <c r="E1591" s="141">
        <v>2</v>
      </c>
      <c r="F1591" s="141">
        <v>45</v>
      </c>
      <c r="G1591" s="142"/>
      <c r="H1591" s="142">
        <v>90</v>
      </c>
      <c r="I1591" s="192">
        <v>901</v>
      </c>
    </row>
    <row r="1592" spans="1:9" x14ac:dyDescent="0.65">
      <c r="A1592" s="188">
        <v>40764</v>
      </c>
      <c r="B1592" t="s">
        <v>1535</v>
      </c>
      <c r="C1592" t="s">
        <v>1535</v>
      </c>
      <c r="D1592" t="s">
        <v>451</v>
      </c>
      <c r="E1592" s="141">
        <v>2</v>
      </c>
      <c r="F1592" s="141">
        <v>36.020000000000003</v>
      </c>
      <c r="G1592" s="142"/>
      <c r="H1592" s="142">
        <v>72.040000000000006</v>
      </c>
      <c r="I1592" s="192">
        <v>901</v>
      </c>
    </row>
    <row r="1593" spans="1:9" x14ac:dyDescent="0.65">
      <c r="A1593" s="188">
        <v>40765</v>
      </c>
      <c r="B1593" s="35" t="s">
        <v>326</v>
      </c>
      <c r="C1593" t="s">
        <v>1536</v>
      </c>
      <c r="D1593" t="s">
        <v>20</v>
      </c>
      <c r="E1593" s="141">
        <v>2</v>
      </c>
      <c r="F1593" s="141">
        <v>45</v>
      </c>
      <c r="G1593" s="142"/>
      <c r="H1593" s="142">
        <v>90</v>
      </c>
      <c r="I1593" s="192">
        <v>901</v>
      </c>
    </row>
    <row r="1594" spans="1:9" x14ac:dyDescent="0.65">
      <c r="A1594" s="189" t="s">
        <v>448</v>
      </c>
      <c r="B1594" s="183" t="s">
        <v>1537</v>
      </c>
      <c r="C1594" s="184" t="s">
        <v>448</v>
      </c>
      <c r="D1594" s="184" t="s">
        <v>448</v>
      </c>
      <c r="E1594" s="185"/>
      <c r="F1594" s="185"/>
      <c r="G1594" s="186"/>
      <c r="H1594" s="186">
        <v>2727.54</v>
      </c>
      <c r="I1594" s="193" t="s">
        <v>1767</v>
      </c>
    </row>
    <row r="1595" spans="1:9" x14ac:dyDescent="0.65">
      <c r="A1595" s="188" t="s">
        <v>448</v>
      </c>
      <c r="B1595" s="35" t="s">
        <v>448</v>
      </c>
      <c r="C1595" t="s">
        <v>448</v>
      </c>
      <c r="D1595" t="s">
        <v>448</v>
      </c>
      <c r="E1595" s="141"/>
      <c r="F1595" s="141"/>
      <c r="G1595" s="142"/>
      <c r="H1595" s="142"/>
      <c r="I1595" s="191" t="s">
        <v>1767</v>
      </c>
    </row>
    <row r="1596" spans="1:9" x14ac:dyDescent="0.65">
      <c r="A1596" s="187" t="s">
        <v>448</v>
      </c>
      <c r="B1596" s="29" t="s">
        <v>1846</v>
      </c>
      <c r="C1596" s="27" t="s">
        <v>448</v>
      </c>
      <c r="D1596" s="27" t="s">
        <v>448</v>
      </c>
      <c r="E1596" s="181"/>
      <c r="F1596" s="181"/>
      <c r="G1596" s="182"/>
      <c r="H1596" s="182"/>
      <c r="I1596" s="140" t="s">
        <v>1767</v>
      </c>
    </row>
    <row r="1597" spans="1:9" x14ac:dyDescent="0.65">
      <c r="A1597" s="188">
        <v>40660</v>
      </c>
      <c r="B1597" t="s">
        <v>1538</v>
      </c>
      <c r="C1597" t="s">
        <v>1538</v>
      </c>
      <c r="D1597" t="s">
        <v>18</v>
      </c>
      <c r="E1597" s="141">
        <v>8</v>
      </c>
      <c r="F1597" s="141">
        <v>71.81</v>
      </c>
      <c r="G1597" s="142"/>
      <c r="H1597" s="142">
        <v>574.48</v>
      </c>
      <c r="I1597" s="192">
        <v>902</v>
      </c>
    </row>
    <row r="1598" spans="1:9" x14ac:dyDescent="0.65">
      <c r="A1598" s="188">
        <v>40661</v>
      </c>
      <c r="B1598" t="s">
        <v>1538</v>
      </c>
      <c r="C1598" t="s">
        <v>1538</v>
      </c>
      <c r="D1598" t="s">
        <v>18</v>
      </c>
      <c r="E1598" s="141">
        <v>8</v>
      </c>
      <c r="F1598" s="141">
        <v>71.81</v>
      </c>
      <c r="G1598" s="142"/>
      <c r="H1598" s="142">
        <v>574.48</v>
      </c>
      <c r="I1598" s="192">
        <v>902</v>
      </c>
    </row>
    <row r="1599" spans="1:9" x14ac:dyDescent="0.65">
      <c r="A1599" s="188">
        <v>40662</v>
      </c>
      <c r="B1599" t="s">
        <v>1538</v>
      </c>
      <c r="C1599" t="s">
        <v>1538</v>
      </c>
      <c r="D1599" t="s">
        <v>18</v>
      </c>
      <c r="E1599" s="141">
        <v>8</v>
      </c>
      <c r="F1599" s="141">
        <v>71.81</v>
      </c>
      <c r="G1599" s="142"/>
      <c r="H1599" s="142">
        <v>574.48</v>
      </c>
      <c r="I1599" s="192">
        <v>902</v>
      </c>
    </row>
    <row r="1600" spans="1:9" x14ac:dyDescent="0.65">
      <c r="A1600" s="188">
        <v>40666</v>
      </c>
      <c r="B1600" t="s">
        <v>1538</v>
      </c>
      <c r="C1600" t="s">
        <v>1538</v>
      </c>
      <c r="D1600" t="s">
        <v>18</v>
      </c>
      <c r="E1600" s="141">
        <v>8</v>
      </c>
      <c r="F1600" s="141">
        <v>71.81</v>
      </c>
      <c r="G1600" s="142"/>
      <c r="H1600" s="142">
        <v>574.48</v>
      </c>
      <c r="I1600" s="192">
        <v>902</v>
      </c>
    </row>
    <row r="1601" spans="1:9" x14ac:dyDescent="0.65">
      <c r="A1601" s="188">
        <v>40667</v>
      </c>
      <c r="B1601" t="s">
        <v>1538</v>
      </c>
      <c r="C1601" t="s">
        <v>1538</v>
      </c>
      <c r="D1601" t="s">
        <v>18</v>
      </c>
      <c r="E1601" s="141">
        <v>8</v>
      </c>
      <c r="F1601" s="141">
        <v>71.81</v>
      </c>
      <c r="G1601" s="142"/>
      <c r="H1601" s="142">
        <v>574.48</v>
      </c>
      <c r="I1601" s="192">
        <v>902</v>
      </c>
    </row>
    <row r="1602" spans="1:9" x14ac:dyDescent="0.65">
      <c r="A1602" s="188">
        <v>40668</v>
      </c>
      <c r="B1602" t="s">
        <v>1538</v>
      </c>
      <c r="C1602" t="s">
        <v>1538</v>
      </c>
      <c r="D1602" t="s">
        <v>18</v>
      </c>
      <c r="E1602" s="141">
        <v>8</v>
      </c>
      <c r="F1602" s="141">
        <v>71.81</v>
      </c>
      <c r="G1602" s="142"/>
      <c r="H1602" s="142">
        <v>574.48</v>
      </c>
      <c r="I1602" s="192">
        <v>902</v>
      </c>
    </row>
    <row r="1603" spans="1:9" x14ac:dyDescent="0.65">
      <c r="A1603" s="188">
        <v>40672</v>
      </c>
      <c r="B1603" t="s">
        <v>1538</v>
      </c>
      <c r="C1603" t="s">
        <v>1538</v>
      </c>
      <c r="D1603" t="s">
        <v>18</v>
      </c>
      <c r="E1603" s="141">
        <v>8</v>
      </c>
      <c r="F1603" s="141">
        <v>71.81</v>
      </c>
      <c r="G1603" s="142"/>
      <c r="H1603" s="142">
        <v>574.48</v>
      </c>
      <c r="I1603" s="192">
        <v>902</v>
      </c>
    </row>
    <row r="1604" spans="1:9" x14ac:dyDescent="0.65">
      <c r="A1604" s="188">
        <v>40673</v>
      </c>
      <c r="B1604" t="s">
        <v>1538</v>
      </c>
      <c r="C1604" t="s">
        <v>1538</v>
      </c>
      <c r="D1604" t="s">
        <v>18</v>
      </c>
      <c r="E1604" s="141">
        <v>8</v>
      </c>
      <c r="F1604" s="141">
        <v>71.81</v>
      </c>
      <c r="G1604" s="142"/>
      <c r="H1604" s="142">
        <v>574.48</v>
      </c>
      <c r="I1604" s="192">
        <v>902</v>
      </c>
    </row>
    <row r="1605" spans="1:9" x14ac:dyDescent="0.65">
      <c r="A1605" s="188">
        <v>40674</v>
      </c>
      <c r="B1605" t="s">
        <v>1538</v>
      </c>
      <c r="C1605" t="s">
        <v>1538</v>
      </c>
      <c r="D1605" t="s">
        <v>18</v>
      </c>
      <c r="E1605" s="141">
        <v>8</v>
      </c>
      <c r="F1605" s="141">
        <v>71.81</v>
      </c>
      <c r="G1605" s="142"/>
      <c r="H1605" s="142">
        <v>574.48</v>
      </c>
      <c r="I1605" s="192">
        <v>902</v>
      </c>
    </row>
    <row r="1606" spans="1:9" x14ac:dyDescent="0.65">
      <c r="A1606" s="188">
        <v>40675</v>
      </c>
      <c r="B1606" t="s">
        <v>1538</v>
      </c>
      <c r="C1606" t="s">
        <v>1538</v>
      </c>
      <c r="D1606" t="s">
        <v>18</v>
      </c>
      <c r="E1606" s="141">
        <v>8</v>
      </c>
      <c r="F1606" s="141">
        <v>71.81</v>
      </c>
      <c r="G1606" s="142"/>
      <c r="H1606" s="142">
        <v>574.48</v>
      </c>
      <c r="I1606" s="192">
        <v>902</v>
      </c>
    </row>
    <row r="1607" spans="1:9" x14ac:dyDescent="0.65">
      <c r="A1607" s="188">
        <v>40676</v>
      </c>
      <c r="B1607" t="s">
        <v>1538</v>
      </c>
      <c r="C1607" t="s">
        <v>1538</v>
      </c>
      <c r="D1607" t="s">
        <v>18</v>
      </c>
      <c r="E1607" s="141">
        <v>6.5</v>
      </c>
      <c r="F1607" s="141">
        <v>71.81</v>
      </c>
      <c r="G1607" s="142"/>
      <c r="H1607" s="142">
        <v>466.76499999999999</v>
      </c>
      <c r="I1607" s="192">
        <v>902</v>
      </c>
    </row>
    <row r="1608" spans="1:9" x14ac:dyDescent="0.65">
      <c r="A1608" s="188">
        <v>40679</v>
      </c>
      <c r="B1608" t="s">
        <v>1538</v>
      </c>
      <c r="C1608" t="s">
        <v>1538</v>
      </c>
      <c r="D1608" t="s">
        <v>18</v>
      </c>
      <c r="E1608" s="141">
        <v>8</v>
      </c>
      <c r="F1608" s="141">
        <v>71.81</v>
      </c>
      <c r="G1608" s="142"/>
      <c r="H1608" s="142">
        <v>574.48</v>
      </c>
      <c r="I1608" s="192">
        <v>902</v>
      </c>
    </row>
    <row r="1609" spans="1:9" x14ac:dyDescent="0.65">
      <c r="A1609" s="188">
        <v>40680</v>
      </c>
      <c r="B1609" t="s">
        <v>1538</v>
      </c>
      <c r="C1609" t="s">
        <v>1538</v>
      </c>
      <c r="D1609" t="s">
        <v>18</v>
      </c>
      <c r="E1609" s="141">
        <v>8</v>
      </c>
      <c r="F1609" s="141">
        <v>71.81</v>
      </c>
      <c r="G1609" s="142"/>
      <c r="H1609" s="142">
        <v>574.48</v>
      </c>
      <c r="I1609" s="192">
        <v>902</v>
      </c>
    </row>
    <row r="1610" spans="1:9" x14ac:dyDescent="0.65">
      <c r="A1610" s="188">
        <v>40681</v>
      </c>
      <c r="B1610" t="s">
        <v>1538</v>
      </c>
      <c r="C1610" t="s">
        <v>1538</v>
      </c>
      <c r="D1610" t="s">
        <v>18</v>
      </c>
      <c r="E1610" s="141">
        <v>8</v>
      </c>
      <c r="F1610" s="141">
        <v>71.81</v>
      </c>
      <c r="G1610" s="142"/>
      <c r="H1610" s="142">
        <v>574.48</v>
      </c>
      <c r="I1610" s="192">
        <v>902</v>
      </c>
    </row>
    <row r="1611" spans="1:9" x14ac:dyDescent="0.65">
      <c r="A1611" s="188">
        <v>40681</v>
      </c>
      <c r="B1611" t="s">
        <v>1538</v>
      </c>
      <c r="C1611" t="s">
        <v>1538</v>
      </c>
      <c r="D1611" t="s">
        <v>18</v>
      </c>
      <c r="E1611" s="141">
        <v>4</v>
      </c>
      <c r="F1611" s="141">
        <v>57.7</v>
      </c>
      <c r="G1611" s="142"/>
      <c r="H1611" s="142">
        <v>230.8</v>
      </c>
      <c r="I1611" s="192">
        <v>902</v>
      </c>
    </row>
    <row r="1612" spans="1:9" x14ac:dyDescent="0.65">
      <c r="A1612" s="188">
        <v>40682</v>
      </c>
      <c r="B1612" t="s">
        <v>1538</v>
      </c>
      <c r="C1612" t="s">
        <v>1538</v>
      </c>
      <c r="D1612" t="s">
        <v>18</v>
      </c>
      <c r="E1612" s="141">
        <v>6.5</v>
      </c>
      <c r="F1612" s="141">
        <v>57.7</v>
      </c>
      <c r="G1612" s="142"/>
      <c r="H1612" s="142">
        <v>375.05</v>
      </c>
      <c r="I1612" s="192">
        <v>902</v>
      </c>
    </row>
    <row r="1613" spans="1:9" x14ac:dyDescent="0.65">
      <c r="A1613" s="188">
        <v>40682</v>
      </c>
      <c r="B1613" t="s">
        <v>1538</v>
      </c>
      <c r="C1613" t="s">
        <v>1538</v>
      </c>
      <c r="D1613" t="s">
        <v>18</v>
      </c>
      <c r="E1613" s="141">
        <v>9.5</v>
      </c>
      <c r="F1613" s="141">
        <v>71.81</v>
      </c>
      <c r="G1613" s="142"/>
      <c r="H1613" s="142">
        <v>682.19500000000005</v>
      </c>
      <c r="I1613" s="192">
        <v>902</v>
      </c>
    </row>
    <row r="1614" spans="1:9" x14ac:dyDescent="0.65">
      <c r="A1614" s="188">
        <v>40683</v>
      </c>
      <c r="B1614" t="s">
        <v>1538</v>
      </c>
      <c r="C1614" t="s">
        <v>1538</v>
      </c>
      <c r="D1614" t="s">
        <v>18</v>
      </c>
      <c r="E1614" s="141">
        <v>9.5</v>
      </c>
      <c r="F1614" s="141">
        <v>71.81</v>
      </c>
      <c r="G1614" s="142"/>
      <c r="H1614" s="142">
        <v>682.19500000000005</v>
      </c>
      <c r="I1614" s="192">
        <v>902</v>
      </c>
    </row>
    <row r="1615" spans="1:9" x14ac:dyDescent="0.65">
      <c r="A1615" s="188">
        <v>40684</v>
      </c>
      <c r="B1615" t="s">
        <v>1538</v>
      </c>
      <c r="C1615" t="s">
        <v>1538</v>
      </c>
      <c r="D1615" t="s">
        <v>18</v>
      </c>
      <c r="E1615" s="141">
        <v>6.5</v>
      </c>
      <c r="F1615" s="141">
        <v>71.81</v>
      </c>
      <c r="G1615" s="142"/>
      <c r="H1615" s="142">
        <v>466.76499999999999</v>
      </c>
      <c r="I1615" s="192">
        <v>902</v>
      </c>
    </row>
    <row r="1616" spans="1:9" x14ac:dyDescent="0.65">
      <c r="A1616" s="188">
        <v>40686</v>
      </c>
      <c r="B1616" t="s">
        <v>1538</v>
      </c>
      <c r="C1616" t="s">
        <v>1538</v>
      </c>
      <c r="D1616" t="s">
        <v>18</v>
      </c>
      <c r="E1616" s="141">
        <v>8</v>
      </c>
      <c r="F1616" s="141">
        <v>71.81</v>
      </c>
      <c r="G1616" s="142"/>
      <c r="H1616" s="142">
        <v>574.48</v>
      </c>
      <c r="I1616" s="192">
        <v>902</v>
      </c>
    </row>
    <row r="1617" spans="1:9" x14ac:dyDescent="0.65">
      <c r="A1617" s="188">
        <v>40687</v>
      </c>
      <c r="B1617" t="s">
        <v>1538</v>
      </c>
      <c r="C1617" t="s">
        <v>1538</v>
      </c>
      <c r="D1617" t="s">
        <v>18</v>
      </c>
      <c r="E1617" s="141">
        <v>9.5</v>
      </c>
      <c r="F1617" s="141">
        <v>71.81</v>
      </c>
      <c r="G1617" s="142"/>
      <c r="H1617" s="142">
        <v>682.19500000000005</v>
      </c>
      <c r="I1617" s="192">
        <v>902</v>
      </c>
    </row>
    <row r="1618" spans="1:9" x14ac:dyDescent="0.65">
      <c r="A1618" s="188">
        <v>40688</v>
      </c>
      <c r="B1618" t="s">
        <v>1538</v>
      </c>
      <c r="C1618" t="s">
        <v>1538</v>
      </c>
      <c r="D1618" t="s">
        <v>18</v>
      </c>
      <c r="E1618" s="141">
        <v>9.5</v>
      </c>
      <c r="F1618" s="141">
        <v>71.81</v>
      </c>
      <c r="G1618" s="142"/>
      <c r="H1618" s="142">
        <v>682.19500000000005</v>
      </c>
      <c r="I1618" s="192">
        <v>902</v>
      </c>
    </row>
    <row r="1619" spans="1:9" x14ac:dyDescent="0.65">
      <c r="A1619" s="188">
        <v>40689</v>
      </c>
      <c r="B1619" t="s">
        <v>1538</v>
      </c>
      <c r="C1619" t="s">
        <v>1538</v>
      </c>
      <c r="D1619" t="s">
        <v>18</v>
      </c>
      <c r="E1619" s="141">
        <v>9.5</v>
      </c>
      <c r="F1619" s="141">
        <v>71.81</v>
      </c>
      <c r="G1619" s="142"/>
      <c r="H1619" s="142">
        <v>682.19500000000005</v>
      </c>
      <c r="I1619" s="192">
        <v>902</v>
      </c>
    </row>
    <row r="1620" spans="1:9" x14ac:dyDescent="0.65">
      <c r="A1620" s="188">
        <v>40690</v>
      </c>
      <c r="B1620" t="s">
        <v>1538</v>
      </c>
      <c r="C1620" t="s">
        <v>1538</v>
      </c>
      <c r="D1620" t="s">
        <v>18</v>
      </c>
      <c r="E1620" s="141">
        <v>6.5</v>
      </c>
      <c r="F1620" s="141">
        <v>71.81</v>
      </c>
      <c r="G1620" s="142"/>
      <c r="H1620" s="142">
        <v>466.76499999999999</v>
      </c>
      <c r="I1620" s="192">
        <v>902</v>
      </c>
    </row>
    <row r="1621" spans="1:9" x14ac:dyDescent="0.65">
      <c r="A1621" s="188">
        <v>40693</v>
      </c>
      <c r="B1621" t="s">
        <v>1538</v>
      </c>
      <c r="C1621" t="s">
        <v>1538</v>
      </c>
      <c r="D1621" t="s">
        <v>18</v>
      </c>
      <c r="E1621" s="141">
        <v>8.5</v>
      </c>
      <c r="F1621" s="141">
        <v>71.81</v>
      </c>
      <c r="G1621" s="142"/>
      <c r="H1621" s="142">
        <v>610.38499999999999</v>
      </c>
      <c r="I1621" s="192">
        <v>902</v>
      </c>
    </row>
    <row r="1622" spans="1:9" x14ac:dyDescent="0.65">
      <c r="A1622" s="188">
        <v>40694</v>
      </c>
      <c r="B1622" t="s">
        <v>1538</v>
      </c>
      <c r="C1622" t="s">
        <v>1538</v>
      </c>
      <c r="D1622" t="s">
        <v>18</v>
      </c>
      <c r="E1622" s="141">
        <v>9.5</v>
      </c>
      <c r="F1622" s="141">
        <v>71.81</v>
      </c>
      <c r="G1622" s="142"/>
      <c r="H1622" s="142">
        <v>682.19500000000005</v>
      </c>
      <c r="I1622" s="192">
        <v>902</v>
      </c>
    </row>
    <row r="1623" spans="1:9" x14ac:dyDescent="0.65">
      <c r="A1623" s="188">
        <v>40695</v>
      </c>
      <c r="B1623" t="s">
        <v>1538</v>
      </c>
      <c r="C1623" t="s">
        <v>1538</v>
      </c>
      <c r="D1623" t="s">
        <v>18</v>
      </c>
      <c r="E1623" s="141">
        <v>9.5</v>
      </c>
      <c r="F1623" s="141">
        <v>71.81</v>
      </c>
      <c r="G1623" s="142"/>
      <c r="H1623" s="142">
        <v>682.19500000000005</v>
      </c>
      <c r="I1623" s="192">
        <v>902</v>
      </c>
    </row>
    <row r="1624" spans="1:9" x14ac:dyDescent="0.65">
      <c r="A1624" s="188">
        <v>40696</v>
      </c>
      <c r="B1624" t="s">
        <v>1538</v>
      </c>
      <c r="C1624" t="s">
        <v>1538</v>
      </c>
      <c r="D1624" t="s">
        <v>18</v>
      </c>
      <c r="E1624" s="141">
        <v>9.5</v>
      </c>
      <c r="F1624" s="141">
        <v>71.81</v>
      </c>
      <c r="G1624" s="142"/>
      <c r="H1624" s="142">
        <v>682.19500000000005</v>
      </c>
      <c r="I1624" s="192">
        <v>902</v>
      </c>
    </row>
    <row r="1625" spans="1:9" x14ac:dyDescent="0.65">
      <c r="A1625" s="188">
        <v>40697</v>
      </c>
      <c r="B1625" t="s">
        <v>1538</v>
      </c>
      <c r="C1625" t="s">
        <v>1538</v>
      </c>
      <c r="D1625" t="s">
        <v>18</v>
      </c>
      <c r="E1625" s="141">
        <v>9.5</v>
      </c>
      <c r="F1625" s="141">
        <v>71.81</v>
      </c>
      <c r="G1625" s="142"/>
      <c r="H1625" s="142">
        <v>682.19500000000005</v>
      </c>
      <c r="I1625" s="192">
        <v>902</v>
      </c>
    </row>
    <row r="1626" spans="1:9" x14ac:dyDescent="0.65">
      <c r="A1626" s="188">
        <v>40698</v>
      </c>
      <c r="B1626" t="s">
        <v>1538</v>
      </c>
      <c r="C1626" t="s">
        <v>1538</v>
      </c>
      <c r="D1626" t="s">
        <v>18</v>
      </c>
      <c r="E1626" s="141">
        <v>7</v>
      </c>
      <c r="F1626" s="141">
        <v>71.81</v>
      </c>
      <c r="G1626" s="142"/>
      <c r="H1626" s="142">
        <v>502.67</v>
      </c>
      <c r="I1626" s="192">
        <v>902</v>
      </c>
    </row>
    <row r="1627" spans="1:9" x14ac:dyDescent="0.65">
      <c r="A1627" s="188">
        <v>40700</v>
      </c>
      <c r="B1627" t="s">
        <v>1538</v>
      </c>
      <c r="C1627" t="s">
        <v>1538</v>
      </c>
      <c r="D1627" t="s">
        <v>18</v>
      </c>
      <c r="E1627" s="141">
        <v>9.5</v>
      </c>
      <c r="F1627" s="141">
        <v>71.81</v>
      </c>
      <c r="G1627" s="142"/>
      <c r="H1627" s="142">
        <v>682.19500000000005</v>
      </c>
      <c r="I1627" s="192">
        <v>902</v>
      </c>
    </row>
    <row r="1628" spans="1:9" x14ac:dyDescent="0.65">
      <c r="A1628" s="188">
        <v>40701</v>
      </c>
      <c r="B1628" t="s">
        <v>1538</v>
      </c>
      <c r="C1628" t="s">
        <v>1538</v>
      </c>
      <c r="D1628" t="s">
        <v>18</v>
      </c>
      <c r="E1628" s="141">
        <v>8</v>
      </c>
      <c r="F1628" s="141">
        <v>71.81</v>
      </c>
      <c r="G1628" s="142"/>
      <c r="H1628" s="142">
        <v>574.48</v>
      </c>
      <c r="I1628" s="192">
        <v>902</v>
      </c>
    </row>
    <row r="1629" spans="1:9" x14ac:dyDescent="0.65">
      <c r="A1629" s="188">
        <v>40702</v>
      </c>
      <c r="B1629" t="s">
        <v>1538</v>
      </c>
      <c r="C1629" t="s">
        <v>1538</v>
      </c>
      <c r="D1629" t="s">
        <v>18</v>
      </c>
      <c r="E1629" s="141">
        <v>9.5</v>
      </c>
      <c r="F1629" s="141">
        <v>71.81</v>
      </c>
      <c r="G1629" s="142"/>
      <c r="H1629" s="142">
        <v>682.19500000000005</v>
      </c>
      <c r="I1629" s="192">
        <v>902</v>
      </c>
    </row>
    <row r="1630" spans="1:9" x14ac:dyDescent="0.65">
      <c r="A1630" s="188">
        <v>40703</v>
      </c>
      <c r="B1630" t="s">
        <v>1538</v>
      </c>
      <c r="C1630" t="s">
        <v>1538</v>
      </c>
      <c r="D1630" t="s">
        <v>18</v>
      </c>
      <c r="E1630" s="141">
        <v>9.5</v>
      </c>
      <c r="F1630" s="141">
        <v>71.81</v>
      </c>
      <c r="G1630" s="142"/>
      <c r="H1630" s="142">
        <v>682.19500000000005</v>
      </c>
      <c r="I1630" s="192">
        <v>902</v>
      </c>
    </row>
    <row r="1631" spans="1:9" x14ac:dyDescent="0.65">
      <c r="A1631" s="188">
        <v>40704</v>
      </c>
      <c r="B1631" t="s">
        <v>1538</v>
      </c>
      <c r="C1631" t="s">
        <v>1538</v>
      </c>
      <c r="D1631" t="s">
        <v>18</v>
      </c>
      <c r="E1631" s="141">
        <v>8</v>
      </c>
      <c r="F1631" s="141">
        <v>71.81</v>
      </c>
      <c r="G1631" s="142"/>
      <c r="H1631" s="142">
        <v>574.48</v>
      </c>
      <c r="I1631" s="192">
        <v>902</v>
      </c>
    </row>
    <row r="1632" spans="1:9" x14ac:dyDescent="0.65">
      <c r="A1632" s="188">
        <v>40708</v>
      </c>
      <c r="B1632" t="s">
        <v>1538</v>
      </c>
      <c r="C1632" t="s">
        <v>1538</v>
      </c>
      <c r="D1632" t="s">
        <v>18</v>
      </c>
      <c r="E1632" s="141">
        <v>10</v>
      </c>
      <c r="F1632" s="141">
        <v>71.81</v>
      </c>
      <c r="G1632" s="142"/>
      <c r="H1632" s="142">
        <v>718.1</v>
      </c>
      <c r="I1632" s="192">
        <v>902</v>
      </c>
    </row>
    <row r="1633" spans="1:9" x14ac:dyDescent="0.65">
      <c r="A1633" s="188">
        <v>40709</v>
      </c>
      <c r="B1633" t="s">
        <v>1538</v>
      </c>
      <c r="C1633" t="s">
        <v>1538</v>
      </c>
      <c r="D1633" t="s">
        <v>18</v>
      </c>
      <c r="E1633" s="141">
        <v>9.5</v>
      </c>
      <c r="F1633" s="141">
        <v>71.81</v>
      </c>
      <c r="G1633" s="142"/>
      <c r="H1633" s="142">
        <v>682.19500000000005</v>
      </c>
      <c r="I1633" s="192">
        <v>902</v>
      </c>
    </row>
    <row r="1634" spans="1:9" x14ac:dyDescent="0.65">
      <c r="A1634" s="188">
        <v>40710</v>
      </c>
      <c r="B1634" t="s">
        <v>1538</v>
      </c>
      <c r="C1634" t="s">
        <v>1538</v>
      </c>
      <c r="D1634" t="s">
        <v>18</v>
      </c>
      <c r="E1634" s="141">
        <v>9.5</v>
      </c>
      <c r="F1634" s="141">
        <v>71.81</v>
      </c>
      <c r="G1634" s="142"/>
      <c r="H1634" s="142">
        <v>682.19500000000005</v>
      </c>
      <c r="I1634" s="192">
        <v>902</v>
      </c>
    </row>
    <row r="1635" spans="1:9" x14ac:dyDescent="0.65">
      <c r="A1635" s="188">
        <v>40711</v>
      </c>
      <c r="B1635" t="s">
        <v>1538</v>
      </c>
      <c r="C1635" t="s">
        <v>1538</v>
      </c>
      <c r="D1635" t="s">
        <v>18</v>
      </c>
      <c r="E1635" s="141">
        <v>9.5</v>
      </c>
      <c r="F1635" s="141">
        <v>71.81</v>
      </c>
      <c r="G1635" s="142"/>
      <c r="H1635" s="142">
        <v>682.19500000000005</v>
      </c>
      <c r="I1635" s="192">
        <v>902</v>
      </c>
    </row>
    <row r="1636" spans="1:9" x14ac:dyDescent="0.65">
      <c r="A1636" s="188">
        <v>40712</v>
      </c>
      <c r="B1636" t="s">
        <v>1538</v>
      </c>
      <c r="C1636" t="s">
        <v>1538</v>
      </c>
      <c r="D1636" t="s">
        <v>18</v>
      </c>
      <c r="E1636" s="141">
        <v>8</v>
      </c>
      <c r="F1636" s="141">
        <v>71.81</v>
      </c>
      <c r="G1636" s="142"/>
      <c r="H1636" s="142">
        <v>574.48</v>
      </c>
      <c r="I1636" s="192">
        <v>902</v>
      </c>
    </row>
    <row r="1637" spans="1:9" x14ac:dyDescent="0.65">
      <c r="A1637" s="188">
        <v>40714</v>
      </c>
      <c r="B1637" t="s">
        <v>1538</v>
      </c>
      <c r="C1637" t="s">
        <v>1538</v>
      </c>
      <c r="D1637" t="s">
        <v>18</v>
      </c>
      <c r="E1637" s="141">
        <v>9.5</v>
      </c>
      <c r="F1637" s="141">
        <v>71.81</v>
      </c>
      <c r="G1637" s="142"/>
      <c r="H1637" s="142">
        <v>682.19500000000005</v>
      </c>
      <c r="I1637" s="192">
        <v>902</v>
      </c>
    </row>
    <row r="1638" spans="1:9" x14ac:dyDescent="0.65">
      <c r="A1638" s="188">
        <v>40715</v>
      </c>
      <c r="B1638" t="s">
        <v>1538</v>
      </c>
      <c r="C1638" t="s">
        <v>1538</v>
      </c>
      <c r="D1638" t="s">
        <v>18</v>
      </c>
      <c r="E1638" s="141">
        <v>10.5</v>
      </c>
      <c r="F1638" s="141">
        <v>71.81</v>
      </c>
      <c r="G1638" s="142"/>
      <c r="H1638" s="142">
        <v>754.005</v>
      </c>
      <c r="I1638" s="192">
        <v>902</v>
      </c>
    </row>
    <row r="1639" spans="1:9" x14ac:dyDescent="0.65">
      <c r="A1639" s="188">
        <v>40716</v>
      </c>
      <c r="B1639" t="s">
        <v>1538</v>
      </c>
      <c r="C1639" t="s">
        <v>1538</v>
      </c>
      <c r="D1639" t="s">
        <v>18</v>
      </c>
      <c r="E1639" s="141">
        <v>9.5</v>
      </c>
      <c r="F1639" s="141">
        <v>71.81</v>
      </c>
      <c r="G1639" s="142"/>
      <c r="H1639" s="142">
        <v>682.19500000000005</v>
      </c>
      <c r="I1639" s="192">
        <v>902</v>
      </c>
    </row>
    <row r="1640" spans="1:9" x14ac:dyDescent="0.65">
      <c r="A1640" s="188">
        <v>40717</v>
      </c>
      <c r="B1640" t="s">
        <v>1538</v>
      </c>
      <c r="C1640" t="s">
        <v>1538</v>
      </c>
      <c r="D1640" t="s">
        <v>18</v>
      </c>
      <c r="E1640" s="141">
        <v>9.5</v>
      </c>
      <c r="F1640" s="141">
        <v>71.81</v>
      </c>
      <c r="G1640" s="142"/>
      <c r="H1640" s="142">
        <v>682.19500000000005</v>
      </c>
      <c r="I1640" s="192">
        <v>902</v>
      </c>
    </row>
    <row r="1641" spans="1:9" x14ac:dyDescent="0.65">
      <c r="A1641" s="188">
        <v>40721</v>
      </c>
      <c r="B1641" t="s">
        <v>1538</v>
      </c>
      <c r="C1641" t="s">
        <v>1538</v>
      </c>
      <c r="D1641" t="s">
        <v>18</v>
      </c>
      <c r="E1641" s="141">
        <v>10</v>
      </c>
      <c r="F1641" s="141">
        <v>71.81</v>
      </c>
      <c r="G1641" s="142"/>
      <c r="H1641" s="142">
        <v>718.1</v>
      </c>
      <c r="I1641" s="192">
        <v>902</v>
      </c>
    </row>
    <row r="1642" spans="1:9" x14ac:dyDescent="0.65">
      <c r="A1642" s="188">
        <v>40722</v>
      </c>
      <c r="B1642" t="s">
        <v>1538</v>
      </c>
      <c r="C1642" t="s">
        <v>1538</v>
      </c>
      <c r="D1642" t="s">
        <v>18</v>
      </c>
      <c r="E1642" s="141">
        <v>8</v>
      </c>
      <c r="F1642" s="141">
        <v>71.81</v>
      </c>
      <c r="G1642" s="142"/>
      <c r="H1642" s="142">
        <v>574.48</v>
      </c>
      <c r="I1642" s="192">
        <v>902</v>
      </c>
    </row>
    <row r="1643" spans="1:9" x14ac:dyDescent="0.65">
      <c r="A1643" s="188">
        <v>40723</v>
      </c>
      <c r="B1643" t="s">
        <v>1538</v>
      </c>
      <c r="C1643" t="s">
        <v>1538</v>
      </c>
      <c r="D1643" t="s">
        <v>18</v>
      </c>
      <c r="E1643" s="141">
        <v>8</v>
      </c>
      <c r="F1643" s="141">
        <v>71.81</v>
      </c>
      <c r="G1643" s="142"/>
      <c r="H1643" s="142">
        <v>574.48</v>
      </c>
      <c r="I1643" s="192">
        <v>902</v>
      </c>
    </row>
    <row r="1644" spans="1:9" x14ac:dyDescent="0.65">
      <c r="A1644" s="188">
        <v>40724</v>
      </c>
      <c r="B1644" t="s">
        <v>1538</v>
      </c>
      <c r="C1644" t="s">
        <v>1538</v>
      </c>
      <c r="D1644" t="s">
        <v>18</v>
      </c>
      <c r="E1644" s="141">
        <v>9</v>
      </c>
      <c r="F1644" s="141">
        <v>71.81</v>
      </c>
      <c r="G1644" s="142"/>
      <c r="H1644" s="142">
        <v>646.29</v>
      </c>
      <c r="I1644" s="192">
        <v>902</v>
      </c>
    </row>
    <row r="1645" spans="1:9" x14ac:dyDescent="0.65">
      <c r="A1645" s="188">
        <v>40725</v>
      </c>
      <c r="B1645" t="s">
        <v>1538</v>
      </c>
      <c r="C1645" t="s">
        <v>1538</v>
      </c>
      <c r="D1645" t="s">
        <v>18</v>
      </c>
      <c r="E1645" s="141">
        <v>9</v>
      </c>
      <c r="F1645" s="141">
        <v>71.81</v>
      </c>
      <c r="G1645" s="142"/>
      <c r="H1645" s="142">
        <v>646.29</v>
      </c>
      <c r="I1645" s="192">
        <v>902</v>
      </c>
    </row>
    <row r="1646" spans="1:9" x14ac:dyDescent="0.65">
      <c r="A1646" s="188">
        <v>40726</v>
      </c>
      <c r="B1646" t="s">
        <v>1538</v>
      </c>
      <c r="C1646" t="s">
        <v>1538</v>
      </c>
      <c r="D1646" t="s">
        <v>18</v>
      </c>
      <c r="E1646" s="141">
        <v>7.5</v>
      </c>
      <c r="F1646" s="141">
        <v>71.81</v>
      </c>
      <c r="G1646" s="142"/>
      <c r="H1646" s="142">
        <v>538.57500000000005</v>
      </c>
      <c r="I1646" s="192">
        <v>902</v>
      </c>
    </row>
    <row r="1647" spans="1:9" x14ac:dyDescent="0.65">
      <c r="A1647" s="188">
        <v>40728</v>
      </c>
      <c r="B1647" t="s">
        <v>1538</v>
      </c>
      <c r="C1647" t="s">
        <v>1538</v>
      </c>
      <c r="D1647" t="s">
        <v>18</v>
      </c>
      <c r="E1647" s="141">
        <v>9.5</v>
      </c>
      <c r="F1647" s="141">
        <v>71.81</v>
      </c>
      <c r="G1647" s="142"/>
      <c r="H1647" s="142">
        <v>682.19500000000005</v>
      </c>
      <c r="I1647" s="192">
        <v>902</v>
      </c>
    </row>
    <row r="1648" spans="1:9" x14ac:dyDescent="0.65">
      <c r="A1648" s="188">
        <v>40729</v>
      </c>
      <c r="B1648" t="s">
        <v>1538</v>
      </c>
      <c r="C1648" t="s">
        <v>1538</v>
      </c>
      <c r="D1648" t="s">
        <v>18</v>
      </c>
      <c r="E1648" s="141">
        <v>10</v>
      </c>
      <c r="F1648" s="141">
        <v>71.81</v>
      </c>
      <c r="G1648" s="142"/>
      <c r="H1648" s="142">
        <v>718.1</v>
      </c>
      <c r="I1648" s="192">
        <v>902</v>
      </c>
    </row>
    <row r="1649" spans="1:9" x14ac:dyDescent="0.65">
      <c r="A1649" s="188">
        <v>40730</v>
      </c>
      <c r="B1649" t="s">
        <v>1538</v>
      </c>
      <c r="C1649" t="s">
        <v>1538</v>
      </c>
      <c r="D1649" t="s">
        <v>18</v>
      </c>
      <c r="E1649" s="141">
        <v>9.5</v>
      </c>
      <c r="F1649" s="141">
        <v>71.81</v>
      </c>
      <c r="G1649" s="142"/>
      <c r="H1649" s="142">
        <v>682.19500000000005</v>
      </c>
      <c r="I1649" s="192">
        <v>902</v>
      </c>
    </row>
    <row r="1650" spans="1:9" x14ac:dyDescent="0.65">
      <c r="A1650" s="188">
        <v>40731</v>
      </c>
      <c r="B1650" t="s">
        <v>1538</v>
      </c>
      <c r="C1650" t="s">
        <v>1538</v>
      </c>
      <c r="D1650" t="s">
        <v>18</v>
      </c>
      <c r="E1650" s="141">
        <v>9.5</v>
      </c>
      <c r="F1650" s="141">
        <v>71.81</v>
      </c>
      <c r="G1650" s="142"/>
      <c r="H1650" s="142">
        <v>682.19500000000005</v>
      </c>
      <c r="I1650" s="192">
        <v>902</v>
      </c>
    </row>
    <row r="1651" spans="1:9" x14ac:dyDescent="0.65">
      <c r="A1651" s="188">
        <v>40732</v>
      </c>
      <c r="B1651" t="s">
        <v>1538</v>
      </c>
      <c r="C1651" t="s">
        <v>1538</v>
      </c>
      <c r="D1651" t="s">
        <v>18</v>
      </c>
      <c r="E1651" s="141">
        <v>8.5</v>
      </c>
      <c r="F1651" s="141">
        <v>71.81</v>
      </c>
      <c r="G1651" s="142"/>
      <c r="H1651" s="142">
        <v>610.38499999999999</v>
      </c>
      <c r="I1651" s="192">
        <v>902</v>
      </c>
    </row>
    <row r="1652" spans="1:9" x14ac:dyDescent="0.65">
      <c r="A1652" s="188">
        <v>40733</v>
      </c>
      <c r="B1652" t="s">
        <v>1538</v>
      </c>
      <c r="C1652" t="s">
        <v>1538</v>
      </c>
      <c r="D1652" t="s">
        <v>18</v>
      </c>
      <c r="E1652" s="141">
        <v>7</v>
      </c>
      <c r="F1652" s="141">
        <v>71.81</v>
      </c>
      <c r="G1652" s="142"/>
      <c r="H1652" s="142">
        <v>502.67</v>
      </c>
      <c r="I1652" s="192">
        <v>902</v>
      </c>
    </row>
    <row r="1653" spans="1:9" x14ac:dyDescent="0.65">
      <c r="A1653" s="188">
        <v>40735</v>
      </c>
      <c r="B1653" t="s">
        <v>1538</v>
      </c>
      <c r="C1653" t="s">
        <v>1538</v>
      </c>
      <c r="D1653" t="s">
        <v>18</v>
      </c>
      <c r="E1653" s="141">
        <v>9.5</v>
      </c>
      <c r="F1653" s="141">
        <v>71.81</v>
      </c>
      <c r="G1653" s="142"/>
      <c r="H1653" s="142">
        <v>682.19500000000005</v>
      </c>
      <c r="I1653" s="192">
        <v>902</v>
      </c>
    </row>
    <row r="1654" spans="1:9" x14ac:dyDescent="0.65">
      <c r="A1654" s="188">
        <v>40736</v>
      </c>
      <c r="B1654" t="s">
        <v>1538</v>
      </c>
      <c r="C1654" t="s">
        <v>1538</v>
      </c>
      <c r="D1654" t="s">
        <v>18</v>
      </c>
      <c r="E1654" s="141">
        <v>9.5</v>
      </c>
      <c r="F1654" s="141">
        <v>71.81</v>
      </c>
      <c r="G1654" s="142"/>
      <c r="H1654" s="142">
        <v>682.19500000000005</v>
      </c>
      <c r="I1654" s="192">
        <v>902</v>
      </c>
    </row>
    <row r="1655" spans="1:9" x14ac:dyDescent="0.65">
      <c r="A1655" s="188">
        <v>40737</v>
      </c>
      <c r="B1655" t="s">
        <v>1538</v>
      </c>
      <c r="C1655" t="s">
        <v>1538</v>
      </c>
      <c r="D1655" t="s">
        <v>18</v>
      </c>
      <c r="E1655" s="141">
        <v>9.5</v>
      </c>
      <c r="F1655" s="141">
        <v>71.81</v>
      </c>
      <c r="G1655" s="142"/>
      <c r="H1655" s="142">
        <v>682.19500000000005</v>
      </c>
      <c r="I1655" s="192">
        <v>902</v>
      </c>
    </row>
    <row r="1656" spans="1:9" x14ac:dyDescent="0.65">
      <c r="A1656" s="188">
        <v>40738</v>
      </c>
      <c r="B1656" t="s">
        <v>1538</v>
      </c>
      <c r="C1656" t="s">
        <v>1538</v>
      </c>
      <c r="D1656" t="s">
        <v>18</v>
      </c>
      <c r="E1656" s="141">
        <v>9.5</v>
      </c>
      <c r="F1656" s="141">
        <v>71.81</v>
      </c>
      <c r="G1656" s="142"/>
      <c r="H1656" s="142">
        <v>682.19500000000005</v>
      </c>
      <c r="I1656" s="192">
        <v>902</v>
      </c>
    </row>
    <row r="1657" spans="1:9" x14ac:dyDescent="0.65">
      <c r="A1657" s="188">
        <v>40739</v>
      </c>
      <c r="B1657" t="s">
        <v>1538</v>
      </c>
      <c r="C1657" t="s">
        <v>1538</v>
      </c>
      <c r="D1657" t="s">
        <v>18</v>
      </c>
      <c r="E1657" s="141">
        <v>10</v>
      </c>
      <c r="F1657" s="141">
        <v>71.81</v>
      </c>
      <c r="G1657" s="142"/>
      <c r="H1657" s="142">
        <v>718.1</v>
      </c>
      <c r="I1657" s="192">
        <v>902</v>
      </c>
    </row>
    <row r="1658" spans="1:9" x14ac:dyDescent="0.65">
      <c r="A1658" s="188">
        <v>40740</v>
      </c>
      <c r="B1658" t="s">
        <v>1538</v>
      </c>
      <c r="C1658" t="s">
        <v>1538</v>
      </c>
      <c r="D1658" t="s">
        <v>18</v>
      </c>
      <c r="E1658" s="141">
        <v>6.5</v>
      </c>
      <c r="F1658" s="141">
        <v>71.81</v>
      </c>
      <c r="G1658" s="142"/>
      <c r="H1658" s="142">
        <v>466.76499999999999</v>
      </c>
      <c r="I1658" s="192">
        <v>902</v>
      </c>
    </row>
    <row r="1659" spans="1:9" x14ac:dyDescent="0.65">
      <c r="A1659" s="188">
        <v>40742</v>
      </c>
      <c r="B1659" t="s">
        <v>1538</v>
      </c>
      <c r="C1659" t="s">
        <v>1538</v>
      </c>
      <c r="D1659" t="s">
        <v>18</v>
      </c>
      <c r="E1659" s="141">
        <v>9.5</v>
      </c>
      <c r="F1659" s="141">
        <v>71.81</v>
      </c>
      <c r="G1659" s="142"/>
      <c r="H1659" s="142">
        <v>682.19500000000005</v>
      </c>
      <c r="I1659" s="192">
        <v>902</v>
      </c>
    </row>
    <row r="1660" spans="1:9" x14ac:dyDescent="0.65">
      <c r="A1660" s="188">
        <v>40743</v>
      </c>
      <c r="B1660" t="s">
        <v>1538</v>
      </c>
      <c r="C1660" t="s">
        <v>1538</v>
      </c>
      <c r="D1660" t="s">
        <v>18</v>
      </c>
      <c r="E1660" s="141">
        <v>9.5</v>
      </c>
      <c r="F1660" s="141">
        <v>71.81</v>
      </c>
      <c r="G1660" s="142"/>
      <c r="H1660" s="142">
        <v>682.19500000000005</v>
      </c>
      <c r="I1660" s="192">
        <v>902</v>
      </c>
    </row>
    <row r="1661" spans="1:9" x14ac:dyDescent="0.65">
      <c r="A1661" s="188">
        <v>40744</v>
      </c>
      <c r="B1661" t="s">
        <v>1538</v>
      </c>
      <c r="C1661" t="s">
        <v>1538</v>
      </c>
      <c r="D1661" t="s">
        <v>18</v>
      </c>
      <c r="E1661" s="141">
        <v>9.5</v>
      </c>
      <c r="F1661" s="141">
        <v>71.81</v>
      </c>
      <c r="G1661" s="142"/>
      <c r="H1661" s="142">
        <v>682.19500000000005</v>
      </c>
      <c r="I1661" s="192">
        <v>902</v>
      </c>
    </row>
    <row r="1662" spans="1:9" x14ac:dyDescent="0.65">
      <c r="A1662" s="188">
        <v>40745</v>
      </c>
      <c r="B1662" t="s">
        <v>1538</v>
      </c>
      <c r="C1662" t="s">
        <v>1538</v>
      </c>
      <c r="D1662" t="s">
        <v>18</v>
      </c>
      <c r="E1662" s="141">
        <v>10.5</v>
      </c>
      <c r="F1662" s="141">
        <v>71.81</v>
      </c>
      <c r="G1662" s="142"/>
      <c r="H1662" s="142">
        <v>754.005</v>
      </c>
      <c r="I1662" s="192">
        <v>902</v>
      </c>
    </row>
    <row r="1663" spans="1:9" x14ac:dyDescent="0.65">
      <c r="A1663" s="188">
        <v>40746</v>
      </c>
      <c r="B1663" t="s">
        <v>1538</v>
      </c>
      <c r="C1663" t="s">
        <v>1538</v>
      </c>
      <c r="D1663" t="s">
        <v>18</v>
      </c>
      <c r="E1663" s="141">
        <v>9.5</v>
      </c>
      <c r="F1663" s="141">
        <v>71.81</v>
      </c>
      <c r="G1663" s="142"/>
      <c r="H1663" s="142">
        <v>682.19500000000005</v>
      </c>
      <c r="I1663" s="192">
        <v>902</v>
      </c>
    </row>
    <row r="1664" spans="1:9" x14ac:dyDescent="0.65">
      <c r="A1664" s="188">
        <v>40747</v>
      </c>
      <c r="B1664" t="s">
        <v>1538</v>
      </c>
      <c r="C1664" t="s">
        <v>1538</v>
      </c>
      <c r="D1664" t="s">
        <v>18</v>
      </c>
      <c r="E1664" s="141">
        <v>6</v>
      </c>
      <c r="F1664" s="141">
        <v>71.81</v>
      </c>
      <c r="G1664" s="142"/>
      <c r="H1664" s="142">
        <v>430.86</v>
      </c>
      <c r="I1664" s="192">
        <v>902</v>
      </c>
    </row>
    <row r="1665" spans="1:9" x14ac:dyDescent="0.65">
      <c r="A1665" s="188">
        <v>40749</v>
      </c>
      <c r="B1665" t="s">
        <v>1538</v>
      </c>
      <c r="C1665" t="s">
        <v>1538</v>
      </c>
      <c r="D1665" t="s">
        <v>18</v>
      </c>
      <c r="E1665" s="141">
        <v>9.5</v>
      </c>
      <c r="F1665" s="141">
        <v>71.81</v>
      </c>
      <c r="G1665" s="142"/>
      <c r="H1665" s="142">
        <v>682.19500000000005</v>
      </c>
      <c r="I1665" s="192">
        <v>902</v>
      </c>
    </row>
    <row r="1666" spans="1:9" x14ac:dyDescent="0.65">
      <c r="A1666" s="188">
        <v>40750</v>
      </c>
      <c r="B1666" t="s">
        <v>1538</v>
      </c>
      <c r="C1666" t="s">
        <v>1538</v>
      </c>
      <c r="D1666" t="s">
        <v>18</v>
      </c>
      <c r="E1666" s="141">
        <v>9.5</v>
      </c>
      <c r="F1666" s="141">
        <v>71.81</v>
      </c>
      <c r="G1666" s="142"/>
      <c r="H1666" s="142">
        <v>682.19500000000005</v>
      </c>
      <c r="I1666" s="192">
        <v>902</v>
      </c>
    </row>
    <row r="1667" spans="1:9" x14ac:dyDescent="0.65">
      <c r="A1667" s="188">
        <v>40751</v>
      </c>
      <c r="B1667" t="s">
        <v>1538</v>
      </c>
      <c r="C1667" t="s">
        <v>1538</v>
      </c>
      <c r="D1667" t="s">
        <v>18</v>
      </c>
      <c r="E1667" s="141">
        <v>9.5</v>
      </c>
      <c r="F1667" s="141">
        <v>71.81</v>
      </c>
      <c r="G1667" s="142"/>
      <c r="H1667" s="142">
        <v>682.19500000000005</v>
      </c>
      <c r="I1667" s="192">
        <v>902</v>
      </c>
    </row>
    <row r="1668" spans="1:9" x14ac:dyDescent="0.65">
      <c r="A1668" s="188">
        <v>40752</v>
      </c>
      <c r="B1668" t="s">
        <v>1538</v>
      </c>
      <c r="C1668" t="s">
        <v>1538</v>
      </c>
      <c r="D1668" t="s">
        <v>18</v>
      </c>
      <c r="E1668" s="141">
        <v>10</v>
      </c>
      <c r="F1668" s="141">
        <v>71.81</v>
      </c>
      <c r="G1668" s="142"/>
      <c r="H1668" s="142">
        <v>718.1</v>
      </c>
      <c r="I1668" s="192">
        <v>902</v>
      </c>
    </row>
    <row r="1669" spans="1:9" x14ac:dyDescent="0.65">
      <c r="A1669" s="188">
        <v>40753</v>
      </c>
      <c r="B1669" t="s">
        <v>1538</v>
      </c>
      <c r="C1669" t="s">
        <v>1538</v>
      </c>
      <c r="D1669" t="s">
        <v>18</v>
      </c>
      <c r="E1669" s="141">
        <v>10</v>
      </c>
      <c r="F1669" s="141">
        <v>71.81</v>
      </c>
      <c r="G1669" s="142"/>
      <c r="H1669" s="142">
        <v>718.1</v>
      </c>
      <c r="I1669" s="192">
        <v>902</v>
      </c>
    </row>
    <row r="1670" spans="1:9" x14ac:dyDescent="0.65">
      <c r="A1670" s="188">
        <v>40754</v>
      </c>
      <c r="B1670" t="s">
        <v>1538</v>
      </c>
      <c r="C1670" t="s">
        <v>1538</v>
      </c>
      <c r="D1670" t="s">
        <v>18</v>
      </c>
      <c r="E1670" s="141">
        <v>6.5</v>
      </c>
      <c r="F1670" s="141">
        <v>71.81</v>
      </c>
      <c r="G1670" s="142"/>
      <c r="H1670" s="142">
        <v>466.76499999999999</v>
      </c>
      <c r="I1670" s="192">
        <v>902</v>
      </c>
    </row>
    <row r="1671" spans="1:9" x14ac:dyDescent="0.65">
      <c r="A1671" s="188">
        <v>40756</v>
      </c>
      <c r="B1671" t="s">
        <v>1538</v>
      </c>
      <c r="C1671" t="s">
        <v>1538</v>
      </c>
      <c r="D1671" t="s">
        <v>18</v>
      </c>
      <c r="E1671" s="141">
        <v>10</v>
      </c>
      <c r="F1671" s="141">
        <v>71.81</v>
      </c>
      <c r="G1671" s="142"/>
      <c r="H1671" s="142">
        <v>718.1</v>
      </c>
      <c r="I1671" s="192">
        <v>902</v>
      </c>
    </row>
    <row r="1672" spans="1:9" x14ac:dyDescent="0.65">
      <c r="A1672" s="188">
        <v>40757</v>
      </c>
      <c r="B1672" t="s">
        <v>1538</v>
      </c>
      <c r="C1672" t="s">
        <v>1538</v>
      </c>
      <c r="D1672" t="s">
        <v>18</v>
      </c>
      <c r="E1672" s="141">
        <v>10</v>
      </c>
      <c r="F1672" s="141">
        <v>71.81</v>
      </c>
      <c r="G1672" s="142"/>
      <c r="H1672" s="142">
        <v>718.1</v>
      </c>
      <c r="I1672" s="192">
        <v>902</v>
      </c>
    </row>
    <row r="1673" spans="1:9" x14ac:dyDescent="0.65">
      <c r="A1673" s="188">
        <v>40758</v>
      </c>
      <c r="B1673" t="s">
        <v>1538</v>
      </c>
      <c r="C1673" t="s">
        <v>1538</v>
      </c>
      <c r="D1673" t="s">
        <v>18</v>
      </c>
      <c r="E1673" s="141">
        <v>9.5</v>
      </c>
      <c r="F1673" s="141">
        <v>71.81</v>
      </c>
      <c r="G1673" s="142"/>
      <c r="H1673" s="142">
        <v>682.19500000000005</v>
      </c>
      <c r="I1673" s="192">
        <v>902</v>
      </c>
    </row>
    <row r="1674" spans="1:9" x14ac:dyDescent="0.65">
      <c r="A1674" s="188">
        <v>40759</v>
      </c>
      <c r="B1674" t="s">
        <v>1538</v>
      </c>
      <c r="C1674" t="s">
        <v>1538</v>
      </c>
      <c r="D1674" t="s">
        <v>18</v>
      </c>
      <c r="E1674" s="141">
        <v>9.5</v>
      </c>
      <c r="F1674" s="141">
        <v>71.81</v>
      </c>
      <c r="G1674" s="142"/>
      <c r="H1674" s="142">
        <v>682.19500000000005</v>
      </c>
      <c r="I1674" s="192">
        <v>902</v>
      </c>
    </row>
    <row r="1675" spans="1:9" x14ac:dyDescent="0.65">
      <c r="A1675" s="188">
        <v>40760</v>
      </c>
      <c r="B1675" t="s">
        <v>1538</v>
      </c>
      <c r="C1675" t="s">
        <v>1538</v>
      </c>
      <c r="D1675" t="s">
        <v>18</v>
      </c>
      <c r="E1675" s="141">
        <v>9.5</v>
      </c>
      <c r="F1675" s="141">
        <v>71.81</v>
      </c>
      <c r="G1675" s="142"/>
      <c r="H1675" s="142">
        <v>682.19500000000005</v>
      </c>
      <c r="I1675" s="192">
        <v>902</v>
      </c>
    </row>
    <row r="1676" spans="1:9" x14ac:dyDescent="0.65">
      <c r="A1676" s="188">
        <v>40763</v>
      </c>
      <c r="B1676" t="s">
        <v>1538</v>
      </c>
      <c r="C1676" t="s">
        <v>1538</v>
      </c>
      <c r="D1676" t="s">
        <v>18</v>
      </c>
      <c r="E1676" s="141">
        <v>9.5</v>
      </c>
      <c r="F1676" s="141">
        <v>71.81</v>
      </c>
      <c r="G1676" s="142"/>
      <c r="H1676" s="142">
        <v>682.19500000000005</v>
      </c>
      <c r="I1676" s="192">
        <v>902</v>
      </c>
    </row>
    <row r="1677" spans="1:9" x14ac:dyDescent="0.65">
      <c r="A1677" s="188">
        <v>40764</v>
      </c>
      <c r="B1677" t="s">
        <v>1538</v>
      </c>
      <c r="C1677" t="s">
        <v>1538</v>
      </c>
      <c r="D1677" t="s">
        <v>18</v>
      </c>
      <c r="E1677" s="141">
        <v>9.5</v>
      </c>
      <c r="F1677" s="141">
        <v>71.81</v>
      </c>
      <c r="G1677" s="142"/>
      <c r="H1677" s="142">
        <v>682.19500000000005</v>
      </c>
      <c r="I1677" s="192">
        <v>902</v>
      </c>
    </row>
    <row r="1678" spans="1:9" x14ac:dyDescent="0.65">
      <c r="A1678" s="188">
        <v>40765</v>
      </c>
      <c r="B1678" t="s">
        <v>1538</v>
      </c>
      <c r="C1678" t="s">
        <v>1538</v>
      </c>
      <c r="D1678" t="s">
        <v>18</v>
      </c>
      <c r="E1678" s="141">
        <v>10</v>
      </c>
      <c r="F1678" s="141">
        <v>71.81</v>
      </c>
      <c r="G1678" s="142"/>
      <c r="H1678" s="142">
        <v>718.1</v>
      </c>
      <c r="I1678" s="192">
        <v>902</v>
      </c>
    </row>
    <row r="1679" spans="1:9" x14ac:dyDescent="0.65">
      <c r="A1679" s="188">
        <v>40766</v>
      </c>
      <c r="B1679" t="s">
        <v>1538</v>
      </c>
      <c r="C1679" t="s">
        <v>1538</v>
      </c>
      <c r="D1679" t="s">
        <v>18</v>
      </c>
      <c r="E1679" s="141">
        <v>10.5</v>
      </c>
      <c r="F1679" s="141">
        <v>71.81</v>
      </c>
      <c r="G1679" s="142"/>
      <c r="H1679" s="142">
        <v>754.005</v>
      </c>
      <c r="I1679" s="192">
        <v>902</v>
      </c>
    </row>
    <row r="1680" spans="1:9" x14ac:dyDescent="0.65">
      <c r="A1680" s="188">
        <v>40767</v>
      </c>
      <c r="B1680" t="s">
        <v>1538</v>
      </c>
      <c r="C1680" t="s">
        <v>1538</v>
      </c>
      <c r="D1680" t="s">
        <v>18</v>
      </c>
      <c r="E1680" s="141">
        <v>9</v>
      </c>
      <c r="F1680" s="141">
        <v>71.81</v>
      </c>
      <c r="G1680" s="142"/>
      <c r="H1680" s="142">
        <v>646.29</v>
      </c>
      <c r="I1680" s="192">
        <v>902</v>
      </c>
    </row>
    <row r="1681" spans="1:9" x14ac:dyDescent="0.65">
      <c r="A1681" s="188">
        <v>40768</v>
      </c>
      <c r="B1681" t="s">
        <v>1538</v>
      </c>
      <c r="C1681" t="s">
        <v>1538</v>
      </c>
      <c r="D1681" t="s">
        <v>18</v>
      </c>
      <c r="E1681" s="141">
        <v>6.5</v>
      </c>
      <c r="F1681" s="141">
        <v>71.81</v>
      </c>
      <c r="G1681" s="142"/>
      <c r="H1681" s="142">
        <v>466.76499999999999</v>
      </c>
      <c r="I1681" s="192">
        <v>902</v>
      </c>
    </row>
    <row r="1682" spans="1:9" x14ac:dyDescent="0.65">
      <c r="A1682" s="188">
        <v>40770</v>
      </c>
      <c r="B1682" t="s">
        <v>1538</v>
      </c>
      <c r="C1682" t="s">
        <v>1538</v>
      </c>
      <c r="D1682" t="s">
        <v>18</v>
      </c>
      <c r="E1682" s="141">
        <v>10.5</v>
      </c>
      <c r="F1682" s="141">
        <v>71.81</v>
      </c>
      <c r="G1682" s="142"/>
      <c r="H1682" s="142">
        <v>754.005</v>
      </c>
      <c r="I1682" s="192">
        <v>902</v>
      </c>
    </row>
    <row r="1683" spans="1:9" x14ac:dyDescent="0.65">
      <c r="A1683" s="188">
        <v>40771</v>
      </c>
      <c r="B1683" t="s">
        <v>1538</v>
      </c>
      <c r="C1683" t="s">
        <v>1538</v>
      </c>
      <c r="D1683" t="s">
        <v>18</v>
      </c>
      <c r="E1683" s="141">
        <v>10</v>
      </c>
      <c r="F1683" s="141">
        <v>71.81</v>
      </c>
      <c r="G1683" s="142"/>
      <c r="H1683" s="142">
        <v>718.1</v>
      </c>
      <c r="I1683" s="192">
        <v>902</v>
      </c>
    </row>
    <row r="1684" spans="1:9" x14ac:dyDescent="0.65">
      <c r="A1684" s="188">
        <v>40772</v>
      </c>
      <c r="B1684" t="s">
        <v>1538</v>
      </c>
      <c r="C1684" t="s">
        <v>1538</v>
      </c>
      <c r="D1684" t="s">
        <v>18</v>
      </c>
      <c r="E1684" s="141">
        <v>10</v>
      </c>
      <c r="F1684" s="141">
        <v>71.81</v>
      </c>
      <c r="G1684" s="142"/>
      <c r="H1684" s="142">
        <v>718.1</v>
      </c>
      <c r="I1684" s="192">
        <v>902</v>
      </c>
    </row>
    <row r="1685" spans="1:9" x14ac:dyDescent="0.65">
      <c r="A1685" s="188">
        <v>40773</v>
      </c>
      <c r="B1685" t="s">
        <v>1538</v>
      </c>
      <c r="C1685" t="s">
        <v>1538</v>
      </c>
      <c r="D1685" t="s">
        <v>18</v>
      </c>
      <c r="E1685" s="141">
        <v>10</v>
      </c>
      <c r="F1685" s="141">
        <v>71.81</v>
      </c>
      <c r="G1685" s="142"/>
      <c r="H1685" s="142">
        <v>718.1</v>
      </c>
      <c r="I1685" s="192">
        <v>902</v>
      </c>
    </row>
    <row r="1686" spans="1:9" x14ac:dyDescent="0.65">
      <c r="A1686" s="188">
        <v>40774</v>
      </c>
      <c r="B1686" t="s">
        <v>1538</v>
      </c>
      <c r="C1686" t="s">
        <v>1538</v>
      </c>
      <c r="D1686" t="s">
        <v>18</v>
      </c>
      <c r="E1686" s="141">
        <v>9.5</v>
      </c>
      <c r="F1686" s="141">
        <v>71.81</v>
      </c>
      <c r="G1686" s="142"/>
      <c r="H1686" s="142">
        <v>682.19500000000005</v>
      </c>
      <c r="I1686" s="192">
        <v>902</v>
      </c>
    </row>
    <row r="1687" spans="1:9" x14ac:dyDescent="0.65">
      <c r="A1687" s="188">
        <v>40775</v>
      </c>
      <c r="B1687" t="s">
        <v>1538</v>
      </c>
      <c r="C1687" t="s">
        <v>1538</v>
      </c>
      <c r="D1687" t="s">
        <v>18</v>
      </c>
      <c r="E1687" s="141">
        <v>6.5</v>
      </c>
      <c r="F1687" s="141">
        <v>71.81</v>
      </c>
      <c r="G1687" s="142"/>
      <c r="H1687" s="142">
        <v>466.76499999999999</v>
      </c>
      <c r="I1687" s="192">
        <v>902</v>
      </c>
    </row>
    <row r="1688" spans="1:9" x14ac:dyDescent="0.65">
      <c r="A1688" s="188">
        <v>40777</v>
      </c>
      <c r="B1688" t="s">
        <v>1538</v>
      </c>
      <c r="C1688" t="s">
        <v>1538</v>
      </c>
      <c r="D1688" t="s">
        <v>18</v>
      </c>
      <c r="E1688" s="141">
        <v>9.5</v>
      </c>
      <c r="F1688" s="141">
        <v>71.81</v>
      </c>
      <c r="G1688" s="142"/>
      <c r="H1688" s="142">
        <v>682.19500000000005</v>
      </c>
      <c r="I1688" s="192">
        <v>902</v>
      </c>
    </row>
    <row r="1689" spans="1:9" x14ac:dyDescent="0.65">
      <c r="A1689" s="188">
        <v>40778</v>
      </c>
      <c r="B1689" t="s">
        <v>1538</v>
      </c>
      <c r="C1689" t="s">
        <v>1538</v>
      </c>
      <c r="D1689" t="s">
        <v>18</v>
      </c>
      <c r="E1689" s="141">
        <v>9.5</v>
      </c>
      <c r="F1689" s="141">
        <v>71.81</v>
      </c>
      <c r="G1689" s="142"/>
      <c r="H1689" s="142">
        <v>682.19500000000005</v>
      </c>
      <c r="I1689" s="192">
        <v>902</v>
      </c>
    </row>
    <row r="1690" spans="1:9" x14ac:dyDescent="0.65">
      <c r="A1690" s="188">
        <v>40779</v>
      </c>
      <c r="B1690" t="s">
        <v>1538</v>
      </c>
      <c r="C1690" t="s">
        <v>1538</v>
      </c>
      <c r="D1690" t="s">
        <v>18</v>
      </c>
      <c r="E1690" s="141">
        <v>9.5</v>
      </c>
      <c r="F1690" s="141">
        <v>71.81</v>
      </c>
      <c r="G1690" s="142"/>
      <c r="H1690" s="142">
        <v>682.19500000000005</v>
      </c>
      <c r="I1690" s="192">
        <v>902</v>
      </c>
    </row>
    <row r="1691" spans="1:9" x14ac:dyDescent="0.65">
      <c r="A1691" s="188">
        <v>40780</v>
      </c>
      <c r="B1691" t="s">
        <v>1538</v>
      </c>
      <c r="C1691" t="s">
        <v>1538</v>
      </c>
      <c r="D1691" t="s">
        <v>18</v>
      </c>
      <c r="E1691" s="141">
        <v>9.5</v>
      </c>
      <c r="F1691" s="141">
        <v>71.81</v>
      </c>
      <c r="G1691" s="142"/>
      <c r="H1691" s="142">
        <v>682.19500000000005</v>
      </c>
      <c r="I1691" s="192">
        <v>902</v>
      </c>
    </row>
    <row r="1692" spans="1:9" x14ac:dyDescent="0.65">
      <c r="A1692" s="188">
        <v>40781</v>
      </c>
      <c r="B1692" t="s">
        <v>1538</v>
      </c>
      <c r="C1692" t="s">
        <v>1538</v>
      </c>
      <c r="D1692" t="s">
        <v>18</v>
      </c>
      <c r="E1692" s="141">
        <v>7</v>
      </c>
      <c r="F1692" s="141">
        <v>71.81</v>
      </c>
      <c r="G1692" s="142"/>
      <c r="H1692" s="142">
        <v>502.67</v>
      </c>
      <c r="I1692" s="192">
        <v>902</v>
      </c>
    </row>
    <row r="1693" spans="1:9" x14ac:dyDescent="0.65">
      <c r="A1693" s="188">
        <v>40784</v>
      </c>
      <c r="B1693" t="s">
        <v>1538</v>
      </c>
      <c r="C1693" t="s">
        <v>1538</v>
      </c>
      <c r="D1693" t="s">
        <v>18</v>
      </c>
      <c r="E1693" s="141">
        <v>9.5</v>
      </c>
      <c r="F1693" s="141">
        <v>71.81</v>
      </c>
      <c r="G1693" s="142"/>
      <c r="H1693" s="142">
        <v>682.19500000000005</v>
      </c>
      <c r="I1693" s="192">
        <v>902</v>
      </c>
    </row>
    <row r="1694" spans="1:9" x14ac:dyDescent="0.65">
      <c r="A1694" s="188">
        <v>40785</v>
      </c>
      <c r="B1694" t="s">
        <v>1538</v>
      </c>
      <c r="C1694" t="s">
        <v>1538</v>
      </c>
      <c r="D1694" t="s">
        <v>18</v>
      </c>
      <c r="E1694" s="141">
        <v>10</v>
      </c>
      <c r="F1694" s="141">
        <v>71.81</v>
      </c>
      <c r="G1694" s="142"/>
      <c r="H1694" s="142">
        <v>718.1</v>
      </c>
      <c r="I1694" s="192">
        <v>902</v>
      </c>
    </row>
    <row r="1695" spans="1:9" x14ac:dyDescent="0.65">
      <c r="A1695" s="188">
        <v>40786</v>
      </c>
      <c r="B1695" t="s">
        <v>1538</v>
      </c>
      <c r="C1695" t="s">
        <v>1538</v>
      </c>
      <c r="D1695" t="s">
        <v>18</v>
      </c>
      <c r="E1695" s="141">
        <v>10.5</v>
      </c>
      <c r="F1695" s="141">
        <v>71.81</v>
      </c>
      <c r="G1695" s="142"/>
      <c r="H1695" s="142">
        <v>754.005</v>
      </c>
      <c r="I1695" s="192">
        <v>902</v>
      </c>
    </row>
    <row r="1696" spans="1:9" x14ac:dyDescent="0.65">
      <c r="A1696" s="188">
        <v>40787</v>
      </c>
      <c r="B1696" t="s">
        <v>1538</v>
      </c>
      <c r="C1696" t="s">
        <v>1538</v>
      </c>
      <c r="D1696" t="s">
        <v>18</v>
      </c>
      <c r="E1696" s="141">
        <v>10.5</v>
      </c>
      <c r="F1696" s="141">
        <v>71.81</v>
      </c>
      <c r="G1696" s="142"/>
      <c r="H1696" s="142">
        <v>754.005</v>
      </c>
      <c r="I1696" s="192">
        <v>902</v>
      </c>
    </row>
    <row r="1697" spans="1:9" x14ac:dyDescent="0.65">
      <c r="A1697" s="188">
        <v>40788</v>
      </c>
      <c r="B1697" t="s">
        <v>1538</v>
      </c>
      <c r="C1697" t="s">
        <v>1538</v>
      </c>
      <c r="D1697" t="s">
        <v>18</v>
      </c>
      <c r="E1697" s="141">
        <v>9.5</v>
      </c>
      <c r="F1697" s="141">
        <v>71.81</v>
      </c>
      <c r="G1697" s="142"/>
      <c r="H1697" s="142">
        <v>682.19500000000005</v>
      </c>
      <c r="I1697" s="192">
        <v>902</v>
      </c>
    </row>
    <row r="1698" spans="1:9" x14ac:dyDescent="0.65">
      <c r="A1698" s="188">
        <v>40789</v>
      </c>
      <c r="B1698" t="s">
        <v>1538</v>
      </c>
      <c r="C1698" t="s">
        <v>1538</v>
      </c>
      <c r="D1698" t="s">
        <v>18</v>
      </c>
      <c r="E1698" s="141">
        <v>4.5</v>
      </c>
      <c r="F1698" s="141">
        <v>71.81</v>
      </c>
      <c r="G1698" s="142"/>
      <c r="H1698" s="142">
        <v>323.14499999999998</v>
      </c>
      <c r="I1698" s="192">
        <v>902</v>
      </c>
    </row>
    <row r="1699" spans="1:9" x14ac:dyDescent="0.65">
      <c r="A1699" s="188">
        <v>40791</v>
      </c>
      <c r="B1699" t="s">
        <v>1538</v>
      </c>
      <c r="C1699" t="s">
        <v>1538</v>
      </c>
      <c r="D1699" t="s">
        <v>18</v>
      </c>
      <c r="E1699" s="141">
        <v>10</v>
      </c>
      <c r="F1699" s="141">
        <v>71.81</v>
      </c>
      <c r="G1699" s="142"/>
      <c r="H1699" s="142">
        <v>718.1</v>
      </c>
      <c r="I1699" s="192">
        <v>902</v>
      </c>
    </row>
    <row r="1700" spans="1:9" x14ac:dyDescent="0.65">
      <c r="A1700" s="188">
        <v>40792</v>
      </c>
      <c r="B1700" t="s">
        <v>1538</v>
      </c>
      <c r="C1700" t="s">
        <v>1538</v>
      </c>
      <c r="D1700" t="s">
        <v>18</v>
      </c>
      <c r="E1700" s="141">
        <v>11</v>
      </c>
      <c r="F1700" s="141">
        <v>71.81</v>
      </c>
      <c r="G1700" s="142"/>
      <c r="H1700" s="142">
        <v>789.91</v>
      </c>
      <c r="I1700" s="192">
        <v>902</v>
      </c>
    </row>
    <row r="1701" spans="1:9" x14ac:dyDescent="0.65">
      <c r="A1701" s="188">
        <v>40793</v>
      </c>
      <c r="B1701" t="s">
        <v>1538</v>
      </c>
      <c r="C1701" t="s">
        <v>1538</v>
      </c>
      <c r="D1701" t="s">
        <v>18</v>
      </c>
      <c r="E1701" s="141">
        <v>10</v>
      </c>
      <c r="F1701" s="141">
        <v>71.81</v>
      </c>
      <c r="G1701" s="142"/>
      <c r="H1701" s="142">
        <v>718.1</v>
      </c>
      <c r="I1701" s="192">
        <v>902</v>
      </c>
    </row>
    <row r="1702" spans="1:9" x14ac:dyDescent="0.65">
      <c r="A1702" s="188">
        <v>40794</v>
      </c>
      <c r="B1702" t="s">
        <v>1538</v>
      </c>
      <c r="C1702" t="s">
        <v>1538</v>
      </c>
      <c r="D1702" t="s">
        <v>18</v>
      </c>
      <c r="E1702" s="141">
        <v>9.5</v>
      </c>
      <c r="F1702" s="141">
        <v>71.81</v>
      </c>
      <c r="G1702" s="142"/>
      <c r="H1702" s="142">
        <v>682.19500000000005</v>
      </c>
      <c r="I1702" s="192">
        <v>902</v>
      </c>
    </row>
    <row r="1703" spans="1:9" x14ac:dyDescent="0.65">
      <c r="A1703" s="188">
        <v>40795</v>
      </c>
      <c r="B1703" t="s">
        <v>1538</v>
      </c>
      <c r="C1703" t="s">
        <v>1538</v>
      </c>
      <c r="D1703" t="s">
        <v>18</v>
      </c>
      <c r="E1703" s="141">
        <v>9.5</v>
      </c>
      <c r="F1703" s="141">
        <v>71.81</v>
      </c>
      <c r="G1703" s="142"/>
      <c r="H1703" s="142">
        <v>682.19500000000005</v>
      </c>
      <c r="I1703" s="192">
        <v>902</v>
      </c>
    </row>
    <row r="1704" spans="1:9" x14ac:dyDescent="0.65">
      <c r="A1704" s="188">
        <v>40796</v>
      </c>
      <c r="B1704" t="s">
        <v>1538</v>
      </c>
      <c r="C1704" t="s">
        <v>1538</v>
      </c>
      <c r="D1704" t="s">
        <v>18</v>
      </c>
      <c r="E1704" s="141">
        <v>9.5</v>
      </c>
      <c r="F1704" s="141">
        <v>71.81</v>
      </c>
      <c r="G1704" s="142"/>
      <c r="H1704" s="142">
        <v>682.19500000000005</v>
      </c>
      <c r="I1704" s="192">
        <v>902</v>
      </c>
    </row>
    <row r="1705" spans="1:9" x14ac:dyDescent="0.65">
      <c r="A1705" s="188">
        <v>40799</v>
      </c>
      <c r="B1705" t="s">
        <v>1538</v>
      </c>
      <c r="C1705" t="s">
        <v>1538</v>
      </c>
      <c r="D1705" t="s">
        <v>18</v>
      </c>
      <c r="E1705" s="141">
        <v>9.5</v>
      </c>
      <c r="F1705" s="141">
        <v>71.81</v>
      </c>
      <c r="G1705" s="142"/>
      <c r="H1705" s="142">
        <v>682.19500000000005</v>
      </c>
      <c r="I1705" s="192">
        <v>902</v>
      </c>
    </row>
    <row r="1706" spans="1:9" x14ac:dyDescent="0.65">
      <c r="A1706" s="188">
        <v>40800</v>
      </c>
      <c r="B1706" t="s">
        <v>1538</v>
      </c>
      <c r="C1706" t="s">
        <v>1538</v>
      </c>
      <c r="D1706" t="s">
        <v>18</v>
      </c>
      <c r="E1706" s="141">
        <v>9.5</v>
      </c>
      <c r="F1706" s="141">
        <v>71.81</v>
      </c>
      <c r="G1706" s="142"/>
      <c r="H1706" s="142">
        <v>682.19500000000005</v>
      </c>
      <c r="I1706" s="192">
        <v>902</v>
      </c>
    </row>
    <row r="1707" spans="1:9" x14ac:dyDescent="0.65">
      <c r="A1707" s="188">
        <v>40801</v>
      </c>
      <c r="B1707" t="s">
        <v>1538</v>
      </c>
      <c r="C1707" t="s">
        <v>1538</v>
      </c>
      <c r="D1707" t="s">
        <v>18</v>
      </c>
      <c r="E1707" s="141">
        <v>8.5</v>
      </c>
      <c r="F1707" s="141">
        <v>71.81</v>
      </c>
      <c r="G1707" s="142"/>
      <c r="H1707" s="142">
        <v>610.38499999999999</v>
      </c>
      <c r="I1707" s="192">
        <v>902</v>
      </c>
    </row>
    <row r="1708" spans="1:9" x14ac:dyDescent="0.65">
      <c r="A1708" s="188">
        <v>40802</v>
      </c>
      <c r="B1708" t="s">
        <v>1538</v>
      </c>
      <c r="C1708" t="s">
        <v>1538</v>
      </c>
      <c r="D1708" t="s">
        <v>18</v>
      </c>
      <c r="E1708" s="141">
        <v>7</v>
      </c>
      <c r="F1708" s="141">
        <v>71.81</v>
      </c>
      <c r="G1708" s="142"/>
      <c r="H1708" s="142">
        <v>502.67</v>
      </c>
      <c r="I1708" s="192">
        <v>902</v>
      </c>
    </row>
    <row r="1709" spans="1:9" x14ac:dyDescent="0.65">
      <c r="A1709" s="188">
        <v>40805</v>
      </c>
      <c r="B1709" t="s">
        <v>1538</v>
      </c>
      <c r="C1709" t="s">
        <v>1538</v>
      </c>
      <c r="D1709" t="s">
        <v>18</v>
      </c>
      <c r="E1709" s="141">
        <v>8.5</v>
      </c>
      <c r="F1709" s="141">
        <v>71.81</v>
      </c>
      <c r="G1709" s="142"/>
      <c r="H1709" s="142">
        <v>610.38499999999999</v>
      </c>
      <c r="I1709" s="192">
        <v>902</v>
      </c>
    </row>
    <row r="1710" spans="1:9" x14ac:dyDescent="0.65">
      <c r="A1710" s="188">
        <v>40806</v>
      </c>
      <c r="B1710" t="s">
        <v>1538</v>
      </c>
      <c r="C1710" t="s">
        <v>1538</v>
      </c>
      <c r="D1710" t="s">
        <v>18</v>
      </c>
      <c r="E1710" s="141">
        <v>10.5</v>
      </c>
      <c r="F1710" s="141">
        <v>71.81</v>
      </c>
      <c r="G1710" s="142"/>
      <c r="H1710" s="142">
        <v>754.005</v>
      </c>
      <c r="I1710" s="192">
        <v>902</v>
      </c>
    </row>
    <row r="1711" spans="1:9" x14ac:dyDescent="0.65">
      <c r="A1711" s="188">
        <v>40807</v>
      </c>
      <c r="B1711" t="s">
        <v>1538</v>
      </c>
      <c r="C1711" t="s">
        <v>1538</v>
      </c>
      <c r="D1711" t="s">
        <v>18</v>
      </c>
      <c r="E1711" s="141">
        <v>10</v>
      </c>
      <c r="F1711" s="141">
        <v>71.81</v>
      </c>
      <c r="G1711" s="142"/>
      <c r="H1711" s="142">
        <v>718.1</v>
      </c>
      <c r="I1711" s="192">
        <v>902</v>
      </c>
    </row>
    <row r="1712" spans="1:9" x14ac:dyDescent="0.65">
      <c r="A1712" s="188">
        <v>40808</v>
      </c>
      <c r="B1712" t="s">
        <v>1538</v>
      </c>
      <c r="C1712" t="s">
        <v>1538</v>
      </c>
      <c r="D1712" t="s">
        <v>18</v>
      </c>
      <c r="E1712" s="141">
        <v>10</v>
      </c>
      <c r="F1712" s="141">
        <v>71.81</v>
      </c>
      <c r="G1712" s="142"/>
      <c r="H1712" s="142">
        <v>718.1</v>
      </c>
      <c r="I1712" s="192">
        <v>902</v>
      </c>
    </row>
    <row r="1713" spans="1:9" x14ac:dyDescent="0.65">
      <c r="A1713" s="188">
        <v>40809</v>
      </c>
      <c r="B1713" t="s">
        <v>1538</v>
      </c>
      <c r="C1713" t="s">
        <v>1538</v>
      </c>
      <c r="D1713" t="s">
        <v>18</v>
      </c>
      <c r="E1713" s="141">
        <v>9.5</v>
      </c>
      <c r="F1713" s="141">
        <v>71.81</v>
      </c>
      <c r="G1713" s="142"/>
      <c r="H1713" s="142">
        <v>682.19500000000005</v>
      </c>
      <c r="I1713" s="192">
        <v>902</v>
      </c>
    </row>
    <row r="1714" spans="1:9" x14ac:dyDescent="0.65">
      <c r="A1714" s="188">
        <v>40810</v>
      </c>
      <c r="B1714" t="s">
        <v>1538</v>
      </c>
      <c r="C1714" t="s">
        <v>1538</v>
      </c>
      <c r="D1714" t="s">
        <v>18</v>
      </c>
      <c r="E1714" s="141">
        <v>5.5</v>
      </c>
      <c r="F1714" s="141">
        <v>71.81</v>
      </c>
      <c r="G1714" s="142"/>
      <c r="H1714" s="142">
        <v>394.95499999999998</v>
      </c>
      <c r="I1714" s="192">
        <v>902</v>
      </c>
    </row>
    <row r="1715" spans="1:9" x14ac:dyDescent="0.65">
      <c r="A1715" s="188">
        <v>40812</v>
      </c>
      <c r="B1715" t="s">
        <v>1538</v>
      </c>
      <c r="C1715" t="s">
        <v>1538</v>
      </c>
      <c r="D1715" t="s">
        <v>18</v>
      </c>
      <c r="E1715" s="141">
        <v>9</v>
      </c>
      <c r="F1715" s="141">
        <v>71.81</v>
      </c>
      <c r="G1715" s="142"/>
      <c r="H1715" s="142">
        <v>646.29</v>
      </c>
      <c r="I1715" s="192">
        <v>902</v>
      </c>
    </row>
    <row r="1716" spans="1:9" x14ac:dyDescent="0.65">
      <c r="A1716" s="188">
        <v>40813</v>
      </c>
      <c r="B1716" t="s">
        <v>1538</v>
      </c>
      <c r="C1716" t="s">
        <v>1538</v>
      </c>
      <c r="D1716" t="s">
        <v>18</v>
      </c>
      <c r="E1716" s="141">
        <v>11</v>
      </c>
      <c r="F1716" s="141">
        <v>71.81</v>
      </c>
      <c r="G1716" s="142"/>
      <c r="H1716" s="142">
        <v>789.91</v>
      </c>
      <c r="I1716" s="192">
        <v>902</v>
      </c>
    </row>
    <row r="1717" spans="1:9" x14ac:dyDescent="0.65">
      <c r="A1717" s="188">
        <v>40814</v>
      </c>
      <c r="B1717" t="s">
        <v>1538</v>
      </c>
      <c r="C1717" t="s">
        <v>1538</v>
      </c>
      <c r="D1717" t="s">
        <v>18</v>
      </c>
      <c r="E1717" s="141">
        <v>10</v>
      </c>
      <c r="F1717" s="141">
        <v>71.81</v>
      </c>
      <c r="G1717" s="142"/>
      <c r="H1717" s="142">
        <v>718.1</v>
      </c>
      <c r="I1717" s="192">
        <v>902</v>
      </c>
    </row>
    <row r="1718" spans="1:9" x14ac:dyDescent="0.65">
      <c r="A1718" s="188">
        <v>40815</v>
      </c>
      <c r="B1718" t="s">
        <v>1538</v>
      </c>
      <c r="C1718" t="s">
        <v>1538</v>
      </c>
      <c r="D1718" t="s">
        <v>18</v>
      </c>
      <c r="E1718" s="141">
        <v>9.5</v>
      </c>
      <c r="F1718" s="141">
        <v>71.81</v>
      </c>
      <c r="G1718" s="142"/>
      <c r="H1718" s="142">
        <v>682.19500000000005</v>
      </c>
      <c r="I1718" s="192">
        <v>902</v>
      </c>
    </row>
    <row r="1719" spans="1:9" x14ac:dyDescent="0.65">
      <c r="A1719" s="188">
        <v>40816</v>
      </c>
      <c r="B1719" t="s">
        <v>1538</v>
      </c>
      <c r="C1719" t="s">
        <v>1538</v>
      </c>
      <c r="D1719" t="s">
        <v>18</v>
      </c>
      <c r="E1719" s="141">
        <v>9.5</v>
      </c>
      <c r="F1719" s="141">
        <v>71.81</v>
      </c>
      <c r="G1719" s="142"/>
      <c r="H1719" s="142">
        <v>682.19500000000005</v>
      </c>
      <c r="I1719" s="192">
        <v>902</v>
      </c>
    </row>
    <row r="1720" spans="1:9" x14ac:dyDescent="0.65">
      <c r="A1720" s="188">
        <v>40819</v>
      </c>
      <c r="B1720" t="s">
        <v>1538</v>
      </c>
      <c r="C1720" t="s">
        <v>1538</v>
      </c>
      <c r="D1720" t="s">
        <v>18</v>
      </c>
      <c r="E1720" s="141">
        <v>9.5</v>
      </c>
      <c r="F1720" s="141">
        <v>71.81</v>
      </c>
      <c r="G1720" s="142"/>
      <c r="H1720" s="142">
        <v>682.19500000000005</v>
      </c>
      <c r="I1720" s="192">
        <v>902</v>
      </c>
    </row>
    <row r="1721" spans="1:9" x14ac:dyDescent="0.65">
      <c r="A1721" s="188">
        <v>40820</v>
      </c>
      <c r="B1721" t="s">
        <v>1538</v>
      </c>
      <c r="C1721" t="s">
        <v>1538</v>
      </c>
      <c r="D1721" t="s">
        <v>18</v>
      </c>
      <c r="E1721" s="141">
        <v>9.5</v>
      </c>
      <c r="F1721" s="141">
        <v>71.81</v>
      </c>
      <c r="G1721" s="142"/>
      <c r="H1721" s="142">
        <v>682.19500000000005</v>
      </c>
      <c r="I1721" s="192">
        <v>902</v>
      </c>
    </row>
    <row r="1722" spans="1:9" x14ac:dyDescent="0.65">
      <c r="A1722" s="188">
        <v>40821</v>
      </c>
      <c r="B1722" t="s">
        <v>1538</v>
      </c>
      <c r="C1722" t="s">
        <v>1538</v>
      </c>
      <c r="D1722" t="s">
        <v>18</v>
      </c>
      <c r="E1722" s="141">
        <v>9.5</v>
      </c>
      <c r="F1722" s="141">
        <v>71.81</v>
      </c>
      <c r="G1722" s="142"/>
      <c r="H1722" s="142">
        <v>682.19500000000005</v>
      </c>
      <c r="I1722" s="192">
        <v>902</v>
      </c>
    </row>
    <row r="1723" spans="1:9" x14ac:dyDescent="0.65">
      <c r="A1723" s="188">
        <v>40822</v>
      </c>
      <c r="B1723" t="s">
        <v>1538</v>
      </c>
      <c r="C1723" t="s">
        <v>1538</v>
      </c>
      <c r="D1723" t="s">
        <v>18</v>
      </c>
      <c r="E1723" s="141">
        <v>8</v>
      </c>
      <c r="F1723" s="141">
        <v>71.81</v>
      </c>
      <c r="G1723" s="142"/>
      <c r="H1723" s="142">
        <v>574.48</v>
      </c>
      <c r="I1723" s="192">
        <v>902</v>
      </c>
    </row>
    <row r="1724" spans="1:9" x14ac:dyDescent="0.65">
      <c r="A1724" s="188">
        <v>40823</v>
      </c>
      <c r="B1724" t="s">
        <v>1538</v>
      </c>
      <c r="C1724" t="s">
        <v>1538</v>
      </c>
      <c r="D1724" t="s">
        <v>18</v>
      </c>
      <c r="E1724" s="141">
        <v>7</v>
      </c>
      <c r="F1724" s="141">
        <v>71.81</v>
      </c>
      <c r="G1724" s="142"/>
      <c r="H1724" s="142">
        <v>502.67</v>
      </c>
      <c r="I1724" s="192">
        <v>902</v>
      </c>
    </row>
    <row r="1725" spans="1:9" x14ac:dyDescent="0.65">
      <c r="A1725" s="188">
        <v>40854</v>
      </c>
      <c r="B1725" t="s">
        <v>1538</v>
      </c>
      <c r="C1725" t="s">
        <v>1538</v>
      </c>
      <c r="D1725" t="s">
        <v>18</v>
      </c>
      <c r="E1725" s="141">
        <v>9.5</v>
      </c>
      <c r="F1725" s="141">
        <v>71.81</v>
      </c>
      <c r="G1725" s="142"/>
      <c r="H1725" s="142">
        <v>682.19500000000005</v>
      </c>
      <c r="I1725" s="192">
        <v>902</v>
      </c>
    </row>
    <row r="1726" spans="1:9" x14ac:dyDescent="0.65">
      <c r="A1726" s="188">
        <v>40857</v>
      </c>
      <c r="B1726" t="s">
        <v>1538</v>
      </c>
      <c r="C1726" t="s">
        <v>1538</v>
      </c>
      <c r="D1726" t="s">
        <v>18</v>
      </c>
      <c r="E1726" s="141">
        <v>2</v>
      </c>
      <c r="F1726" s="141">
        <v>71.81</v>
      </c>
      <c r="G1726" s="142"/>
      <c r="H1726" s="142">
        <v>143.62</v>
      </c>
      <c r="I1726" s="192">
        <v>902</v>
      </c>
    </row>
    <row r="1727" spans="1:9" x14ac:dyDescent="0.65">
      <c r="A1727" s="188">
        <v>40873</v>
      </c>
      <c r="B1727" t="s">
        <v>1769</v>
      </c>
      <c r="C1727" t="s">
        <v>1769</v>
      </c>
      <c r="D1727" t="s">
        <v>18</v>
      </c>
      <c r="E1727" s="141">
        <v>4</v>
      </c>
      <c r="F1727" s="141">
        <v>71.81</v>
      </c>
      <c r="G1727" s="142"/>
      <c r="H1727" s="142">
        <v>287.24</v>
      </c>
      <c r="I1727" s="192">
        <v>902</v>
      </c>
    </row>
    <row r="1728" spans="1:9" x14ac:dyDescent="0.65">
      <c r="A1728" s="188">
        <v>40873</v>
      </c>
      <c r="B1728" t="s">
        <v>1769</v>
      </c>
      <c r="C1728" t="s">
        <v>1769</v>
      </c>
      <c r="D1728" t="s">
        <v>18</v>
      </c>
      <c r="E1728" s="141">
        <v>2</v>
      </c>
      <c r="F1728" s="141">
        <v>71.81</v>
      </c>
      <c r="G1728" s="142"/>
      <c r="H1728" s="142">
        <v>143.62</v>
      </c>
      <c r="I1728" s="192">
        <v>902</v>
      </c>
    </row>
    <row r="1729" spans="1:9" x14ac:dyDescent="0.65">
      <c r="A1729" s="188">
        <v>40877</v>
      </c>
      <c r="B1729" t="s">
        <v>1769</v>
      </c>
      <c r="C1729" t="s">
        <v>1769</v>
      </c>
      <c r="D1729" t="s">
        <v>18</v>
      </c>
      <c r="E1729" s="141">
        <v>3</v>
      </c>
      <c r="F1729" s="141">
        <v>71.81</v>
      </c>
      <c r="G1729" s="142"/>
      <c r="H1729" s="142">
        <v>215.43</v>
      </c>
      <c r="I1729" s="192">
        <v>902</v>
      </c>
    </row>
    <row r="1730" spans="1:9" x14ac:dyDescent="0.65">
      <c r="A1730" s="188">
        <v>40877</v>
      </c>
      <c r="B1730" t="s">
        <v>1769</v>
      </c>
      <c r="C1730" t="s">
        <v>1769</v>
      </c>
      <c r="D1730" t="s">
        <v>18</v>
      </c>
      <c r="E1730" s="141">
        <v>3</v>
      </c>
      <c r="F1730" s="141">
        <v>71.81</v>
      </c>
      <c r="G1730" s="142"/>
      <c r="H1730" s="142">
        <v>215.43</v>
      </c>
      <c r="I1730" s="192">
        <v>902</v>
      </c>
    </row>
    <row r="1731" spans="1:9" x14ac:dyDescent="0.65">
      <c r="A1731" s="188">
        <v>40877</v>
      </c>
      <c r="B1731" t="s">
        <v>1769</v>
      </c>
      <c r="C1731" t="s">
        <v>1769</v>
      </c>
      <c r="D1731" t="s">
        <v>18</v>
      </c>
      <c r="E1731" s="141">
        <v>7</v>
      </c>
      <c r="F1731" s="141">
        <v>71.81</v>
      </c>
      <c r="G1731" s="142"/>
      <c r="H1731" s="142">
        <v>502.67</v>
      </c>
      <c r="I1731" s="192">
        <v>902</v>
      </c>
    </row>
    <row r="1732" spans="1:9" x14ac:dyDescent="0.65">
      <c r="A1732" s="189" t="s">
        <v>448</v>
      </c>
      <c r="B1732" s="183" t="s">
        <v>1539</v>
      </c>
      <c r="C1732" s="184" t="s">
        <v>448</v>
      </c>
      <c r="D1732" s="184" t="s">
        <v>448</v>
      </c>
      <c r="E1732" s="185"/>
      <c r="F1732" s="185"/>
      <c r="G1732" s="186"/>
      <c r="H1732" s="186">
        <v>84084.975000000006</v>
      </c>
      <c r="I1732" s="193" t="s">
        <v>1767</v>
      </c>
    </row>
    <row r="1733" spans="1:9" x14ac:dyDescent="0.65">
      <c r="A1733" s="188" t="s">
        <v>448</v>
      </c>
      <c r="B1733" s="35" t="s">
        <v>448</v>
      </c>
      <c r="C1733" t="s">
        <v>448</v>
      </c>
      <c r="D1733" t="s">
        <v>448</v>
      </c>
      <c r="E1733" s="141"/>
      <c r="F1733" s="141"/>
      <c r="G1733" s="142"/>
      <c r="H1733" s="142"/>
      <c r="I1733" s="191" t="s">
        <v>1767</v>
      </c>
    </row>
    <row r="1734" spans="1:9" x14ac:dyDescent="0.65">
      <c r="A1734" s="187" t="s">
        <v>448</v>
      </c>
      <c r="B1734" s="29" t="s">
        <v>1847</v>
      </c>
      <c r="C1734" s="27" t="s">
        <v>448</v>
      </c>
      <c r="D1734" s="27" t="s">
        <v>448</v>
      </c>
      <c r="E1734" s="181"/>
      <c r="F1734" s="181"/>
      <c r="G1734" s="182"/>
      <c r="H1734" s="182"/>
      <c r="I1734" s="140" t="s">
        <v>1767</v>
      </c>
    </row>
    <row r="1735" spans="1:9" x14ac:dyDescent="0.65">
      <c r="A1735" s="188">
        <v>40672</v>
      </c>
      <c r="B1735" s="35" t="s">
        <v>1540</v>
      </c>
      <c r="C1735" t="s">
        <v>1541</v>
      </c>
      <c r="D1735" t="s">
        <v>451</v>
      </c>
      <c r="E1735" s="141">
        <v>1</v>
      </c>
      <c r="F1735" s="141">
        <v>3200</v>
      </c>
      <c r="G1735" s="142"/>
      <c r="H1735" s="142">
        <v>3200</v>
      </c>
      <c r="I1735" s="192">
        <v>903</v>
      </c>
    </row>
    <row r="1736" spans="1:9" x14ac:dyDescent="0.65">
      <c r="A1736" s="188">
        <v>40701</v>
      </c>
      <c r="B1736" s="35" t="s">
        <v>1542</v>
      </c>
      <c r="C1736" t="s">
        <v>1543</v>
      </c>
      <c r="D1736" t="s">
        <v>451</v>
      </c>
      <c r="E1736" s="141">
        <v>1</v>
      </c>
      <c r="F1736" s="141">
        <v>88</v>
      </c>
      <c r="G1736" s="142"/>
      <c r="H1736" s="142">
        <v>88</v>
      </c>
      <c r="I1736" s="192">
        <v>903</v>
      </c>
    </row>
    <row r="1737" spans="1:9" x14ac:dyDescent="0.65">
      <c r="A1737" s="188">
        <v>40701</v>
      </c>
      <c r="B1737" s="35" t="s">
        <v>1544</v>
      </c>
      <c r="C1737" t="s">
        <v>1543</v>
      </c>
      <c r="D1737" t="s">
        <v>451</v>
      </c>
      <c r="E1737" s="141">
        <v>1</v>
      </c>
      <c r="F1737" s="141">
        <v>49</v>
      </c>
      <c r="G1737" s="142"/>
      <c r="H1737" s="142">
        <v>49</v>
      </c>
      <c r="I1737" s="192">
        <v>903</v>
      </c>
    </row>
    <row r="1738" spans="1:9" x14ac:dyDescent="0.65">
      <c r="A1738" s="188">
        <v>40703</v>
      </c>
      <c r="B1738" s="35" t="s">
        <v>1545</v>
      </c>
      <c r="C1738" t="s">
        <v>1543</v>
      </c>
      <c r="D1738" t="s">
        <v>451</v>
      </c>
      <c r="E1738" s="141">
        <v>1</v>
      </c>
      <c r="F1738" s="141">
        <v>1100</v>
      </c>
      <c r="G1738" s="142"/>
      <c r="H1738" s="142">
        <v>1100</v>
      </c>
      <c r="I1738" s="192">
        <v>903</v>
      </c>
    </row>
    <row r="1739" spans="1:9" x14ac:dyDescent="0.65">
      <c r="A1739" s="188">
        <v>40703</v>
      </c>
      <c r="B1739" s="35" t="s">
        <v>1546</v>
      </c>
      <c r="C1739" t="s">
        <v>1543</v>
      </c>
      <c r="D1739" t="s">
        <v>451</v>
      </c>
      <c r="E1739" s="141">
        <v>1</v>
      </c>
      <c r="F1739" s="141">
        <v>125.02</v>
      </c>
      <c r="G1739" s="142"/>
      <c r="H1739" s="142">
        <v>125.02</v>
      </c>
      <c r="I1739" s="192">
        <v>903</v>
      </c>
    </row>
    <row r="1740" spans="1:9" x14ac:dyDescent="0.65">
      <c r="A1740" s="188">
        <v>40708</v>
      </c>
      <c r="B1740" s="35" t="s">
        <v>1547</v>
      </c>
      <c r="C1740" t="s">
        <v>1543</v>
      </c>
      <c r="D1740" t="s">
        <v>451</v>
      </c>
      <c r="E1740" s="141">
        <v>1</v>
      </c>
      <c r="F1740" s="141">
        <v>49</v>
      </c>
      <c r="G1740" s="142"/>
      <c r="H1740" s="142">
        <v>49</v>
      </c>
      <c r="I1740" s="192">
        <v>903</v>
      </c>
    </row>
    <row r="1741" spans="1:9" x14ac:dyDescent="0.65">
      <c r="A1741" s="188">
        <v>40710</v>
      </c>
      <c r="B1741" s="35" t="s">
        <v>1548</v>
      </c>
      <c r="C1741" t="s">
        <v>1543</v>
      </c>
      <c r="D1741" t="s">
        <v>451</v>
      </c>
      <c r="E1741" s="141">
        <v>1</v>
      </c>
      <c r="F1741" s="141">
        <v>125.02</v>
      </c>
      <c r="G1741" s="142"/>
      <c r="H1741" s="142">
        <v>125.02</v>
      </c>
      <c r="I1741" s="192">
        <v>903</v>
      </c>
    </row>
    <row r="1742" spans="1:9" x14ac:dyDescent="0.65">
      <c r="A1742" s="188">
        <v>40715</v>
      </c>
      <c r="B1742" s="35" t="s">
        <v>1549</v>
      </c>
      <c r="C1742" t="s">
        <v>1543</v>
      </c>
      <c r="D1742" t="s">
        <v>451</v>
      </c>
      <c r="E1742" s="141">
        <v>1</v>
      </c>
      <c r="F1742" s="141">
        <v>49</v>
      </c>
      <c r="G1742" s="142"/>
      <c r="H1742" s="142">
        <v>49</v>
      </c>
      <c r="I1742" s="192">
        <v>903</v>
      </c>
    </row>
    <row r="1743" spans="1:9" x14ac:dyDescent="0.65">
      <c r="A1743" s="188">
        <v>40716</v>
      </c>
      <c r="B1743" s="35" t="s">
        <v>1550</v>
      </c>
      <c r="C1743" t="s">
        <v>1530</v>
      </c>
      <c r="D1743" t="s">
        <v>451</v>
      </c>
      <c r="E1743" s="141">
        <v>1</v>
      </c>
      <c r="F1743" s="141">
        <v>29.92</v>
      </c>
      <c r="G1743" s="142"/>
      <c r="H1743" s="142">
        <v>29.92</v>
      </c>
      <c r="I1743" s="192">
        <v>903</v>
      </c>
    </row>
    <row r="1744" spans="1:9" x14ac:dyDescent="0.65">
      <c r="A1744" s="188">
        <v>40717</v>
      </c>
      <c r="B1744" s="35" t="s">
        <v>1551</v>
      </c>
      <c r="C1744" t="s">
        <v>1543</v>
      </c>
      <c r="D1744" t="s">
        <v>451</v>
      </c>
      <c r="E1744" s="141">
        <v>1</v>
      </c>
      <c r="F1744" s="141">
        <v>125.02</v>
      </c>
      <c r="G1744" s="142"/>
      <c r="H1744" s="142">
        <v>125.02</v>
      </c>
      <c r="I1744" s="192">
        <v>903</v>
      </c>
    </row>
    <row r="1745" spans="1:9" x14ac:dyDescent="0.65">
      <c r="A1745" s="188">
        <v>40722</v>
      </c>
      <c r="B1745" s="35" t="s">
        <v>1549</v>
      </c>
      <c r="C1745" t="s">
        <v>1543</v>
      </c>
      <c r="D1745" t="s">
        <v>451</v>
      </c>
      <c r="E1745" s="141">
        <v>1</v>
      </c>
      <c r="F1745" s="141">
        <v>49</v>
      </c>
      <c r="G1745" s="142"/>
      <c r="H1745" s="142">
        <v>49</v>
      </c>
      <c r="I1745" s="192">
        <v>903</v>
      </c>
    </row>
    <row r="1746" spans="1:9" x14ac:dyDescent="0.65">
      <c r="A1746" s="188">
        <v>40724</v>
      </c>
      <c r="B1746" s="35" t="s">
        <v>1552</v>
      </c>
      <c r="C1746" t="s">
        <v>1543</v>
      </c>
      <c r="D1746" t="s">
        <v>451</v>
      </c>
      <c r="E1746" s="141">
        <v>22</v>
      </c>
      <c r="F1746" s="141">
        <v>17.86</v>
      </c>
      <c r="G1746" s="142"/>
      <c r="H1746" s="142">
        <v>392.92</v>
      </c>
      <c r="I1746" s="192">
        <v>903</v>
      </c>
    </row>
    <row r="1747" spans="1:9" x14ac:dyDescent="0.65">
      <c r="A1747" s="188">
        <v>40724</v>
      </c>
      <c r="B1747" s="35" t="s">
        <v>1553</v>
      </c>
      <c r="C1747" t="s">
        <v>1543</v>
      </c>
      <c r="D1747" t="s">
        <v>451</v>
      </c>
      <c r="E1747" s="141">
        <v>1</v>
      </c>
      <c r="F1747" s="141">
        <v>168</v>
      </c>
      <c r="G1747" s="142"/>
      <c r="H1747" s="142">
        <v>168</v>
      </c>
      <c r="I1747" s="192">
        <v>903</v>
      </c>
    </row>
    <row r="1748" spans="1:9" x14ac:dyDescent="0.65">
      <c r="A1748" s="188">
        <v>40724</v>
      </c>
      <c r="B1748" s="35" t="s">
        <v>1369</v>
      </c>
      <c r="C1748" t="s">
        <v>1367</v>
      </c>
      <c r="D1748" t="s">
        <v>451</v>
      </c>
      <c r="E1748" s="141">
        <v>1</v>
      </c>
      <c r="F1748" s="141">
        <v>105.68</v>
      </c>
      <c r="G1748" s="142"/>
      <c r="H1748" s="142">
        <v>105.68</v>
      </c>
      <c r="I1748" s="192">
        <v>903</v>
      </c>
    </row>
    <row r="1749" spans="1:9" x14ac:dyDescent="0.65">
      <c r="A1749" s="188">
        <v>40755</v>
      </c>
      <c r="B1749" s="35" t="s">
        <v>1554</v>
      </c>
      <c r="C1749" t="s">
        <v>1543</v>
      </c>
      <c r="D1749" t="s">
        <v>451</v>
      </c>
      <c r="E1749" s="141">
        <v>31</v>
      </c>
      <c r="F1749" s="141">
        <v>7</v>
      </c>
      <c r="G1749" s="142"/>
      <c r="H1749" s="142">
        <v>217</v>
      </c>
      <c r="I1749" s="192">
        <v>903</v>
      </c>
    </row>
    <row r="1750" spans="1:9" x14ac:dyDescent="0.65">
      <c r="A1750" s="188">
        <v>40755</v>
      </c>
      <c r="B1750" s="35" t="s">
        <v>1555</v>
      </c>
      <c r="C1750" t="s">
        <v>1459</v>
      </c>
      <c r="D1750" t="s">
        <v>451</v>
      </c>
      <c r="E1750" s="141">
        <v>1</v>
      </c>
      <c r="F1750" s="141">
        <v>481.5</v>
      </c>
      <c r="G1750" s="142"/>
      <c r="H1750" s="142">
        <v>481.5</v>
      </c>
      <c r="I1750" s="192">
        <v>903</v>
      </c>
    </row>
    <row r="1751" spans="1:9" x14ac:dyDescent="0.65">
      <c r="A1751" s="188">
        <v>40755</v>
      </c>
      <c r="B1751" s="35" t="s">
        <v>1556</v>
      </c>
      <c r="C1751" t="s">
        <v>1543</v>
      </c>
      <c r="D1751" t="s">
        <v>451</v>
      </c>
      <c r="E1751" s="141">
        <v>31</v>
      </c>
      <c r="F1751" s="141">
        <v>17.86</v>
      </c>
      <c r="G1751" s="142"/>
      <c r="H1751" s="142">
        <v>553.66</v>
      </c>
      <c r="I1751" s="192">
        <v>903</v>
      </c>
    </row>
    <row r="1752" spans="1:9" x14ac:dyDescent="0.65">
      <c r="A1752" s="188">
        <v>40768</v>
      </c>
      <c r="B1752" s="35" t="s">
        <v>1557</v>
      </c>
      <c r="C1752" t="s">
        <v>1558</v>
      </c>
      <c r="D1752" t="s">
        <v>451</v>
      </c>
      <c r="E1752" s="141">
        <v>1</v>
      </c>
      <c r="F1752" s="141">
        <v>116.27</v>
      </c>
      <c r="G1752" s="142"/>
      <c r="H1752" s="142">
        <v>116.27</v>
      </c>
      <c r="I1752" s="192">
        <v>903</v>
      </c>
    </row>
    <row r="1753" spans="1:9" x14ac:dyDescent="0.65">
      <c r="A1753" s="188">
        <v>40773</v>
      </c>
      <c r="B1753" s="35" t="s">
        <v>1559</v>
      </c>
      <c r="C1753" t="s">
        <v>1558</v>
      </c>
      <c r="D1753" t="s">
        <v>451</v>
      </c>
      <c r="E1753" s="141">
        <v>1</v>
      </c>
      <c r="F1753" s="141">
        <v>316.08999999999997</v>
      </c>
      <c r="G1753" s="142"/>
      <c r="H1753" s="142">
        <v>316.08999999999997</v>
      </c>
      <c r="I1753" s="192">
        <v>903</v>
      </c>
    </row>
    <row r="1754" spans="1:9" x14ac:dyDescent="0.65">
      <c r="A1754" s="188">
        <v>40786</v>
      </c>
      <c r="B1754" s="35" t="s">
        <v>1560</v>
      </c>
      <c r="C1754" t="s">
        <v>1543</v>
      </c>
      <c r="D1754" t="s">
        <v>451</v>
      </c>
      <c r="E1754" s="141">
        <v>1</v>
      </c>
      <c r="F1754" s="141">
        <v>1680</v>
      </c>
      <c r="G1754" s="142"/>
      <c r="H1754" s="142">
        <v>1680</v>
      </c>
      <c r="I1754" s="192">
        <v>903</v>
      </c>
    </row>
    <row r="1755" spans="1:9" x14ac:dyDescent="0.65">
      <c r="A1755" s="188">
        <v>40786</v>
      </c>
      <c r="B1755" s="35" t="s">
        <v>1561</v>
      </c>
      <c r="C1755" t="s">
        <v>1543</v>
      </c>
      <c r="D1755" t="s">
        <v>451</v>
      </c>
      <c r="E1755" s="141">
        <v>1</v>
      </c>
      <c r="F1755" s="141">
        <v>620.1</v>
      </c>
      <c r="G1755" s="142"/>
      <c r="H1755" s="142">
        <v>620.1</v>
      </c>
      <c r="I1755" s="192">
        <v>903</v>
      </c>
    </row>
    <row r="1756" spans="1:9" x14ac:dyDescent="0.65">
      <c r="A1756" s="188">
        <v>40786</v>
      </c>
      <c r="B1756" s="35" t="s">
        <v>1562</v>
      </c>
      <c r="C1756" t="s">
        <v>1543</v>
      </c>
      <c r="D1756" t="s">
        <v>451</v>
      </c>
      <c r="E1756" s="141">
        <v>1</v>
      </c>
      <c r="F1756" s="141">
        <v>243.04</v>
      </c>
      <c r="G1756" s="142"/>
      <c r="H1756" s="142">
        <v>243.04</v>
      </c>
      <c r="I1756" s="192">
        <v>903</v>
      </c>
    </row>
    <row r="1757" spans="1:9" x14ac:dyDescent="0.65">
      <c r="A1757" s="188">
        <v>40786</v>
      </c>
      <c r="B1757" s="35" t="s">
        <v>1563</v>
      </c>
      <c r="C1757" t="s">
        <v>1399</v>
      </c>
      <c r="D1757" t="s">
        <v>451</v>
      </c>
      <c r="E1757" s="141">
        <v>1</v>
      </c>
      <c r="F1757" s="141">
        <v>192</v>
      </c>
      <c r="G1757" s="142"/>
      <c r="H1757" s="142">
        <v>192</v>
      </c>
      <c r="I1757" s="192">
        <v>903</v>
      </c>
    </row>
    <row r="1758" spans="1:9" x14ac:dyDescent="0.65">
      <c r="A1758" s="188">
        <v>40816</v>
      </c>
      <c r="B1758" s="35" t="s">
        <v>1564</v>
      </c>
      <c r="C1758" t="s">
        <v>1543</v>
      </c>
      <c r="D1758" t="s">
        <v>451</v>
      </c>
      <c r="E1758" s="141">
        <v>1</v>
      </c>
      <c r="F1758" s="141">
        <v>235.2</v>
      </c>
      <c r="G1758" s="142"/>
      <c r="H1758" s="142">
        <v>235.2</v>
      </c>
      <c r="I1758" s="192">
        <v>903</v>
      </c>
    </row>
    <row r="1759" spans="1:9" ht="28.5" x14ac:dyDescent="0.65">
      <c r="A1759" s="188">
        <v>40828</v>
      </c>
      <c r="B1759" s="35" t="s">
        <v>1565</v>
      </c>
      <c r="C1759" t="s">
        <v>1543</v>
      </c>
      <c r="D1759" t="s">
        <v>451</v>
      </c>
      <c r="E1759" s="141">
        <v>1</v>
      </c>
      <c r="F1759" s="141">
        <v>600.1</v>
      </c>
      <c r="G1759" s="142"/>
      <c r="H1759" s="142">
        <v>600.1</v>
      </c>
      <c r="I1759" s="192">
        <v>903</v>
      </c>
    </row>
    <row r="1760" spans="1:9" x14ac:dyDescent="0.65">
      <c r="A1760" s="188">
        <v>40846</v>
      </c>
      <c r="B1760" s="35" t="s">
        <v>1566</v>
      </c>
      <c r="C1760" t="s">
        <v>1567</v>
      </c>
      <c r="D1760" t="s">
        <v>451</v>
      </c>
      <c r="E1760" s="141">
        <v>1</v>
      </c>
      <c r="F1760" s="141">
        <v>1971.2</v>
      </c>
      <c r="G1760" s="142"/>
      <c r="H1760" s="142">
        <v>1971.2</v>
      </c>
      <c r="I1760" s="192">
        <v>903</v>
      </c>
    </row>
    <row r="1761" spans="1:9" ht="28.5" x14ac:dyDescent="0.65">
      <c r="A1761" s="188">
        <v>40847</v>
      </c>
      <c r="B1761" s="35" t="s">
        <v>1568</v>
      </c>
      <c r="C1761" t="s">
        <v>1543</v>
      </c>
      <c r="D1761" t="s">
        <v>451</v>
      </c>
      <c r="E1761" s="141">
        <v>1</v>
      </c>
      <c r="F1761" s="141">
        <v>620.01</v>
      </c>
      <c r="G1761" s="142"/>
      <c r="H1761" s="142">
        <v>620.01</v>
      </c>
      <c r="I1761" s="192">
        <v>903</v>
      </c>
    </row>
    <row r="1762" spans="1:9" x14ac:dyDescent="0.65">
      <c r="A1762" s="188">
        <v>40847</v>
      </c>
      <c r="B1762" s="35" t="s">
        <v>1569</v>
      </c>
      <c r="C1762" t="s">
        <v>1567</v>
      </c>
      <c r="D1762" t="s">
        <v>451</v>
      </c>
      <c r="E1762" s="141">
        <v>1</v>
      </c>
      <c r="F1762" s="141">
        <v>2067</v>
      </c>
      <c r="G1762" s="142"/>
      <c r="H1762" s="142">
        <v>2067</v>
      </c>
      <c r="I1762" s="192">
        <v>903</v>
      </c>
    </row>
    <row r="1763" spans="1:9" x14ac:dyDescent="0.65">
      <c r="A1763" s="188">
        <v>40851</v>
      </c>
      <c r="B1763" s="35" t="s">
        <v>1570</v>
      </c>
      <c r="C1763" t="s">
        <v>1769</v>
      </c>
      <c r="D1763" t="s">
        <v>98</v>
      </c>
      <c r="E1763" s="141">
        <v>0.45</v>
      </c>
      <c r="F1763" s="141">
        <v>580</v>
      </c>
      <c r="G1763" s="142"/>
      <c r="H1763" s="142">
        <v>261</v>
      </c>
      <c r="I1763" s="192">
        <v>903</v>
      </c>
    </row>
    <row r="1764" spans="1:9" x14ac:dyDescent="0.65">
      <c r="A1764" s="188">
        <v>40852</v>
      </c>
      <c r="B1764" s="35" t="s">
        <v>1570</v>
      </c>
      <c r="C1764" t="s">
        <v>1769</v>
      </c>
      <c r="D1764" t="s">
        <v>98</v>
      </c>
      <c r="E1764" s="141">
        <v>0.3</v>
      </c>
      <c r="F1764" s="141">
        <v>580</v>
      </c>
      <c r="G1764" s="142"/>
      <c r="H1764" s="142">
        <v>174</v>
      </c>
      <c r="I1764" s="192">
        <v>903</v>
      </c>
    </row>
    <row r="1765" spans="1:9" ht="28.5" x14ac:dyDescent="0.65">
      <c r="A1765" s="188">
        <v>40877</v>
      </c>
      <c r="B1765" s="35" t="s">
        <v>1571</v>
      </c>
      <c r="C1765" t="s">
        <v>1543</v>
      </c>
      <c r="D1765" t="s">
        <v>451</v>
      </c>
      <c r="E1765" s="141">
        <v>1</v>
      </c>
      <c r="F1765" s="141">
        <v>880.11</v>
      </c>
      <c r="G1765" s="142"/>
      <c r="H1765" s="142">
        <v>880.11</v>
      </c>
      <c r="I1765" s="192">
        <v>903</v>
      </c>
    </row>
    <row r="1766" spans="1:9" x14ac:dyDescent="0.65">
      <c r="A1766" s="189" t="s">
        <v>448</v>
      </c>
      <c r="B1766" s="183" t="s">
        <v>1572</v>
      </c>
      <c r="C1766" s="184" t="s">
        <v>448</v>
      </c>
      <c r="D1766" s="184" t="s">
        <v>448</v>
      </c>
      <c r="E1766" s="185"/>
      <c r="F1766" s="185"/>
      <c r="G1766" s="186"/>
      <c r="H1766" s="186">
        <v>16883.86</v>
      </c>
      <c r="I1766" s="193" t="s">
        <v>1767</v>
      </c>
    </row>
    <row r="1767" spans="1:9" x14ac:dyDescent="0.65">
      <c r="A1767" s="188" t="s">
        <v>448</v>
      </c>
      <c r="B1767" s="35" t="s">
        <v>448</v>
      </c>
      <c r="C1767" t="s">
        <v>448</v>
      </c>
      <c r="D1767" t="s">
        <v>448</v>
      </c>
      <c r="E1767" s="141"/>
      <c r="F1767" s="141"/>
      <c r="G1767" s="142"/>
      <c r="H1767" s="142"/>
      <c r="I1767" s="191" t="s">
        <v>1767</v>
      </c>
    </row>
    <row r="1768" spans="1:9" x14ac:dyDescent="0.65">
      <c r="A1768" s="187" t="s">
        <v>448</v>
      </c>
      <c r="B1768" s="29" t="s">
        <v>1848</v>
      </c>
      <c r="C1768" s="27" t="s">
        <v>448</v>
      </c>
      <c r="D1768" s="27" t="s">
        <v>448</v>
      </c>
      <c r="E1768" s="181"/>
      <c r="F1768" s="181"/>
      <c r="G1768" s="182"/>
      <c r="H1768" s="182"/>
      <c r="I1768" s="140" t="s">
        <v>1767</v>
      </c>
    </row>
    <row r="1769" spans="1:9" x14ac:dyDescent="0.65">
      <c r="A1769" s="188">
        <v>40652</v>
      </c>
      <c r="B1769" s="35" t="s">
        <v>1573</v>
      </c>
      <c r="C1769" t="s">
        <v>1399</v>
      </c>
      <c r="D1769" t="s">
        <v>451</v>
      </c>
      <c r="E1769" s="141">
        <v>1</v>
      </c>
      <c r="F1769" s="141">
        <v>5968.45</v>
      </c>
      <c r="G1769" s="142"/>
      <c r="H1769" s="142">
        <v>5968.45</v>
      </c>
      <c r="I1769" s="192">
        <v>904</v>
      </c>
    </row>
    <row r="1770" spans="1:9" x14ac:dyDescent="0.65">
      <c r="A1770" s="188">
        <v>40670</v>
      </c>
      <c r="B1770" s="35" t="s">
        <v>1574</v>
      </c>
      <c r="C1770" t="s">
        <v>1399</v>
      </c>
      <c r="D1770" t="s">
        <v>451</v>
      </c>
      <c r="E1770" s="141">
        <v>1</v>
      </c>
      <c r="F1770" s="141">
        <v>10418</v>
      </c>
      <c r="G1770" s="142"/>
      <c r="H1770" s="142">
        <v>10418</v>
      </c>
      <c r="I1770" s="192">
        <v>904</v>
      </c>
    </row>
    <row r="1771" spans="1:9" x14ac:dyDescent="0.65">
      <c r="A1771" s="188">
        <v>40686</v>
      </c>
      <c r="B1771" s="35" t="s">
        <v>1575</v>
      </c>
      <c r="C1771" t="s">
        <v>1399</v>
      </c>
      <c r="D1771" t="s">
        <v>451</v>
      </c>
      <c r="E1771" s="141">
        <v>1</v>
      </c>
      <c r="F1771" s="141">
        <v>32.04</v>
      </c>
      <c r="G1771" s="142"/>
      <c r="H1771" s="142">
        <v>32.04</v>
      </c>
      <c r="I1771" s="192">
        <v>904</v>
      </c>
    </row>
    <row r="1772" spans="1:9" x14ac:dyDescent="0.65">
      <c r="A1772" s="188">
        <v>40694</v>
      </c>
      <c r="B1772" s="35" t="s">
        <v>1576</v>
      </c>
      <c r="C1772" t="s">
        <v>1367</v>
      </c>
      <c r="D1772" t="s">
        <v>451</v>
      </c>
      <c r="E1772" s="141">
        <v>1</v>
      </c>
      <c r="F1772" s="141">
        <v>121.68</v>
      </c>
      <c r="G1772" s="142"/>
      <c r="H1772" s="142">
        <v>121.68</v>
      </c>
      <c r="I1772" s="192">
        <v>904</v>
      </c>
    </row>
    <row r="1773" spans="1:9" x14ac:dyDescent="0.65">
      <c r="A1773" s="188">
        <v>40724</v>
      </c>
      <c r="B1773" s="35" t="s">
        <v>1577</v>
      </c>
      <c r="C1773" t="s">
        <v>1399</v>
      </c>
      <c r="D1773" t="s">
        <v>451</v>
      </c>
      <c r="E1773" s="141">
        <v>1</v>
      </c>
      <c r="F1773" s="141">
        <v>47.15</v>
      </c>
      <c r="G1773" s="142"/>
      <c r="H1773" s="142">
        <v>47.15</v>
      </c>
      <c r="I1773" s="192">
        <v>904</v>
      </c>
    </row>
    <row r="1774" spans="1:9" x14ac:dyDescent="0.65">
      <c r="A1774" s="188">
        <v>40724</v>
      </c>
      <c r="B1774" s="35" t="s">
        <v>1578</v>
      </c>
      <c r="C1774" t="s">
        <v>1399</v>
      </c>
      <c r="D1774" t="s">
        <v>451</v>
      </c>
      <c r="E1774" s="141">
        <v>1</v>
      </c>
      <c r="F1774" s="141">
        <v>252</v>
      </c>
      <c r="G1774" s="142"/>
      <c r="H1774" s="142">
        <v>252</v>
      </c>
      <c r="I1774" s="192">
        <v>904</v>
      </c>
    </row>
    <row r="1775" spans="1:9" x14ac:dyDescent="0.65">
      <c r="A1775" s="188">
        <v>40724</v>
      </c>
      <c r="B1775" s="35" t="s">
        <v>1579</v>
      </c>
      <c r="C1775" t="s">
        <v>1399</v>
      </c>
      <c r="D1775" t="s">
        <v>451</v>
      </c>
      <c r="E1775" s="141">
        <v>1</v>
      </c>
      <c r="F1775" s="141">
        <v>446.16</v>
      </c>
      <c r="G1775" s="142"/>
      <c r="H1775" s="142">
        <v>446.16</v>
      </c>
      <c r="I1775" s="192">
        <v>904</v>
      </c>
    </row>
    <row r="1776" spans="1:9" x14ac:dyDescent="0.65">
      <c r="A1776" s="188">
        <v>40724</v>
      </c>
      <c r="B1776" s="35" t="s">
        <v>1580</v>
      </c>
      <c r="C1776" t="s">
        <v>1399</v>
      </c>
      <c r="D1776" t="s">
        <v>451</v>
      </c>
      <c r="E1776" s="141">
        <v>1</v>
      </c>
      <c r="F1776" s="141">
        <v>648</v>
      </c>
      <c r="G1776" s="142"/>
      <c r="H1776" s="142">
        <v>648</v>
      </c>
      <c r="I1776" s="192">
        <v>904</v>
      </c>
    </row>
    <row r="1777" spans="1:9" x14ac:dyDescent="0.65">
      <c r="A1777" s="188">
        <v>40724</v>
      </c>
      <c r="B1777" s="35" t="s">
        <v>1581</v>
      </c>
      <c r="C1777" t="s">
        <v>1399</v>
      </c>
      <c r="D1777" t="s">
        <v>451</v>
      </c>
      <c r="E1777" s="141">
        <v>1</v>
      </c>
      <c r="F1777" s="141">
        <v>20.16</v>
      </c>
      <c r="G1777" s="142"/>
      <c r="H1777" s="142">
        <v>20.16</v>
      </c>
      <c r="I1777" s="192">
        <v>904</v>
      </c>
    </row>
    <row r="1778" spans="1:9" x14ac:dyDescent="0.65">
      <c r="A1778" s="188">
        <v>40729</v>
      </c>
      <c r="B1778" s="35" t="s">
        <v>1582</v>
      </c>
      <c r="C1778" t="s">
        <v>1399</v>
      </c>
      <c r="D1778" t="s">
        <v>451</v>
      </c>
      <c r="E1778" s="141">
        <v>1</v>
      </c>
      <c r="F1778" s="141">
        <v>40.56</v>
      </c>
      <c r="G1778" s="142"/>
      <c r="H1778" s="142">
        <v>40.56</v>
      </c>
      <c r="I1778" s="192">
        <v>904</v>
      </c>
    </row>
    <row r="1779" spans="1:9" x14ac:dyDescent="0.65">
      <c r="A1779" s="188">
        <v>40755</v>
      </c>
      <c r="B1779" s="35" t="s">
        <v>1583</v>
      </c>
      <c r="C1779" t="s">
        <v>1399</v>
      </c>
      <c r="D1779" t="s">
        <v>451</v>
      </c>
      <c r="E1779" s="141">
        <v>1</v>
      </c>
      <c r="F1779" s="141">
        <v>56.28</v>
      </c>
      <c r="G1779" s="142"/>
      <c r="H1779" s="142">
        <v>56.28</v>
      </c>
      <c r="I1779" s="192">
        <v>904</v>
      </c>
    </row>
    <row r="1780" spans="1:9" x14ac:dyDescent="0.65">
      <c r="A1780" s="188">
        <v>40755</v>
      </c>
      <c r="B1780" s="35" t="s">
        <v>1584</v>
      </c>
      <c r="C1780" t="s">
        <v>1399</v>
      </c>
      <c r="D1780" t="s">
        <v>451</v>
      </c>
      <c r="E1780" s="141">
        <v>1</v>
      </c>
      <c r="F1780" s="141">
        <v>66.44</v>
      </c>
      <c r="G1780" s="142"/>
      <c r="H1780" s="142">
        <v>66.44</v>
      </c>
      <c r="I1780" s="192">
        <v>904</v>
      </c>
    </row>
    <row r="1781" spans="1:9" x14ac:dyDescent="0.65">
      <c r="A1781" s="188">
        <v>40755</v>
      </c>
      <c r="B1781" s="35" t="s">
        <v>1585</v>
      </c>
      <c r="C1781" t="s">
        <v>1399</v>
      </c>
      <c r="D1781" t="s">
        <v>451</v>
      </c>
      <c r="E1781" s="141">
        <v>1</v>
      </c>
      <c r="F1781" s="141">
        <v>26.04</v>
      </c>
      <c r="G1781" s="142"/>
      <c r="H1781" s="142">
        <v>26.04</v>
      </c>
      <c r="I1781" s="192">
        <v>904</v>
      </c>
    </row>
    <row r="1782" spans="1:9" x14ac:dyDescent="0.65">
      <c r="A1782" s="188">
        <v>40758</v>
      </c>
      <c r="B1782" s="35" t="s">
        <v>1586</v>
      </c>
      <c r="C1782" t="s">
        <v>1399</v>
      </c>
      <c r="D1782" t="s">
        <v>451</v>
      </c>
      <c r="E1782" s="141">
        <v>1</v>
      </c>
      <c r="F1782" s="141">
        <v>45.84</v>
      </c>
      <c r="G1782" s="142"/>
      <c r="H1782" s="142">
        <v>45.84</v>
      </c>
      <c r="I1782" s="192">
        <v>904</v>
      </c>
    </row>
    <row r="1783" spans="1:9" x14ac:dyDescent="0.65">
      <c r="A1783" s="189" t="s">
        <v>448</v>
      </c>
      <c r="B1783" s="183" t="s">
        <v>1587</v>
      </c>
      <c r="C1783" s="184" t="s">
        <v>448</v>
      </c>
      <c r="D1783" s="184" t="s">
        <v>448</v>
      </c>
      <c r="E1783" s="185"/>
      <c r="F1783" s="185"/>
      <c r="G1783" s="186"/>
      <c r="H1783" s="186">
        <v>18188.8</v>
      </c>
      <c r="I1783" s="193" t="s">
        <v>1767</v>
      </c>
    </row>
    <row r="1784" spans="1:9" x14ac:dyDescent="0.65">
      <c r="A1784" s="188" t="s">
        <v>448</v>
      </c>
      <c r="B1784" s="35" t="s">
        <v>448</v>
      </c>
      <c r="C1784" t="s">
        <v>448</v>
      </c>
      <c r="D1784" t="s">
        <v>448</v>
      </c>
      <c r="E1784" s="141"/>
      <c r="F1784" s="141"/>
      <c r="G1784" s="142"/>
      <c r="H1784" s="142"/>
      <c r="I1784" s="191" t="s">
        <v>1767</v>
      </c>
    </row>
    <row r="1785" spans="1:9" x14ac:dyDescent="0.65">
      <c r="A1785" s="187" t="s">
        <v>448</v>
      </c>
      <c r="B1785" s="29" t="s">
        <v>1849</v>
      </c>
      <c r="C1785" s="27" t="s">
        <v>448</v>
      </c>
      <c r="D1785" s="27" t="s">
        <v>448</v>
      </c>
      <c r="E1785" s="181"/>
      <c r="F1785" s="181"/>
      <c r="G1785" s="182"/>
      <c r="H1785" s="182"/>
      <c r="I1785" s="140" t="s">
        <v>1767</v>
      </c>
    </row>
    <row r="1786" spans="1:9" x14ac:dyDescent="0.65">
      <c r="A1786" s="188">
        <v>40681</v>
      </c>
      <c r="B1786" s="35" t="s">
        <v>1588</v>
      </c>
      <c r="C1786" t="s">
        <v>1530</v>
      </c>
      <c r="D1786" t="s">
        <v>451</v>
      </c>
      <c r="E1786" s="141">
        <v>200</v>
      </c>
      <c r="F1786" s="141">
        <v>0.49</v>
      </c>
      <c r="G1786" s="142"/>
      <c r="H1786" s="142">
        <v>98</v>
      </c>
      <c r="I1786" s="192">
        <v>905</v>
      </c>
    </row>
    <row r="1787" spans="1:9" x14ac:dyDescent="0.65">
      <c r="A1787" s="188">
        <v>40708</v>
      </c>
      <c r="B1787" s="35" t="s">
        <v>1589</v>
      </c>
      <c r="C1787" t="s">
        <v>1530</v>
      </c>
      <c r="D1787" t="s">
        <v>451</v>
      </c>
      <c r="E1787" s="141">
        <v>12</v>
      </c>
      <c r="F1787" s="141">
        <v>6.1829999999999998</v>
      </c>
      <c r="G1787" s="142"/>
      <c r="H1787" s="142">
        <v>74.195999999999998</v>
      </c>
      <c r="I1787" s="192">
        <v>905</v>
      </c>
    </row>
    <row r="1788" spans="1:9" x14ac:dyDescent="0.65">
      <c r="A1788" s="188">
        <v>40709</v>
      </c>
      <c r="B1788" s="35" t="s">
        <v>1590</v>
      </c>
      <c r="C1788" t="s">
        <v>1530</v>
      </c>
      <c r="D1788" t="s">
        <v>451</v>
      </c>
      <c r="E1788" s="141">
        <v>1</v>
      </c>
      <c r="F1788" s="141">
        <v>552.72</v>
      </c>
      <c r="G1788" s="142"/>
      <c r="H1788" s="142">
        <v>552.72</v>
      </c>
      <c r="I1788" s="192">
        <v>905</v>
      </c>
    </row>
    <row r="1789" spans="1:9" x14ac:dyDescent="0.65">
      <c r="A1789" s="188">
        <v>40710</v>
      </c>
      <c r="B1789" s="35" t="s">
        <v>1591</v>
      </c>
      <c r="C1789" t="s">
        <v>1530</v>
      </c>
      <c r="D1789" t="s">
        <v>451</v>
      </c>
      <c r="E1789" s="141">
        <v>1</v>
      </c>
      <c r="F1789" s="141">
        <v>798</v>
      </c>
      <c r="G1789" s="142"/>
      <c r="H1789" s="142">
        <v>798</v>
      </c>
      <c r="I1789" s="192">
        <v>905</v>
      </c>
    </row>
    <row r="1790" spans="1:9" x14ac:dyDescent="0.65">
      <c r="A1790" s="188">
        <v>40716</v>
      </c>
      <c r="B1790" s="35" t="s">
        <v>1592</v>
      </c>
      <c r="C1790" t="s">
        <v>1593</v>
      </c>
      <c r="D1790" t="s">
        <v>451</v>
      </c>
      <c r="E1790" s="141">
        <v>1</v>
      </c>
      <c r="F1790" s="141">
        <v>336.7</v>
      </c>
      <c r="G1790" s="142"/>
      <c r="H1790" s="142">
        <v>336.7</v>
      </c>
      <c r="I1790" s="192">
        <v>905</v>
      </c>
    </row>
    <row r="1791" spans="1:9" x14ac:dyDescent="0.65">
      <c r="A1791" s="188">
        <v>40718</v>
      </c>
      <c r="B1791" s="35" t="s">
        <v>1594</v>
      </c>
      <c r="C1791" t="s">
        <v>1530</v>
      </c>
      <c r="D1791" t="s">
        <v>451</v>
      </c>
      <c r="E1791" s="141">
        <v>1</v>
      </c>
      <c r="F1791" s="141">
        <v>585.15</v>
      </c>
      <c r="G1791" s="142"/>
      <c r="H1791" s="142">
        <v>585.15</v>
      </c>
      <c r="I1791" s="192">
        <v>905</v>
      </c>
    </row>
    <row r="1792" spans="1:9" x14ac:dyDescent="0.65">
      <c r="A1792" s="188">
        <v>40722</v>
      </c>
      <c r="B1792" s="35" t="s">
        <v>1595</v>
      </c>
      <c r="C1792" t="s">
        <v>1530</v>
      </c>
      <c r="D1792" t="s">
        <v>451</v>
      </c>
      <c r="E1792" s="141">
        <v>1</v>
      </c>
      <c r="F1792" s="141">
        <v>59.17</v>
      </c>
      <c r="G1792" s="142"/>
      <c r="H1792" s="142">
        <v>59.17</v>
      </c>
      <c r="I1792" s="192">
        <v>905</v>
      </c>
    </row>
    <row r="1793" spans="1:9" x14ac:dyDescent="0.65">
      <c r="A1793" s="188">
        <v>40739</v>
      </c>
      <c r="B1793" s="35" t="s">
        <v>1596</v>
      </c>
      <c r="C1793" t="s">
        <v>1530</v>
      </c>
      <c r="D1793" t="s">
        <v>451</v>
      </c>
      <c r="E1793" s="141">
        <v>1</v>
      </c>
      <c r="F1793" s="141">
        <v>212.16</v>
      </c>
      <c r="G1793" s="142"/>
      <c r="H1793" s="142">
        <v>212.16</v>
      </c>
      <c r="I1793" s="192">
        <v>905</v>
      </c>
    </row>
    <row r="1794" spans="1:9" x14ac:dyDescent="0.65">
      <c r="A1794" s="188">
        <v>40747</v>
      </c>
      <c r="B1794" s="35" t="s">
        <v>1597</v>
      </c>
      <c r="C1794" t="s">
        <v>1530</v>
      </c>
      <c r="D1794" t="s">
        <v>451</v>
      </c>
      <c r="E1794" s="141">
        <v>1</v>
      </c>
      <c r="F1794" s="141">
        <v>38.270000000000003</v>
      </c>
      <c r="G1794" s="142"/>
      <c r="H1794" s="142">
        <v>38.270000000000003</v>
      </c>
      <c r="I1794" s="192">
        <v>905</v>
      </c>
    </row>
    <row r="1795" spans="1:9" x14ac:dyDescent="0.65">
      <c r="A1795" s="188">
        <v>40754</v>
      </c>
      <c r="B1795" s="35" t="s">
        <v>1598</v>
      </c>
      <c r="C1795" t="s">
        <v>1530</v>
      </c>
      <c r="D1795" t="s">
        <v>451</v>
      </c>
      <c r="E1795" s="141">
        <v>1</v>
      </c>
      <c r="F1795" s="141">
        <v>12.64</v>
      </c>
      <c r="G1795" s="142"/>
      <c r="H1795" s="142">
        <v>12.64</v>
      </c>
      <c r="I1795" s="192">
        <v>905</v>
      </c>
    </row>
    <row r="1796" spans="1:9" x14ac:dyDescent="0.65">
      <c r="A1796" s="188">
        <v>40754</v>
      </c>
      <c r="B1796" s="35" t="s">
        <v>1599</v>
      </c>
      <c r="C1796" t="s">
        <v>1530</v>
      </c>
      <c r="D1796" t="s">
        <v>451</v>
      </c>
      <c r="E1796" s="141">
        <v>1</v>
      </c>
      <c r="F1796" s="141">
        <v>270</v>
      </c>
      <c r="G1796" s="142"/>
      <c r="H1796" s="142">
        <v>270</v>
      </c>
      <c r="I1796" s="192">
        <v>905</v>
      </c>
    </row>
    <row r="1797" spans="1:9" x14ac:dyDescent="0.65">
      <c r="A1797" s="188">
        <v>40757</v>
      </c>
      <c r="B1797" s="35" t="s">
        <v>1600</v>
      </c>
      <c r="C1797" t="s">
        <v>1530</v>
      </c>
      <c r="D1797" t="s">
        <v>451</v>
      </c>
      <c r="E1797" s="141">
        <v>3</v>
      </c>
      <c r="F1797" s="141">
        <v>8.4600000000000009</v>
      </c>
      <c r="G1797" s="142"/>
      <c r="H1797" s="142">
        <v>25.38</v>
      </c>
      <c r="I1797" s="192">
        <v>905</v>
      </c>
    </row>
    <row r="1798" spans="1:9" x14ac:dyDescent="0.65">
      <c r="A1798" s="188">
        <v>40757</v>
      </c>
      <c r="B1798" s="35" t="s">
        <v>1601</v>
      </c>
      <c r="C1798" t="s">
        <v>1530</v>
      </c>
      <c r="D1798" t="s">
        <v>451</v>
      </c>
      <c r="E1798" s="141">
        <v>1</v>
      </c>
      <c r="F1798" s="141">
        <v>30.76</v>
      </c>
      <c r="G1798" s="142"/>
      <c r="H1798" s="142">
        <v>30.76</v>
      </c>
      <c r="I1798" s="192">
        <v>905</v>
      </c>
    </row>
    <row r="1799" spans="1:9" x14ac:dyDescent="0.65">
      <c r="A1799" s="188">
        <v>40758</v>
      </c>
      <c r="B1799" s="35" t="s">
        <v>1602</v>
      </c>
      <c r="C1799" t="s">
        <v>1530</v>
      </c>
      <c r="D1799" t="s">
        <v>451</v>
      </c>
      <c r="E1799" s="141">
        <v>1</v>
      </c>
      <c r="F1799" s="141">
        <v>112.63</v>
      </c>
      <c r="G1799" s="142"/>
      <c r="H1799" s="142">
        <v>112.63</v>
      </c>
      <c r="I1799" s="192">
        <v>905</v>
      </c>
    </row>
    <row r="1800" spans="1:9" x14ac:dyDescent="0.65">
      <c r="A1800" s="188">
        <v>40765</v>
      </c>
      <c r="B1800" s="35" t="s">
        <v>1603</v>
      </c>
      <c r="C1800" t="s">
        <v>1604</v>
      </c>
      <c r="D1800" t="s">
        <v>451</v>
      </c>
      <c r="E1800" s="141">
        <v>4</v>
      </c>
      <c r="F1800" s="141">
        <v>165</v>
      </c>
      <c r="G1800" s="142"/>
      <c r="H1800" s="142">
        <v>660</v>
      </c>
      <c r="I1800" s="192">
        <v>905</v>
      </c>
    </row>
    <row r="1801" spans="1:9" x14ac:dyDescent="0.65">
      <c r="A1801" s="188">
        <v>40771</v>
      </c>
      <c r="B1801" s="35" t="s">
        <v>1605</v>
      </c>
      <c r="C1801" t="s">
        <v>1530</v>
      </c>
      <c r="D1801" t="s">
        <v>451</v>
      </c>
      <c r="E1801" s="141">
        <v>1</v>
      </c>
      <c r="F1801" s="141">
        <v>82.24</v>
      </c>
      <c r="G1801" s="142"/>
      <c r="H1801" s="142">
        <v>82.24</v>
      </c>
      <c r="I1801" s="192">
        <v>905</v>
      </c>
    </row>
    <row r="1802" spans="1:9" ht="28.5" x14ac:dyDescent="0.65">
      <c r="A1802" s="188">
        <v>40772</v>
      </c>
      <c r="B1802" s="35" t="s">
        <v>1606</v>
      </c>
      <c r="C1802" t="s">
        <v>1530</v>
      </c>
      <c r="D1802" t="s">
        <v>451</v>
      </c>
      <c r="E1802" s="141">
        <v>1</v>
      </c>
      <c r="F1802" s="141">
        <v>120.75</v>
      </c>
      <c r="G1802" s="142"/>
      <c r="H1802" s="142">
        <v>120.75</v>
      </c>
      <c r="I1802" s="192">
        <v>905</v>
      </c>
    </row>
    <row r="1803" spans="1:9" x14ac:dyDescent="0.65">
      <c r="A1803" s="188">
        <v>40778</v>
      </c>
      <c r="B1803" s="35" t="s">
        <v>1607</v>
      </c>
      <c r="C1803" t="s">
        <v>1530</v>
      </c>
      <c r="D1803" t="s">
        <v>451</v>
      </c>
      <c r="E1803" s="141">
        <v>1</v>
      </c>
      <c r="F1803" s="141">
        <v>59.85</v>
      </c>
      <c r="G1803" s="142"/>
      <c r="H1803" s="142">
        <v>59.85</v>
      </c>
      <c r="I1803" s="192">
        <v>905</v>
      </c>
    </row>
    <row r="1804" spans="1:9" x14ac:dyDescent="0.65">
      <c r="A1804" s="188">
        <v>40779</v>
      </c>
      <c r="B1804" s="35" t="s">
        <v>1608</v>
      </c>
      <c r="C1804" t="s">
        <v>1530</v>
      </c>
      <c r="D1804" t="s">
        <v>451</v>
      </c>
      <c r="E1804" s="141">
        <v>1</v>
      </c>
      <c r="F1804" s="141">
        <v>43.14</v>
      </c>
      <c r="G1804" s="142"/>
      <c r="H1804" s="142">
        <v>43.14</v>
      </c>
      <c r="I1804" s="192">
        <v>905</v>
      </c>
    </row>
    <row r="1805" spans="1:9" x14ac:dyDescent="0.65">
      <c r="A1805" s="188">
        <v>40781</v>
      </c>
      <c r="B1805" s="35" t="s">
        <v>1609</v>
      </c>
      <c r="C1805" t="s">
        <v>1530</v>
      </c>
      <c r="D1805" t="s">
        <v>451</v>
      </c>
      <c r="E1805" s="141">
        <v>1</v>
      </c>
      <c r="F1805" s="141">
        <v>57.26</v>
      </c>
      <c r="G1805" s="142"/>
      <c r="H1805" s="142">
        <v>57.26</v>
      </c>
      <c r="I1805" s="192">
        <v>905</v>
      </c>
    </row>
    <row r="1806" spans="1:9" x14ac:dyDescent="0.65">
      <c r="A1806" s="188">
        <v>40784</v>
      </c>
      <c r="B1806" s="35" t="s">
        <v>1610</v>
      </c>
      <c r="C1806" t="s">
        <v>1530</v>
      </c>
      <c r="D1806" t="s">
        <v>451</v>
      </c>
      <c r="E1806" s="141">
        <v>1</v>
      </c>
      <c r="F1806" s="141">
        <v>90.68</v>
      </c>
      <c r="G1806" s="142"/>
      <c r="H1806" s="142">
        <v>90.68</v>
      </c>
      <c r="I1806" s="192">
        <v>905</v>
      </c>
    </row>
    <row r="1807" spans="1:9" x14ac:dyDescent="0.65">
      <c r="A1807" s="188">
        <v>40812</v>
      </c>
      <c r="B1807" s="35" t="s">
        <v>1611</v>
      </c>
      <c r="C1807" t="s">
        <v>1530</v>
      </c>
      <c r="D1807" t="s">
        <v>451</v>
      </c>
      <c r="E1807" s="141">
        <v>1</v>
      </c>
      <c r="F1807" s="141">
        <v>54.46</v>
      </c>
      <c r="G1807" s="142"/>
      <c r="H1807" s="142">
        <v>54.46</v>
      </c>
      <c r="I1807" s="192">
        <v>905</v>
      </c>
    </row>
    <row r="1808" spans="1:9" x14ac:dyDescent="0.65">
      <c r="A1808" s="188">
        <v>40821</v>
      </c>
      <c r="B1808" s="35" t="s">
        <v>1612</v>
      </c>
      <c r="C1808" t="s">
        <v>1530</v>
      </c>
      <c r="D1808" t="s">
        <v>451</v>
      </c>
      <c r="E1808" s="141">
        <v>1</v>
      </c>
      <c r="F1808" s="141">
        <v>54.45</v>
      </c>
      <c r="G1808" s="142"/>
      <c r="H1808" s="142">
        <v>54.45</v>
      </c>
      <c r="I1808" s="192">
        <v>905</v>
      </c>
    </row>
    <row r="1809" spans="1:9" x14ac:dyDescent="0.65">
      <c r="A1809" s="188">
        <v>40849</v>
      </c>
      <c r="B1809" s="35" t="s">
        <v>1613</v>
      </c>
      <c r="C1809" t="s">
        <v>1530</v>
      </c>
      <c r="D1809" t="s">
        <v>451</v>
      </c>
      <c r="E1809" s="141">
        <v>1</v>
      </c>
      <c r="F1809" s="141">
        <v>110.17</v>
      </c>
      <c r="G1809" s="142"/>
      <c r="H1809" s="142">
        <v>110.17</v>
      </c>
      <c r="I1809" s="192">
        <v>905</v>
      </c>
    </row>
    <row r="1810" spans="1:9" x14ac:dyDescent="0.65">
      <c r="A1810" s="188">
        <v>40849</v>
      </c>
      <c r="B1810" s="35" t="s">
        <v>1614</v>
      </c>
      <c r="C1810" t="s">
        <v>1530</v>
      </c>
      <c r="D1810" t="s">
        <v>451</v>
      </c>
      <c r="E1810" s="141">
        <v>1</v>
      </c>
      <c r="F1810" s="141">
        <v>20.059999999999999</v>
      </c>
      <c r="G1810" s="142"/>
      <c r="H1810" s="142">
        <v>20.059999999999999</v>
      </c>
      <c r="I1810" s="192">
        <v>905</v>
      </c>
    </row>
    <row r="1811" spans="1:9" x14ac:dyDescent="0.65">
      <c r="A1811" s="189" t="s">
        <v>448</v>
      </c>
      <c r="B1811" s="183" t="s">
        <v>1615</v>
      </c>
      <c r="C1811" s="184" t="s">
        <v>448</v>
      </c>
      <c r="D1811" s="184" t="s">
        <v>448</v>
      </c>
      <c r="E1811" s="185"/>
      <c r="F1811" s="185"/>
      <c r="G1811" s="186"/>
      <c r="H1811" s="186">
        <v>4558.8360000000002</v>
      </c>
      <c r="I1811" s="193" t="s">
        <v>1767</v>
      </c>
    </row>
    <row r="1812" spans="1:9" x14ac:dyDescent="0.65">
      <c r="A1812" s="188" t="s">
        <v>448</v>
      </c>
      <c r="B1812" s="35" t="s">
        <v>448</v>
      </c>
      <c r="C1812" t="s">
        <v>448</v>
      </c>
      <c r="D1812" t="s">
        <v>448</v>
      </c>
      <c r="E1812" s="141"/>
      <c r="F1812" s="141"/>
      <c r="G1812" s="142"/>
      <c r="H1812" s="142"/>
      <c r="I1812" s="191" t="s">
        <v>1767</v>
      </c>
    </row>
    <row r="1813" spans="1:9" x14ac:dyDescent="0.65">
      <c r="A1813" s="187" t="s">
        <v>448</v>
      </c>
      <c r="B1813" s="29" t="s">
        <v>1850</v>
      </c>
      <c r="C1813" s="27" t="s">
        <v>448</v>
      </c>
      <c r="D1813" s="27" t="s">
        <v>448</v>
      </c>
      <c r="E1813" s="181"/>
      <c r="F1813" s="181"/>
      <c r="G1813" s="182"/>
      <c r="H1813" s="182"/>
      <c r="I1813" s="140" t="s">
        <v>1767</v>
      </c>
    </row>
    <row r="1814" spans="1:9" x14ac:dyDescent="0.65">
      <c r="A1814" s="188">
        <v>40680</v>
      </c>
      <c r="B1814" s="35" t="s">
        <v>1616</v>
      </c>
      <c r="C1814" t="s">
        <v>1617</v>
      </c>
      <c r="D1814" t="s">
        <v>451</v>
      </c>
      <c r="E1814" s="141">
        <v>1</v>
      </c>
      <c r="F1814" s="141">
        <v>189.81</v>
      </c>
      <c r="G1814" s="142"/>
      <c r="H1814" s="142">
        <v>189.81</v>
      </c>
      <c r="I1814" s="192">
        <v>907</v>
      </c>
    </row>
    <row r="1815" spans="1:9" x14ac:dyDescent="0.65">
      <c r="A1815" s="188">
        <v>40681</v>
      </c>
      <c r="B1815" s="35" t="s">
        <v>7</v>
      </c>
      <c r="C1815" t="s">
        <v>7</v>
      </c>
      <c r="D1815" t="s">
        <v>18</v>
      </c>
      <c r="E1815" s="141">
        <v>4</v>
      </c>
      <c r="F1815" s="141">
        <v>32.200000000000003</v>
      </c>
      <c r="G1815" s="142"/>
      <c r="H1815" s="142">
        <v>128.80000000000001</v>
      </c>
      <c r="I1815" s="192">
        <v>907</v>
      </c>
    </row>
    <row r="1816" spans="1:9" x14ac:dyDescent="0.65">
      <c r="A1816" s="188">
        <v>40681</v>
      </c>
      <c r="B1816" s="35" t="s">
        <v>7</v>
      </c>
      <c r="C1816" t="s">
        <v>7</v>
      </c>
      <c r="D1816" t="s">
        <v>18</v>
      </c>
      <c r="E1816" s="141">
        <v>8</v>
      </c>
      <c r="F1816" s="141">
        <v>39.39</v>
      </c>
      <c r="G1816" s="142"/>
      <c r="H1816" s="142">
        <v>315.12</v>
      </c>
      <c r="I1816" s="192">
        <v>907</v>
      </c>
    </row>
    <row r="1817" spans="1:9" x14ac:dyDescent="0.65">
      <c r="A1817" s="188">
        <v>40681</v>
      </c>
      <c r="B1817" s="35" t="s">
        <v>1618</v>
      </c>
      <c r="C1817" t="s">
        <v>1619</v>
      </c>
      <c r="D1817" t="s">
        <v>451</v>
      </c>
      <c r="E1817" s="141">
        <v>1</v>
      </c>
      <c r="F1817" s="141">
        <v>665</v>
      </c>
      <c r="G1817" s="142"/>
      <c r="H1817" s="142">
        <v>665</v>
      </c>
      <c r="I1817" s="192">
        <v>907</v>
      </c>
    </row>
    <row r="1818" spans="1:9" x14ac:dyDescent="0.65">
      <c r="A1818" s="188">
        <v>40681</v>
      </c>
      <c r="B1818" s="35" t="s">
        <v>7</v>
      </c>
      <c r="C1818" t="s">
        <v>7</v>
      </c>
      <c r="D1818" t="s">
        <v>18</v>
      </c>
      <c r="E1818" s="141">
        <v>4</v>
      </c>
      <c r="F1818" s="141">
        <v>30</v>
      </c>
      <c r="G1818" s="142"/>
      <c r="H1818" s="142">
        <v>120</v>
      </c>
      <c r="I1818" s="192">
        <v>907</v>
      </c>
    </row>
    <row r="1819" spans="1:9" x14ac:dyDescent="0.65">
      <c r="A1819" s="188">
        <v>40681</v>
      </c>
      <c r="B1819" s="35" t="s">
        <v>1344</v>
      </c>
      <c r="C1819" t="s">
        <v>1345</v>
      </c>
      <c r="D1819" t="s">
        <v>18</v>
      </c>
      <c r="E1819" s="141">
        <v>3</v>
      </c>
      <c r="F1819" s="141">
        <v>80</v>
      </c>
      <c r="G1819" s="142"/>
      <c r="H1819" s="142">
        <v>240</v>
      </c>
      <c r="I1819" s="192">
        <v>907</v>
      </c>
    </row>
    <row r="1820" spans="1:9" x14ac:dyDescent="0.65">
      <c r="A1820" s="188">
        <v>40686</v>
      </c>
      <c r="B1820" s="35" t="s">
        <v>1339</v>
      </c>
      <c r="C1820" t="s">
        <v>1340</v>
      </c>
      <c r="D1820" t="s">
        <v>451</v>
      </c>
      <c r="E1820" s="141">
        <v>3</v>
      </c>
      <c r="F1820" s="141">
        <v>89</v>
      </c>
      <c r="G1820" s="142"/>
      <c r="H1820" s="142">
        <v>267</v>
      </c>
      <c r="I1820" s="192">
        <v>907</v>
      </c>
    </row>
    <row r="1821" spans="1:9" x14ac:dyDescent="0.65">
      <c r="A1821" s="188">
        <v>40687</v>
      </c>
      <c r="B1821" s="35" t="s">
        <v>1620</v>
      </c>
      <c r="C1821" t="s">
        <v>1619</v>
      </c>
      <c r="D1821" t="s">
        <v>451</v>
      </c>
      <c r="E1821" s="141">
        <v>1</v>
      </c>
      <c r="F1821" s="141">
        <v>500</v>
      </c>
      <c r="G1821" s="142"/>
      <c r="H1821" s="142">
        <v>500</v>
      </c>
      <c r="I1821" s="192">
        <v>907</v>
      </c>
    </row>
    <row r="1822" spans="1:9" x14ac:dyDescent="0.65">
      <c r="A1822" s="188">
        <v>40708</v>
      </c>
      <c r="B1822" s="35" t="s">
        <v>1621</v>
      </c>
      <c r="C1822" t="s">
        <v>1376</v>
      </c>
      <c r="D1822" t="s">
        <v>18</v>
      </c>
      <c r="E1822" s="141">
        <v>1</v>
      </c>
      <c r="F1822" s="141">
        <v>225</v>
      </c>
      <c r="G1822" s="142"/>
      <c r="H1822" s="142">
        <v>225</v>
      </c>
      <c r="I1822" s="192">
        <v>907</v>
      </c>
    </row>
    <row r="1823" spans="1:9" x14ac:dyDescent="0.65">
      <c r="A1823" s="188">
        <v>40714</v>
      </c>
      <c r="B1823" s="35" t="s">
        <v>1622</v>
      </c>
      <c r="C1823" t="s">
        <v>1623</v>
      </c>
      <c r="D1823" t="s">
        <v>451</v>
      </c>
      <c r="E1823" s="141">
        <v>1</v>
      </c>
      <c r="F1823" s="141">
        <v>154.5</v>
      </c>
      <c r="G1823" s="142"/>
      <c r="H1823" s="142">
        <v>154.5</v>
      </c>
      <c r="I1823" s="192">
        <v>907</v>
      </c>
    </row>
    <row r="1824" spans="1:9" x14ac:dyDescent="0.65">
      <c r="A1824" s="188">
        <v>40714</v>
      </c>
      <c r="B1824" s="35" t="s">
        <v>1624</v>
      </c>
      <c r="C1824" t="s">
        <v>1376</v>
      </c>
      <c r="D1824" t="s">
        <v>18</v>
      </c>
      <c r="E1824" s="141">
        <v>1</v>
      </c>
      <c r="F1824" s="141">
        <v>249.55</v>
      </c>
      <c r="G1824" s="142"/>
      <c r="H1824" s="142">
        <v>249.55</v>
      </c>
      <c r="I1824" s="192">
        <v>907</v>
      </c>
    </row>
    <row r="1825" spans="1:9" x14ac:dyDescent="0.65">
      <c r="A1825" s="188">
        <v>40724</v>
      </c>
      <c r="B1825" s="35" t="s">
        <v>1625</v>
      </c>
      <c r="C1825" t="s">
        <v>1619</v>
      </c>
      <c r="D1825" t="s">
        <v>451</v>
      </c>
      <c r="E1825" s="141">
        <v>1</v>
      </c>
      <c r="F1825" s="141">
        <v>1000</v>
      </c>
      <c r="G1825" s="142"/>
      <c r="H1825" s="142">
        <v>1000</v>
      </c>
      <c r="I1825" s="192">
        <v>907</v>
      </c>
    </row>
    <row r="1826" spans="1:9" x14ac:dyDescent="0.65">
      <c r="A1826" s="188">
        <v>40724</v>
      </c>
      <c r="B1826" s="35" t="s">
        <v>1626</v>
      </c>
      <c r="C1826" t="s">
        <v>1357</v>
      </c>
      <c r="D1826" t="s">
        <v>451</v>
      </c>
      <c r="E1826" s="141">
        <v>1</v>
      </c>
      <c r="F1826" s="141">
        <v>200</v>
      </c>
      <c r="G1826" s="142"/>
      <c r="H1826" s="142">
        <v>200</v>
      </c>
      <c r="I1826" s="192">
        <v>907</v>
      </c>
    </row>
    <row r="1827" spans="1:9" x14ac:dyDescent="0.65">
      <c r="A1827" s="188">
        <v>40724</v>
      </c>
      <c r="B1827" s="35" t="s">
        <v>1627</v>
      </c>
      <c r="C1827" t="s">
        <v>1619</v>
      </c>
      <c r="D1827" t="s">
        <v>451</v>
      </c>
      <c r="E1827" s="141">
        <v>1</v>
      </c>
      <c r="F1827" s="141">
        <v>80</v>
      </c>
      <c r="G1827" s="142"/>
      <c r="H1827" s="142">
        <v>80</v>
      </c>
      <c r="I1827" s="192">
        <v>907</v>
      </c>
    </row>
    <row r="1828" spans="1:9" x14ac:dyDescent="0.65">
      <c r="A1828" s="188">
        <v>40758</v>
      </c>
      <c r="B1828" s="35" t="s">
        <v>1628</v>
      </c>
      <c r="C1828" t="s">
        <v>1619</v>
      </c>
      <c r="D1828" t="s">
        <v>451</v>
      </c>
      <c r="E1828" s="141">
        <v>1</v>
      </c>
      <c r="F1828" s="141">
        <v>260</v>
      </c>
      <c r="G1828" s="142"/>
      <c r="H1828" s="142">
        <v>260</v>
      </c>
      <c r="I1828" s="192">
        <v>907</v>
      </c>
    </row>
    <row r="1829" spans="1:9" x14ac:dyDescent="0.65">
      <c r="A1829" s="188">
        <v>40819</v>
      </c>
      <c r="B1829" s="35" t="s">
        <v>7</v>
      </c>
      <c r="C1829" t="s">
        <v>7</v>
      </c>
      <c r="D1829" t="s">
        <v>18</v>
      </c>
      <c r="E1829" s="141">
        <v>3.5</v>
      </c>
      <c r="F1829" s="141">
        <v>35.35</v>
      </c>
      <c r="G1829" s="142"/>
      <c r="H1829" s="142">
        <v>123.72499999999999</v>
      </c>
      <c r="I1829" s="192">
        <v>907</v>
      </c>
    </row>
    <row r="1830" spans="1:9" x14ac:dyDescent="0.65">
      <c r="A1830" s="188">
        <v>40819</v>
      </c>
      <c r="B1830" s="35" t="s">
        <v>1336</v>
      </c>
      <c r="C1830" t="s">
        <v>1342</v>
      </c>
      <c r="D1830" t="s">
        <v>18</v>
      </c>
      <c r="E1830" s="141">
        <v>6</v>
      </c>
      <c r="F1830" s="141">
        <v>90</v>
      </c>
      <c r="G1830" s="142"/>
      <c r="H1830" s="142">
        <v>540</v>
      </c>
      <c r="I1830" s="192">
        <v>907</v>
      </c>
    </row>
    <row r="1831" spans="1:9" x14ac:dyDescent="0.65">
      <c r="A1831" s="188">
        <v>40819</v>
      </c>
      <c r="B1831" s="35" t="s">
        <v>7</v>
      </c>
      <c r="C1831" t="s">
        <v>7</v>
      </c>
      <c r="D1831" t="s">
        <v>18</v>
      </c>
      <c r="E1831" s="141">
        <v>3.5</v>
      </c>
      <c r="F1831" s="141">
        <v>35.35</v>
      </c>
      <c r="G1831" s="142"/>
      <c r="H1831" s="142">
        <v>123.72499999999999</v>
      </c>
      <c r="I1831" s="192">
        <v>907</v>
      </c>
    </row>
    <row r="1832" spans="1:9" x14ac:dyDescent="0.65">
      <c r="A1832" s="188">
        <v>40820</v>
      </c>
      <c r="B1832" s="35" t="s">
        <v>1347</v>
      </c>
      <c r="C1832" t="s">
        <v>1348</v>
      </c>
      <c r="D1832" t="s">
        <v>18</v>
      </c>
      <c r="E1832" s="141">
        <v>3</v>
      </c>
      <c r="F1832" s="141">
        <v>90</v>
      </c>
      <c r="G1832" s="142"/>
      <c r="H1832" s="142">
        <v>270</v>
      </c>
      <c r="I1832" s="192">
        <v>907</v>
      </c>
    </row>
    <row r="1833" spans="1:9" x14ac:dyDescent="0.65">
      <c r="A1833" s="188">
        <v>40820</v>
      </c>
      <c r="B1833" s="35" t="s">
        <v>7</v>
      </c>
      <c r="C1833" t="s">
        <v>7</v>
      </c>
      <c r="D1833" t="s">
        <v>18</v>
      </c>
      <c r="E1833" s="141">
        <v>3.5</v>
      </c>
      <c r="F1833" s="141">
        <v>35.35</v>
      </c>
      <c r="G1833" s="142"/>
      <c r="H1833" s="142">
        <v>123.72499999999999</v>
      </c>
      <c r="I1833" s="192">
        <v>907</v>
      </c>
    </row>
    <row r="1834" spans="1:9" x14ac:dyDescent="0.65">
      <c r="A1834" s="188">
        <v>40820</v>
      </c>
      <c r="B1834" s="35" t="s">
        <v>7</v>
      </c>
      <c r="C1834" t="s">
        <v>7</v>
      </c>
      <c r="D1834" t="s">
        <v>18</v>
      </c>
      <c r="E1834" s="141">
        <v>5.5</v>
      </c>
      <c r="F1834" s="141">
        <v>35.35</v>
      </c>
      <c r="G1834" s="142"/>
      <c r="H1834" s="142">
        <v>194.42500000000001</v>
      </c>
      <c r="I1834" s="192">
        <v>907</v>
      </c>
    </row>
    <row r="1835" spans="1:9" x14ac:dyDescent="0.65">
      <c r="A1835" s="188">
        <v>40821</v>
      </c>
      <c r="B1835" s="35" t="s">
        <v>7</v>
      </c>
      <c r="C1835" t="s">
        <v>7</v>
      </c>
      <c r="D1835" t="s">
        <v>18</v>
      </c>
      <c r="E1835" s="141">
        <v>3.5</v>
      </c>
      <c r="F1835" s="141">
        <v>35.35</v>
      </c>
      <c r="G1835" s="142"/>
      <c r="H1835" s="142">
        <v>123.72499999999999</v>
      </c>
      <c r="I1835" s="192">
        <v>907</v>
      </c>
    </row>
    <row r="1836" spans="1:9" x14ac:dyDescent="0.65">
      <c r="A1836" s="188">
        <v>40821</v>
      </c>
      <c r="B1836" s="35" t="s">
        <v>7</v>
      </c>
      <c r="C1836" t="s">
        <v>7</v>
      </c>
      <c r="D1836" t="s">
        <v>18</v>
      </c>
      <c r="E1836" s="141">
        <v>3.5</v>
      </c>
      <c r="F1836" s="141">
        <v>35.35</v>
      </c>
      <c r="G1836" s="142"/>
      <c r="H1836" s="142">
        <v>123.72499999999999</v>
      </c>
      <c r="I1836" s="192">
        <v>907</v>
      </c>
    </row>
    <row r="1837" spans="1:9" x14ac:dyDescent="0.65">
      <c r="A1837" s="188">
        <v>40821</v>
      </c>
      <c r="B1837" s="35" t="s">
        <v>1336</v>
      </c>
      <c r="C1837" t="s">
        <v>1342</v>
      </c>
      <c r="D1837" t="s">
        <v>18</v>
      </c>
      <c r="E1837" s="141">
        <v>6</v>
      </c>
      <c r="F1837" s="141">
        <v>90</v>
      </c>
      <c r="G1837" s="142"/>
      <c r="H1837" s="142">
        <v>540</v>
      </c>
      <c r="I1837" s="192">
        <v>907</v>
      </c>
    </row>
    <row r="1838" spans="1:9" x14ac:dyDescent="0.65">
      <c r="A1838" s="188">
        <v>40821</v>
      </c>
      <c r="B1838" s="35" t="s">
        <v>1344</v>
      </c>
      <c r="C1838" t="s">
        <v>1345</v>
      </c>
      <c r="D1838" t="s">
        <v>18</v>
      </c>
      <c r="E1838" s="141">
        <v>2</v>
      </c>
      <c r="F1838" s="141">
        <v>80</v>
      </c>
      <c r="G1838" s="142"/>
      <c r="H1838" s="142">
        <v>160</v>
      </c>
      <c r="I1838" s="192">
        <v>907</v>
      </c>
    </row>
    <row r="1839" spans="1:9" x14ac:dyDescent="0.65">
      <c r="A1839" s="188">
        <v>40822</v>
      </c>
      <c r="B1839" s="35" t="s">
        <v>7</v>
      </c>
      <c r="C1839" t="s">
        <v>7</v>
      </c>
      <c r="D1839" t="s">
        <v>18</v>
      </c>
      <c r="E1839" s="141">
        <v>2</v>
      </c>
      <c r="F1839" s="141">
        <v>35.35</v>
      </c>
      <c r="G1839" s="142"/>
      <c r="H1839" s="142">
        <v>70.7</v>
      </c>
      <c r="I1839" s="192">
        <v>907</v>
      </c>
    </row>
    <row r="1840" spans="1:9" x14ac:dyDescent="0.65">
      <c r="A1840" s="188">
        <v>40822</v>
      </c>
      <c r="B1840" s="35" t="s">
        <v>7</v>
      </c>
      <c r="C1840" t="s">
        <v>7</v>
      </c>
      <c r="D1840" t="s">
        <v>18</v>
      </c>
      <c r="E1840" s="141">
        <v>2</v>
      </c>
      <c r="F1840" s="141">
        <v>35.35</v>
      </c>
      <c r="G1840" s="142"/>
      <c r="H1840" s="142">
        <v>70.7</v>
      </c>
      <c r="I1840" s="192">
        <v>907</v>
      </c>
    </row>
    <row r="1841" spans="1:9" x14ac:dyDescent="0.65">
      <c r="A1841" s="188">
        <v>40822</v>
      </c>
      <c r="B1841" s="35" t="s">
        <v>1347</v>
      </c>
      <c r="C1841" t="s">
        <v>1348</v>
      </c>
      <c r="D1841" t="s">
        <v>18</v>
      </c>
      <c r="E1841" s="141">
        <v>5.5</v>
      </c>
      <c r="F1841" s="141">
        <v>90</v>
      </c>
      <c r="G1841" s="142"/>
      <c r="H1841" s="142">
        <v>495</v>
      </c>
      <c r="I1841" s="192">
        <v>907</v>
      </c>
    </row>
    <row r="1842" spans="1:9" x14ac:dyDescent="0.65">
      <c r="A1842" s="188">
        <v>40823</v>
      </c>
      <c r="B1842" s="35" t="s">
        <v>7</v>
      </c>
      <c r="C1842" t="s">
        <v>7</v>
      </c>
      <c r="D1842" t="s">
        <v>18</v>
      </c>
      <c r="E1842" s="141">
        <v>2</v>
      </c>
      <c r="F1842" s="141">
        <v>35.35</v>
      </c>
      <c r="G1842" s="142"/>
      <c r="H1842" s="142">
        <v>70.7</v>
      </c>
      <c r="I1842" s="192">
        <v>907</v>
      </c>
    </row>
    <row r="1843" spans="1:9" x14ac:dyDescent="0.65">
      <c r="A1843" s="188">
        <v>40823</v>
      </c>
      <c r="B1843" s="35" t="s">
        <v>7</v>
      </c>
      <c r="C1843" t="s">
        <v>7</v>
      </c>
      <c r="D1843" t="s">
        <v>18</v>
      </c>
      <c r="E1843" s="141">
        <v>2</v>
      </c>
      <c r="F1843" s="141">
        <v>35.35</v>
      </c>
      <c r="G1843" s="142"/>
      <c r="H1843" s="142">
        <v>70.7</v>
      </c>
      <c r="I1843" s="192">
        <v>907</v>
      </c>
    </row>
    <row r="1844" spans="1:9" x14ac:dyDescent="0.65">
      <c r="A1844" s="188">
        <v>40846</v>
      </c>
      <c r="B1844" s="35" t="s">
        <v>1629</v>
      </c>
      <c r="C1844" t="s">
        <v>1619</v>
      </c>
      <c r="D1844" t="s">
        <v>451</v>
      </c>
      <c r="E1844" s="141">
        <v>2</v>
      </c>
      <c r="F1844" s="141">
        <v>136.36500000000001</v>
      </c>
      <c r="G1844" s="142"/>
      <c r="H1844" s="142">
        <v>272.73</v>
      </c>
      <c r="I1844" s="192">
        <v>907</v>
      </c>
    </row>
    <row r="1845" spans="1:9" x14ac:dyDescent="0.65">
      <c r="A1845" s="188">
        <v>40846</v>
      </c>
      <c r="B1845" s="35" t="s">
        <v>1630</v>
      </c>
      <c r="C1845" t="s">
        <v>1619</v>
      </c>
      <c r="D1845" t="s">
        <v>451</v>
      </c>
      <c r="E1845" s="141">
        <v>2</v>
      </c>
      <c r="F1845" s="141">
        <v>130</v>
      </c>
      <c r="G1845" s="142"/>
      <c r="H1845" s="142">
        <v>260</v>
      </c>
      <c r="I1845" s="192">
        <v>907</v>
      </c>
    </row>
    <row r="1846" spans="1:9" x14ac:dyDescent="0.65">
      <c r="A1846" s="188">
        <v>40877</v>
      </c>
      <c r="B1846" s="35" t="s">
        <v>1631</v>
      </c>
      <c r="C1846" t="s">
        <v>1489</v>
      </c>
      <c r="D1846" t="s">
        <v>451</v>
      </c>
      <c r="E1846" s="141">
        <v>1</v>
      </c>
      <c r="F1846" s="141">
        <v>500</v>
      </c>
      <c r="G1846" s="142"/>
      <c r="H1846" s="142">
        <v>500</v>
      </c>
      <c r="I1846" s="192">
        <v>907</v>
      </c>
    </row>
    <row r="1847" spans="1:9" x14ac:dyDescent="0.65">
      <c r="A1847" s="189" t="s">
        <v>448</v>
      </c>
      <c r="B1847" s="183" t="s">
        <v>1632</v>
      </c>
      <c r="C1847" s="184" t="s">
        <v>448</v>
      </c>
      <c r="D1847" s="184" t="s">
        <v>448</v>
      </c>
      <c r="E1847" s="185"/>
      <c r="F1847" s="185"/>
      <c r="G1847" s="186"/>
      <c r="H1847" s="186">
        <v>8728.36</v>
      </c>
      <c r="I1847" s="193" t="s">
        <v>1767</v>
      </c>
    </row>
    <row r="1848" spans="1:9" x14ac:dyDescent="0.65">
      <c r="A1848" s="188" t="s">
        <v>448</v>
      </c>
      <c r="B1848" s="35" t="s">
        <v>448</v>
      </c>
      <c r="C1848" t="s">
        <v>448</v>
      </c>
      <c r="D1848" t="s">
        <v>448</v>
      </c>
      <c r="E1848" s="141"/>
      <c r="F1848" s="141"/>
      <c r="G1848" s="142"/>
      <c r="H1848" s="142"/>
      <c r="I1848" s="191" t="s">
        <v>1767</v>
      </c>
    </row>
    <row r="1849" spans="1:9" x14ac:dyDescent="0.65">
      <c r="A1849" s="187" t="s">
        <v>448</v>
      </c>
      <c r="B1849" s="29" t="s">
        <v>1851</v>
      </c>
      <c r="C1849" s="27" t="s">
        <v>448</v>
      </c>
      <c r="D1849" s="27" t="s">
        <v>448</v>
      </c>
      <c r="E1849" s="181"/>
      <c r="F1849" s="181"/>
      <c r="G1849" s="182"/>
      <c r="H1849" s="182"/>
      <c r="I1849" s="140" t="s">
        <v>1767</v>
      </c>
    </row>
    <row r="1850" spans="1:9" ht="28.5" x14ac:dyDescent="0.65">
      <c r="A1850" s="188">
        <v>40820</v>
      </c>
      <c r="B1850" s="35" t="s">
        <v>1565</v>
      </c>
      <c r="C1850" t="s">
        <v>1543</v>
      </c>
      <c r="D1850" t="s">
        <v>451</v>
      </c>
      <c r="E1850" s="141">
        <v>1</v>
      </c>
      <c r="F1850" s="141">
        <v>80</v>
      </c>
      <c r="G1850" s="142"/>
      <c r="H1850" s="142">
        <v>80</v>
      </c>
      <c r="I1850" s="192">
        <v>910</v>
      </c>
    </row>
    <row r="1851" spans="1:9" x14ac:dyDescent="0.65">
      <c r="A1851" s="188">
        <v>40821</v>
      </c>
      <c r="B1851" s="35" t="s">
        <v>1347</v>
      </c>
      <c r="C1851" t="s">
        <v>1348</v>
      </c>
      <c r="D1851" t="s">
        <v>18</v>
      </c>
      <c r="E1851" s="141">
        <v>3</v>
      </c>
      <c r="F1851" s="141">
        <v>90</v>
      </c>
      <c r="G1851" s="142"/>
      <c r="H1851" s="142">
        <v>270</v>
      </c>
      <c r="I1851" s="192">
        <v>910</v>
      </c>
    </row>
    <row r="1852" spans="1:9" x14ac:dyDescent="0.65">
      <c r="A1852" s="188">
        <v>40852</v>
      </c>
      <c r="B1852" s="35" t="s">
        <v>7</v>
      </c>
      <c r="C1852" t="s">
        <v>7</v>
      </c>
      <c r="D1852" t="s">
        <v>18</v>
      </c>
      <c r="E1852" s="141">
        <v>3</v>
      </c>
      <c r="F1852" s="141">
        <v>35.35</v>
      </c>
      <c r="G1852" s="142"/>
      <c r="H1852" s="142">
        <v>106.05</v>
      </c>
      <c r="I1852" s="192">
        <v>910</v>
      </c>
    </row>
    <row r="1853" spans="1:9" x14ac:dyDescent="0.65">
      <c r="A1853" s="188">
        <v>40854</v>
      </c>
      <c r="B1853" s="35" t="s">
        <v>1423</v>
      </c>
      <c r="C1853" t="s">
        <v>7</v>
      </c>
      <c r="D1853" t="s">
        <v>18</v>
      </c>
      <c r="E1853" s="141">
        <v>10.5</v>
      </c>
      <c r="F1853" s="141">
        <v>95</v>
      </c>
      <c r="G1853" s="142"/>
      <c r="H1853" s="142">
        <v>997.5</v>
      </c>
      <c r="I1853" s="192">
        <v>910</v>
      </c>
    </row>
    <row r="1854" spans="1:9" x14ac:dyDescent="0.65">
      <c r="A1854" s="188">
        <v>40854</v>
      </c>
      <c r="B1854" s="35" t="s">
        <v>1425</v>
      </c>
      <c r="C1854" t="s">
        <v>7</v>
      </c>
      <c r="D1854" t="s">
        <v>18</v>
      </c>
      <c r="E1854" s="141">
        <v>9</v>
      </c>
      <c r="F1854" s="141">
        <v>35.35</v>
      </c>
      <c r="G1854" s="142"/>
      <c r="H1854" s="142">
        <v>318.14999999999998</v>
      </c>
      <c r="I1854" s="192">
        <v>910</v>
      </c>
    </row>
    <row r="1855" spans="1:9" x14ac:dyDescent="0.65">
      <c r="A1855" s="188">
        <v>40854</v>
      </c>
      <c r="B1855" s="35" t="s">
        <v>1424</v>
      </c>
      <c r="C1855" t="s">
        <v>7</v>
      </c>
      <c r="D1855" t="s">
        <v>18</v>
      </c>
      <c r="E1855" s="141">
        <v>3</v>
      </c>
      <c r="F1855" s="141">
        <v>35.35</v>
      </c>
      <c r="G1855" s="142"/>
      <c r="H1855" s="142">
        <v>106.05</v>
      </c>
      <c r="I1855" s="192">
        <v>910</v>
      </c>
    </row>
    <row r="1856" spans="1:9" x14ac:dyDescent="0.65">
      <c r="A1856" s="188">
        <v>40854</v>
      </c>
      <c r="B1856" s="35" t="s">
        <v>1633</v>
      </c>
      <c r="C1856" t="s">
        <v>7</v>
      </c>
      <c r="D1856" t="s">
        <v>18</v>
      </c>
      <c r="E1856" s="141">
        <v>6</v>
      </c>
      <c r="F1856" s="141">
        <v>44.2</v>
      </c>
      <c r="G1856" s="142"/>
      <c r="H1856" s="142">
        <v>265.2</v>
      </c>
      <c r="I1856" s="192">
        <v>910</v>
      </c>
    </row>
    <row r="1857" spans="1:9" x14ac:dyDescent="0.65">
      <c r="A1857" s="188">
        <v>40854</v>
      </c>
      <c r="B1857" s="35" t="s">
        <v>7</v>
      </c>
      <c r="C1857" t="s">
        <v>7</v>
      </c>
      <c r="D1857" t="s">
        <v>18</v>
      </c>
      <c r="E1857" s="141">
        <v>9</v>
      </c>
      <c r="F1857" s="141">
        <v>35.35</v>
      </c>
      <c r="G1857" s="142"/>
      <c r="H1857" s="142">
        <v>318.14999999999998</v>
      </c>
      <c r="I1857" s="192">
        <v>910</v>
      </c>
    </row>
    <row r="1858" spans="1:9" x14ac:dyDescent="0.65">
      <c r="A1858" s="188">
        <v>40854</v>
      </c>
      <c r="B1858" s="35" t="s">
        <v>7</v>
      </c>
      <c r="C1858" t="s">
        <v>7</v>
      </c>
      <c r="D1858" t="s">
        <v>18</v>
      </c>
      <c r="E1858" s="141">
        <v>9</v>
      </c>
      <c r="F1858" s="141">
        <v>35.35</v>
      </c>
      <c r="G1858" s="142"/>
      <c r="H1858" s="142">
        <v>318.14999999999998</v>
      </c>
      <c r="I1858" s="192">
        <v>910</v>
      </c>
    </row>
    <row r="1859" spans="1:9" x14ac:dyDescent="0.65">
      <c r="A1859" s="188">
        <v>40854</v>
      </c>
      <c r="B1859" s="35" t="s">
        <v>7</v>
      </c>
      <c r="C1859" t="s">
        <v>7</v>
      </c>
      <c r="D1859" t="s">
        <v>18</v>
      </c>
      <c r="E1859" s="141">
        <v>9</v>
      </c>
      <c r="F1859" s="141">
        <v>35.35</v>
      </c>
      <c r="G1859" s="142"/>
      <c r="H1859" s="142">
        <v>318.14999999999998</v>
      </c>
      <c r="I1859" s="192">
        <v>910</v>
      </c>
    </row>
    <row r="1860" spans="1:9" x14ac:dyDescent="0.65">
      <c r="A1860" s="188">
        <v>40857</v>
      </c>
      <c r="B1860" s="35" t="s">
        <v>1344</v>
      </c>
      <c r="C1860" t="s">
        <v>1345</v>
      </c>
      <c r="D1860" t="s">
        <v>18</v>
      </c>
      <c r="E1860" s="141">
        <v>2</v>
      </c>
      <c r="F1860" s="141">
        <v>80</v>
      </c>
      <c r="G1860" s="142"/>
      <c r="H1860" s="142">
        <v>160</v>
      </c>
      <c r="I1860" s="192">
        <v>910</v>
      </c>
    </row>
    <row r="1861" spans="1:9" x14ac:dyDescent="0.65">
      <c r="A1861" s="188">
        <v>40857</v>
      </c>
      <c r="B1861" s="35" t="s">
        <v>1423</v>
      </c>
      <c r="C1861" t="s">
        <v>7</v>
      </c>
      <c r="D1861" t="s">
        <v>18</v>
      </c>
      <c r="E1861" s="141">
        <v>6.5</v>
      </c>
      <c r="F1861" s="141">
        <v>95</v>
      </c>
      <c r="G1861" s="142"/>
      <c r="H1861" s="142">
        <v>617.5</v>
      </c>
      <c r="I1861" s="192">
        <v>910</v>
      </c>
    </row>
    <row r="1862" spans="1:9" x14ac:dyDescent="0.65">
      <c r="A1862" s="189" t="s">
        <v>448</v>
      </c>
      <c r="B1862" s="183" t="s">
        <v>1634</v>
      </c>
      <c r="C1862" s="184" t="s">
        <v>448</v>
      </c>
      <c r="D1862" s="184" t="s">
        <v>448</v>
      </c>
      <c r="E1862" s="185"/>
      <c r="F1862" s="185"/>
      <c r="G1862" s="186"/>
      <c r="H1862" s="186">
        <v>3874.9</v>
      </c>
      <c r="I1862" s="193" t="s">
        <v>1767</v>
      </c>
    </row>
    <row r="1863" spans="1:9" x14ac:dyDescent="0.65">
      <c r="A1863" s="188" t="s">
        <v>448</v>
      </c>
      <c r="B1863" s="35" t="s">
        <v>448</v>
      </c>
      <c r="C1863" t="s">
        <v>448</v>
      </c>
      <c r="D1863" t="s">
        <v>448</v>
      </c>
      <c r="E1863" s="141"/>
      <c r="F1863" s="141"/>
      <c r="G1863" s="142"/>
      <c r="H1863" s="142"/>
      <c r="I1863" s="191" t="s">
        <v>1767</v>
      </c>
    </row>
    <row r="1864" spans="1:9" x14ac:dyDescent="0.65">
      <c r="A1864" s="187" t="s">
        <v>448</v>
      </c>
      <c r="B1864" s="29" t="s">
        <v>1852</v>
      </c>
      <c r="C1864" s="27" t="s">
        <v>448</v>
      </c>
      <c r="D1864" s="27" t="s">
        <v>448</v>
      </c>
      <c r="E1864" s="181"/>
      <c r="F1864" s="181"/>
      <c r="G1864" s="182"/>
      <c r="H1864" s="182"/>
      <c r="I1864" s="140" t="s">
        <v>1767</v>
      </c>
    </row>
    <row r="1865" spans="1:9" x14ac:dyDescent="0.65">
      <c r="A1865" s="188">
        <v>40738</v>
      </c>
      <c r="B1865" s="35" t="s">
        <v>1635</v>
      </c>
      <c r="C1865" t="s">
        <v>1636</v>
      </c>
      <c r="D1865" t="s">
        <v>451</v>
      </c>
      <c r="E1865" s="141">
        <v>1</v>
      </c>
      <c r="F1865" s="141">
        <v>288.95999999999998</v>
      </c>
      <c r="G1865" s="142"/>
      <c r="H1865" s="142">
        <v>288.95999999999998</v>
      </c>
      <c r="I1865" s="191" t="s">
        <v>946</v>
      </c>
    </row>
    <row r="1866" spans="1:9" x14ac:dyDescent="0.65">
      <c r="A1866" s="188">
        <v>40753</v>
      </c>
      <c r="B1866" s="35" t="s">
        <v>1452</v>
      </c>
      <c r="C1866" t="s">
        <v>1453</v>
      </c>
      <c r="D1866" t="s">
        <v>451</v>
      </c>
      <c r="E1866" s="141">
        <v>1</v>
      </c>
      <c r="F1866" s="141">
        <v>420</v>
      </c>
      <c r="G1866" s="142"/>
      <c r="H1866" s="142">
        <v>420</v>
      </c>
      <c r="I1866" s="191" t="s">
        <v>946</v>
      </c>
    </row>
    <row r="1867" spans="1:9" x14ac:dyDescent="0.65">
      <c r="A1867" s="188">
        <v>40772</v>
      </c>
      <c r="B1867" s="35" t="s">
        <v>1637</v>
      </c>
      <c r="C1867" t="s">
        <v>1636</v>
      </c>
      <c r="D1867" t="s">
        <v>451</v>
      </c>
      <c r="E1867" s="141">
        <v>5.4</v>
      </c>
      <c r="F1867" s="141">
        <v>168.2</v>
      </c>
      <c r="G1867" s="142"/>
      <c r="H1867" s="142">
        <v>908.28</v>
      </c>
      <c r="I1867" s="191" t="s">
        <v>946</v>
      </c>
    </row>
    <row r="1868" spans="1:9" x14ac:dyDescent="0.65">
      <c r="A1868" s="188">
        <v>40773</v>
      </c>
      <c r="B1868" s="35" t="s">
        <v>1638</v>
      </c>
      <c r="C1868" t="s">
        <v>1636</v>
      </c>
      <c r="D1868" t="s">
        <v>451</v>
      </c>
      <c r="E1868" s="141">
        <v>5.4</v>
      </c>
      <c r="F1868" s="141">
        <v>168.2</v>
      </c>
      <c r="G1868" s="142"/>
      <c r="H1868" s="142">
        <v>908.28</v>
      </c>
      <c r="I1868" s="191" t="s">
        <v>946</v>
      </c>
    </row>
    <row r="1869" spans="1:9" x14ac:dyDescent="0.65">
      <c r="A1869" s="188">
        <v>40774</v>
      </c>
      <c r="B1869" s="35" t="s">
        <v>1639</v>
      </c>
      <c r="C1869" t="s">
        <v>1636</v>
      </c>
      <c r="D1869" t="s">
        <v>451</v>
      </c>
      <c r="E1869" s="141">
        <v>5.6</v>
      </c>
      <c r="F1869" s="141">
        <v>168.2</v>
      </c>
      <c r="G1869" s="142"/>
      <c r="H1869" s="142">
        <v>941.92</v>
      </c>
      <c r="I1869" s="191" t="s">
        <v>946</v>
      </c>
    </row>
    <row r="1870" spans="1:9" x14ac:dyDescent="0.65">
      <c r="A1870" s="188">
        <v>40777</v>
      </c>
      <c r="B1870" s="35" t="s">
        <v>1640</v>
      </c>
      <c r="C1870" t="s">
        <v>1636</v>
      </c>
      <c r="D1870" t="s">
        <v>451</v>
      </c>
      <c r="E1870" s="141">
        <v>5.4</v>
      </c>
      <c r="F1870" s="141">
        <v>168.2</v>
      </c>
      <c r="G1870" s="142"/>
      <c r="H1870" s="142">
        <v>908.28</v>
      </c>
      <c r="I1870" s="191" t="s">
        <v>946</v>
      </c>
    </row>
    <row r="1871" spans="1:9" x14ac:dyDescent="0.65">
      <c r="A1871" s="188">
        <v>40778</v>
      </c>
      <c r="B1871" s="35" t="s">
        <v>1641</v>
      </c>
      <c r="C1871" t="s">
        <v>1636</v>
      </c>
      <c r="D1871" t="s">
        <v>451</v>
      </c>
      <c r="E1871" s="141">
        <v>1</v>
      </c>
      <c r="F1871" s="141">
        <v>1127.48</v>
      </c>
      <c r="G1871" s="142"/>
      <c r="H1871" s="142">
        <v>1127.48</v>
      </c>
      <c r="I1871" s="191" t="s">
        <v>946</v>
      </c>
    </row>
    <row r="1872" spans="1:9" x14ac:dyDescent="0.65">
      <c r="A1872" s="188">
        <v>40779</v>
      </c>
      <c r="B1872" s="35" t="s">
        <v>1642</v>
      </c>
      <c r="C1872" t="s">
        <v>1636</v>
      </c>
      <c r="D1872" t="s">
        <v>451</v>
      </c>
      <c r="E1872" s="141">
        <v>5.8</v>
      </c>
      <c r="F1872" s="141">
        <v>168.2</v>
      </c>
      <c r="G1872" s="142"/>
      <c r="H1872" s="142">
        <v>975.56</v>
      </c>
      <c r="I1872" s="191" t="s">
        <v>946</v>
      </c>
    </row>
    <row r="1873" spans="1:9" x14ac:dyDescent="0.65">
      <c r="A1873" s="188">
        <v>40780</v>
      </c>
      <c r="B1873" s="35" t="s">
        <v>1643</v>
      </c>
      <c r="C1873" t="s">
        <v>1636</v>
      </c>
      <c r="D1873" t="s">
        <v>451</v>
      </c>
      <c r="E1873" s="141">
        <v>1</v>
      </c>
      <c r="F1873" s="141">
        <v>1939.68</v>
      </c>
      <c r="G1873" s="142"/>
      <c r="H1873" s="142">
        <v>1939.68</v>
      </c>
      <c r="I1873" s="191" t="s">
        <v>946</v>
      </c>
    </row>
    <row r="1874" spans="1:9" x14ac:dyDescent="0.65">
      <c r="A1874" s="188">
        <v>40784</v>
      </c>
      <c r="B1874" s="35" t="s">
        <v>1644</v>
      </c>
      <c r="C1874" t="s">
        <v>1636</v>
      </c>
      <c r="D1874" t="s">
        <v>451</v>
      </c>
      <c r="E1874" s="141">
        <v>4.8</v>
      </c>
      <c r="F1874" s="141">
        <v>168.2</v>
      </c>
      <c r="G1874" s="142"/>
      <c r="H1874" s="142">
        <v>807.36</v>
      </c>
      <c r="I1874" s="191" t="s">
        <v>946</v>
      </c>
    </row>
    <row r="1875" spans="1:9" x14ac:dyDescent="0.65">
      <c r="A1875" s="188">
        <v>40792</v>
      </c>
      <c r="B1875" s="35" t="s">
        <v>1645</v>
      </c>
      <c r="C1875" t="s">
        <v>1636</v>
      </c>
      <c r="D1875" t="s">
        <v>451</v>
      </c>
      <c r="E1875" s="141">
        <v>5.8</v>
      </c>
      <c r="F1875" s="141">
        <v>168.2</v>
      </c>
      <c r="G1875" s="142"/>
      <c r="H1875" s="142">
        <v>975.56</v>
      </c>
      <c r="I1875" s="191" t="s">
        <v>946</v>
      </c>
    </row>
    <row r="1876" spans="1:9" x14ac:dyDescent="0.65">
      <c r="A1876" s="188">
        <v>40808</v>
      </c>
      <c r="B1876" s="35" t="s">
        <v>1646</v>
      </c>
      <c r="C1876" t="s">
        <v>1647</v>
      </c>
      <c r="D1876" t="s">
        <v>451</v>
      </c>
      <c r="E1876" s="141">
        <v>5</v>
      </c>
      <c r="F1876" s="141">
        <v>168.2</v>
      </c>
      <c r="G1876" s="142"/>
      <c r="H1876" s="142">
        <v>841</v>
      </c>
      <c r="I1876" s="191" t="s">
        <v>946</v>
      </c>
    </row>
    <row r="1877" spans="1:9" x14ac:dyDescent="0.65">
      <c r="A1877" s="188">
        <v>40809</v>
      </c>
      <c r="B1877" s="35" t="s">
        <v>1648</v>
      </c>
      <c r="C1877" t="s">
        <v>1636</v>
      </c>
      <c r="D1877" t="s">
        <v>451</v>
      </c>
      <c r="E1877" s="141">
        <v>8</v>
      </c>
      <c r="F1877" s="141">
        <v>168.2</v>
      </c>
      <c r="G1877" s="142"/>
      <c r="H1877" s="142">
        <v>1345.6</v>
      </c>
      <c r="I1877" s="191" t="s">
        <v>946</v>
      </c>
    </row>
    <row r="1878" spans="1:9" x14ac:dyDescent="0.65">
      <c r="A1878" s="188">
        <v>40812</v>
      </c>
      <c r="B1878" s="35" t="s">
        <v>1649</v>
      </c>
      <c r="C1878" t="s">
        <v>1647</v>
      </c>
      <c r="D1878" t="s">
        <v>451</v>
      </c>
      <c r="E1878" s="141">
        <v>5</v>
      </c>
      <c r="F1878" s="141">
        <v>168.2</v>
      </c>
      <c r="G1878" s="142"/>
      <c r="H1878" s="142">
        <v>841</v>
      </c>
      <c r="I1878" s="191" t="s">
        <v>946</v>
      </c>
    </row>
    <row r="1879" spans="1:9" x14ac:dyDescent="0.65">
      <c r="A1879" s="188">
        <v>40813</v>
      </c>
      <c r="B1879" s="35" t="s">
        <v>1650</v>
      </c>
      <c r="C1879" t="s">
        <v>1636</v>
      </c>
      <c r="D1879" t="s">
        <v>451</v>
      </c>
      <c r="E1879" s="141">
        <v>5</v>
      </c>
      <c r="F1879" s="141">
        <v>168.2</v>
      </c>
      <c r="G1879" s="142"/>
      <c r="H1879" s="142">
        <v>841</v>
      </c>
      <c r="I1879" s="191" t="s">
        <v>946</v>
      </c>
    </row>
    <row r="1880" spans="1:9" x14ac:dyDescent="0.65">
      <c r="A1880" s="188">
        <v>40814</v>
      </c>
      <c r="B1880" s="35" t="s">
        <v>1651</v>
      </c>
      <c r="C1880" t="s">
        <v>1636</v>
      </c>
      <c r="D1880" t="s">
        <v>451</v>
      </c>
      <c r="E1880" s="141">
        <v>4.5999999999999996</v>
      </c>
      <c r="F1880" s="141">
        <v>133.19999999999999</v>
      </c>
      <c r="G1880" s="142"/>
      <c r="H1880" s="142">
        <v>612.72</v>
      </c>
      <c r="I1880" s="191" t="s">
        <v>946</v>
      </c>
    </row>
    <row r="1881" spans="1:9" x14ac:dyDescent="0.65">
      <c r="A1881" s="188">
        <v>40815</v>
      </c>
      <c r="B1881" s="35" t="s">
        <v>1652</v>
      </c>
      <c r="C1881" t="s">
        <v>1636</v>
      </c>
      <c r="D1881" t="s">
        <v>451</v>
      </c>
      <c r="E1881" s="141">
        <v>3</v>
      </c>
      <c r="F1881" s="141">
        <v>168.2</v>
      </c>
      <c r="G1881" s="142"/>
      <c r="H1881" s="142">
        <v>504.6</v>
      </c>
      <c r="I1881" s="191" t="s">
        <v>946</v>
      </c>
    </row>
    <row r="1882" spans="1:9" x14ac:dyDescent="0.65">
      <c r="A1882" s="188">
        <v>40815</v>
      </c>
      <c r="B1882" s="35" t="s">
        <v>1653</v>
      </c>
      <c r="C1882" t="s">
        <v>1636</v>
      </c>
      <c r="D1882" t="s">
        <v>451</v>
      </c>
      <c r="E1882" s="141">
        <v>3</v>
      </c>
      <c r="F1882" s="141">
        <v>168.2</v>
      </c>
      <c r="G1882" s="142"/>
      <c r="H1882" s="142">
        <v>504.6</v>
      </c>
      <c r="I1882" s="191" t="s">
        <v>946</v>
      </c>
    </row>
    <row r="1883" spans="1:9" x14ac:dyDescent="0.65">
      <c r="A1883" s="188">
        <v>40816</v>
      </c>
      <c r="B1883" s="35" t="s">
        <v>448</v>
      </c>
      <c r="C1883" t="s">
        <v>1636</v>
      </c>
      <c r="D1883" t="s">
        <v>451</v>
      </c>
      <c r="E1883" s="141">
        <v>1</v>
      </c>
      <c r="F1883" s="141">
        <v>162.88</v>
      </c>
      <c r="G1883" s="142"/>
      <c r="H1883" s="142">
        <v>162.88</v>
      </c>
      <c r="I1883" s="191" t="s">
        <v>946</v>
      </c>
    </row>
    <row r="1884" spans="1:9" ht="28.5" x14ac:dyDescent="0.65">
      <c r="A1884" s="188">
        <v>40816</v>
      </c>
      <c r="B1884" s="35" t="s">
        <v>1654</v>
      </c>
      <c r="C1884" t="s">
        <v>1647</v>
      </c>
      <c r="D1884" t="s">
        <v>451</v>
      </c>
      <c r="E1884" s="141">
        <v>3.4</v>
      </c>
      <c r="F1884" s="141">
        <v>168.2</v>
      </c>
      <c r="G1884" s="142"/>
      <c r="H1884" s="142">
        <v>571.88</v>
      </c>
      <c r="I1884" s="191" t="s">
        <v>946</v>
      </c>
    </row>
    <row r="1885" spans="1:9" x14ac:dyDescent="0.65">
      <c r="A1885" s="188">
        <v>40820</v>
      </c>
      <c r="B1885" s="35" t="s">
        <v>1655</v>
      </c>
      <c r="C1885" t="s">
        <v>1647</v>
      </c>
      <c r="D1885" t="s">
        <v>451</v>
      </c>
      <c r="E1885" s="141">
        <v>3.4</v>
      </c>
      <c r="F1885" s="141">
        <v>168.2</v>
      </c>
      <c r="G1885" s="142"/>
      <c r="H1885" s="142">
        <v>571.88</v>
      </c>
      <c r="I1885" s="191" t="s">
        <v>946</v>
      </c>
    </row>
    <row r="1886" spans="1:9" x14ac:dyDescent="0.65">
      <c r="A1886" s="188">
        <v>40822</v>
      </c>
      <c r="B1886" s="35" t="s">
        <v>1656</v>
      </c>
      <c r="C1886" t="s">
        <v>1636</v>
      </c>
      <c r="D1886" t="s">
        <v>451</v>
      </c>
      <c r="E1886" s="141">
        <v>8</v>
      </c>
      <c r="F1886" s="141">
        <v>197</v>
      </c>
      <c r="G1886" s="142"/>
      <c r="H1886" s="142">
        <v>1576</v>
      </c>
      <c r="I1886" s="191" t="s">
        <v>946</v>
      </c>
    </row>
    <row r="1887" spans="1:9" x14ac:dyDescent="0.65">
      <c r="A1887" s="188">
        <v>40877</v>
      </c>
      <c r="B1887" s="35" t="s">
        <v>1657</v>
      </c>
      <c r="C1887" t="s">
        <v>1636</v>
      </c>
      <c r="D1887" t="s">
        <v>451</v>
      </c>
      <c r="E1887" s="141">
        <v>4</v>
      </c>
      <c r="F1887" s="141">
        <v>173.2</v>
      </c>
      <c r="G1887" s="142"/>
      <c r="H1887" s="142">
        <v>692.8</v>
      </c>
      <c r="I1887" s="191" t="s">
        <v>946</v>
      </c>
    </row>
    <row r="1888" spans="1:9" x14ac:dyDescent="0.65">
      <c r="A1888" s="188">
        <v>40877</v>
      </c>
      <c r="B1888" s="35" t="s">
        <v>1658</v>
      </c>
      <c r="C1888" t="s">
        <v>1636</v>
      </c>
      <c r="D1888" t="s">
        <v>451</v>
      </c>
      <c r="E1888" s="141">
        <v>3.4</v>
      </c>
      <c r="F1888" s="141">
        <v>168.2</v>
      </c>
      <c r="G1888" s="142"/>
      <c r="H1888" s="142">
        <v>571.88</v>
      </c>
      <c r="I1888" s="191" t="s">
        <v>946</v>
      </c>
    </row>
    <row r="1889" spans="1:9" x14ac:dyDescent="0.65">
      <c r="A1889" s="188">
        <v>40877</v>
      </c>
      <c r="B1889" s="35" t="s">
        <v>1659</v>
      </c>
      <c r="C1889" t="s">
        <v>1636</v>
      </c>
      <c r="D1889" t="s">
        <v>451</v>
      </c>
      <c r="E1889" s="141">
        <v>1</v>
      </c>
      <c r="F1889" s="141">
        <v>549</v>
      </c>
      <c r="G1889" s="142"/>
      <c r="H1889" s="142">
        <v>549</v>
      </c>
      <c r="I1889" s="191" t="s">
        <v>946</v>
      </c>
    </row>
    <row r="1890" spans="1:9" x14ac:dyDescent="0.65">
      <c r="A1890" s="189" t="s">
        <v>448</v>
      </c>
      <c r="B1890" s="183" t="s">
        <v>1660</v>
      </c>
      <c r="C1890" s="184" t="s">
        <v>448</v>
      </c>
      <c r="D1890" s="184" t="s">
        <v>448</v>
      </c>
      <c r="E1890" s="185"/>
      <c r="F1890" s="185"/>
      <c r="G1890" s="186"/>
      <c r="H1890" s="186">
        <v>21588.3</v>
      </c>
      <c r="I1890" s="193" t="s">
        <v>1767</v>
      </c>
    </row>
    <row r="1891" spans="1:9" x14ac:dyDescent="0.65">
      <c r="A1891" s="188" t="s">
        <v>448</v>
      </c>
      <c r="B1891" s="35" t="s">
        <v>448</v>
      </c>
      <c r="C1891" t="s">
        <v>448</v>
      </c>
      <c r="D1891" t="s">
        <v>448</v>
      </c>
      <c r="E1891" s="141"/>
      <c r="F1891" s="141"/>
      <c r="G1891" s="142"/>
      <c r="H1891" s="142"/>
      <c r="I1891" s="191" t="s">
        <v>1767</v>
      </c>
    </row>
    <row r="1892" spans="1:9" x14ac:dyDescent="0.65">
      <c r="A1892" s="187" t="s">
        <v>448</v>
      </c>
      <c r="B1892" s="29" t="s">
        <v>1853</v>
      </c>
      <c r="C1892" s="27" t="s">
        <v>448</v>
      </c>
      <c r="D1892" s="27" t="s">
        <v>448</v>
      </c>
      <c r="E1892" s="181"/>
      <c r="F1892" s="181"/>
      <c r="G1892" s="182"/>
      <c r="H1892" s="182"/>
      <c r="I1892" s="140" t="s">
        <v>1767</v>
      </c>
    </row>
    <row r="1893" spans="1:9" x14ac:dyDescent="0.65">
      <c r="A1893" s="188">
        <v>40759</v>
      </c>
      <c r="B1893" s="35" t="s">
        <v>1661</v>
      </c>
      <c r="C1893" t="s">
        <v>1662</v>
      </c>
      <c r="D1893" t="s">
        <v>451</v>
      </c>
      <c r="E1893" s="141">
        <v>1</v>
      </c>
      <c r="F1893" s="141">
        <v>358.68</v>
      </c>
      <c r="G1893" s="142"/>
      <c r="H1893" s="142">
        <v>358.68</v>
      </c>
      <c r="I1893" s="191" t="s">
        <v>957</v>
      </c>
    </row>
    <row r="1894" spans="1:9" x14ac:dyDescent="0.65">
      <c r="A1894" s="188">
        <v>40763</v>
      </c>
      <c r="B1894" s="35" t="s">
        <v>1663</v>
      </c>
      <c r="C1894" t="s">
        <v>1662</v>
      </c>
      <c r="D1894" t="s">
        <v>451</v>
      </c>
      <c r="E1894" s="141">
        <v>1</v>
      </c>
      <c r="F1894" s="141">
        <v>232.72</v>
      </c>
      <c r="G1894" s="142"/>
      <c r="H1894" s="142">
        <v>232.72</v>
      </c>
      <c r="I1894" s="191" t="s">
        <v>957</v>
      </c>
    </row>
    <row r="1895" spans="1:9" x14ac:dyDescent="0.65">
      <c r="A1895" s="188">
        <v>40765</v>
      </c>
      <c r="B1895" s="35" t="s">
        <v>1664</v>
      </c>
      <c r="C1895" t="s">
        <v>1662</v>
      </c>
      <c r="D1895" t="s">
        <v>451</v>
      </c>
      <c r="E1895" s="141">
        <v>1</v>
      </c>
      <c r="F1895" s="141">
        <v>4712.5</v>
      </c>
      <c r="G1895" s="142"/>
      <c r="H1895" s="142">
        <v>4712.5</v>
      </c>
      <c r="I1895" s="191" t="s">
        <v>957</v>
      </c>
    </row>
    <row r="1896" spans="1:9" x14ac:dyDescent="0.65">
      <c r="A1896" s="188">
        <v>40767</v>
      </c>
      <c r="B1896" s="35" t="s">
        <v>1665</v>
      </c>
      <c r="C1896" t="s">
        <v>1662</v>
      </c>
      <c r="D1896" t="s">
        <v>451</v>
      </c>
      <c r="E1896" s="141">
        <v>1</v>
      </c>
      <c r="F1896" s="141">
        <v>1112.76</v>
      </c>
      <c r="G1896" s="142"/>
      <c r="H1896" s="142">
        <v>1112.76</v>
      </c>
      <c r="I1896" s="191" t="s">
        <v>957</v>
      </c>
    </row>
    <row r="1897" spans="1:9" x14ac:dyDescent="0.65">
      <c r="A1897" s="188">
        <v>40777</v>
      </c>
      <c r="B1897" s="35" t="s">
        <v>1666</v>
      </c>
      <c r="C1897" t="s">
        <v>1662</v>
      </c>
      <c r="D1897" t="s">
        <v>451</v>
      </c>
      <c r="E1897" s="141">
        <v>1</v>
      </c>
      <c r="F1897" s="141">
        <v>170.76</v>
      </c>
      <c r="G1897" s="142"/>
      <c r="H1897" s="142">
        <v>170.76</v>
      </c>
      <c r="I1897" s="191" t="s">
        <v>957</v>
      </c>
    </row>
    <row r="1898" spans="1:9" x14ac:dyDescent="0.65">
      <c r="A1898" s="188">
        <v>40796</v>
      </c>
      <c r="B1898" s="35" t="s">
        <v>1667</v>
      </c>
      <c r="C1898" t="s">
        <v>1662</v>
      </c>
      <c r="D1898" t="s">
        <v>451</v>
      </c>
      <c r="E1898" s="141">
        <v>1</v>
      </c>
      <c r="F1898" s="141">
        <v>296.04000000000002</v>
      </c>
      <c r="G1898" s="142"/>
      <c r="H1898" s="142">
        <v>296.04000000000002</v>
      </c>
      <c r="I1898" s="191" t="s">
        <v>957</v>
      </c>
    </row>
    <row r="1899" spans="1:9" x14ac:dyDescent="0.65">
      <c r="A1899" s="188">
        <v>40799</v>
      </c>
      <c r="B1899" s="35" t="s">
        <v>1668</v>
      </c>
      <c r="C1899" t="s">
        <v>1662</v>
      </c>
      <c r="D1899" t="s">
        <v>451</v>
      </c>
      <c r="E1899" s="141">
        <v>1</v>
      </c>
      <c r="F1899" s="141">
        <v>296.02999999999997</v>
      </c>
      <c r="G1899" s="142"/>
      <c r="H1899" s="142">
        <v>296.02999999999997</v>
      </c>
      <c r="I1899" s="191" t="s">
        <v>957</v>
      </c>
    </row>
    <row r="1900" spans="1:9" x14ac:dyDescent="0.65">
      <c r="A1900" s="188">
        <v>40805</v>
      </c>
      <c r="B1900" s="35" t="s">
        <v>1669</v>
      </c>
      <c r="C1900" t="s">
        <v>1647</v>
      </c>
      <c r="D1900" t="s">
        <v>451</v>
      </c>
      <c r="E1900" s="141">
        <v>1</v>
      </c>
      <c r="F1900" s="141">
        <v>54.618000000000002</v>
      </c>
      <c r="G1900" s="142"/>
      <c r="H1900" s="142">
        <v>54.618000000000002</v>
      </c>
      <c r="I1900" s="191" t="s">
        <v>957</v>
      </c>
    </row>
    <row r="1901" spans="1:9" x14ac:dyDescent="0.65">
      <c r="A1901" s="188">
        <v>40806</v>
      </c>
      <c r="B1901" s="35" t="s">
        <v>1670</v>
      </c>
      <c r="C1901" s="141" t="s">
        <v>1662</v>
      </c>
      <c r="D1901" s="141" t="s">
        <v>451</v>
      </c>
      <c r="E1901" s="142">
        <v>14.8</v>
      </c>
      <c r="F1901" s="142">
        <v>188.5</v>
      </c>
      <c r="H1901" s="150">
        <v>2789.8</v>
      </c>
      <c r="I1901" s="191" t="s">
        <v>957</v>
      </c>
    </row>
    <row r="1902" spans="1:9" x14ac:dyDescent="0.65">
      <c r="A1902" s="188">
        <v>40807</v>
      </c>
      <c r="B1902" s="35" t="s">
        <v>1671</v>
      </c>
      <c r="C1902" t="s">
        <v>1662</v>
      </c>
      <c r="D1902" t="s">
        <v>451</v>
      </c>
      <c r="E1902" s="141">
        <v>15</v>
      </c>
      <c r="F1902" s="141">
        <v>188.5</v>
      </c>
      <c r="G1902" s="142"/>
      <c r="H1902" s="142">
        <v>2827.5</v>
      </c>
      <c r="I1902" s="191" t="s">
        <v>957</v>
      </c>
    </row>
    <row r="1903" spans="1:9" x14ac:dyDescent="0.65">
      <c r="A1903" s="188">
        <v>40819</v>
      </c>
      <c r="B1903" s="35" t="s">
        <v>1672</v>
      </c>
      <c r="C1903" t="s">
        <v>1647</v>
      </c>
      <c r="D1903" t="s">
        <v>451</v>
      </c>
      <c r="E1903" s="141">
        <v>16.399999999999999</v>
      </c>
      <c r="F1903" s="141">
        <v>194.2</v>
      </c>
      <c r="G1903" s="142"/>
      <c r="H1903" s="142">
        <v>3184.88</v>
      </c>
      <c r="I1903" s="191" t="s">
        <v>957</v>
      </c>
    </row>
    <row r="1904" spans="1:9" x14ac:dyDescent="0.65">
      <c r="A1904" s="188">
        <v>40847</v>
      </c>
      <c r="B1904" s="35" t="s">
        <v>1673</v>
      </c>
      <c r="C1904" t="s">
        <v>1662</v>
      </c>
      <c r="D1904" t="s">
        <v>451</v>
      </c>
      <c r="E1904" s="141">
        <v>1</v>
      </c>
      <c r="F1904" s="141">
        <v>1734.92</v>
      </c>
      <c r="G1904" s="142"/>
      <c r="H1904" s="142">
        <v>1734.92</v>
      </c>
      <c r="I1904" s="191" t="s">
        <v>957</v>
      </c>
    </row>
    <row r="1905" spans="1:9" x14ac:dyDescent="0.65">
      <c r="A1905" s="189" t="s">
        <v>448</v>
      </c>
      <c r="B1905" s="183" t="s">
        <v>1674</v>
      </c>
      <c r="C1905" s="184" t="s">
        <v>448</v>
      </c>
      <c r="D1905" s="184" t="s">
        <v>448</v>
      </c>
      <c r="E1905" s="185"/>
      <c r="F1905" s="185"/>
      <c r="G1905" s="186"/>
      <c r="H1905" s="186">
        <v>17771.207999999999</v>
      </c>
      <c r="I1905" s="193" t="s">
        <v>1767</v>
      </c>
    </row>
    <row r="1906" spans="1:9" x14ac:dyDescent="0.65">
      <c r="A1906" s="188" t="s">
        <v>448</v>
      </c>
      <c r="B1906" s="35" t="s">
        <v>448</v>
      </c>
      <c r="C1906" t="s">
        <v>448</v>
      </c>
      <c r="D1906" t="s">
        <v>448</v>
      </c>
      <c r="E1906" s="141"/>
      <c r="F1906" s="141"/>
      <c r="G1906" s="142"/>
      <c r="H1906" s="142"/>
      <c r="I1906" s="191" t="s">
        <v>1767</v>
      </c>
    </row>
    <row r="1907" spans="1:9" x14ac:dyDescent="0.65">
      <c r="A1907" s="187" t="s">
        <v>448</v>
      </c>
      <c r="B1907" s="29" t="s">
        <v>1854</v>
      </c>
      <c r="C1907" s="27" t="s">
        <v>448</v>
      </c>
      <c r="D1907" s="27" t="s">
        <v>448</v>
      </c>
      <c r="E1907" s="181"/>
      <c r="F1907" s="181"/>
      <c r="G1907" s="182"/>
      <c r="H1907" s="182"/>
      <c r="I1907" s="140" t="s">
        <v>1767</v>
      </c>
    </row>
    <row r="1908" spans="1:9" x14ac:dyDescent="0.65">
      <c r="A1908" s="188">
        <v>40743</v>
      </c>
      <c r="B1908" s="35" t="s">
        <v>1675</v>
      </c>
      <c r="C1908" t="s">
        <v>1389</v>
      </c>
      <c r="D1908" t="s">
        <v>451</v>
      </c>
      <c r="E1908" s="141">
        <v>1</v>
      </c>
      <c r="F1908" s="141">
        <v>688.7</v>
      </c>
      <c r="G1908" s="142"/>
      <c r="H1908" s="142">
        <v>688.7</v>
      </c>
      <c r="I1908" s="191" t="s">
        <v>949</v>
      </c>
    </row>
    <row r="1909" spans="1:9" x14ac:dyDescent="0.65">
      <c r="A1909" s="188">
        <v>40749</v>
      </c>
      <c r="B1909" s="35" t="s">
        <v>1676</v>
      </c>
      <c r="C1909" t="s">
        <v>1389</v>
      </c>
      <c r="D1909" t="s">
        <v>451</v>
      </c>
      <c r="E1909" s="141">
        <v>1</v>
      </c>
      <c r="F1909" s="141">
        <v>688.7</v>
      </c>
      <c r="G1909" s="142"/>
      <c r="H1909" s="142">
        <v>688.7</v>
      </c>
      <c r="I1909" s="191" t="s">
        <v>949</v>
      </c>
    </row>
    <row r="1910" spans="1:9" x14ac:dyDescent="0.65">
      <c r="A1910" s="188">
        <v>40753</v>
      </c>
      <c r="B1910" s="35" t="s">
        <v>1677</v>
      </c>
      <c r="C1910" t="s">
        <v>1662</v>
      </c>
      <c r="D1910" t="s">
        <v>451</v>
      </c>
      <c r="E1910" s="141">
        <v>47.8</v>
      </c>
      <c r="F1910" s="141">
        <v>188.5</v>
      </c>
      <c r="G1910" s="142"/>
      <c r="H1910" s="142">
        <v>9010.2999999999993</v>
      </c>
      <c r="I1910" s="191" t="s">
        <v>957</v>
      </c>
    </row>
    <row r="1911" spans="1:9" x14ac:dyDescent="0.65">
      <c r="A1911" s="188">
        <v>40771</v>
      </c>
      <c r="B1911" s="35" t="s">
        <v>1678</v>
      </c>
      <c r="C1911" t="s">
        <v>1662</v>
      </c>
      <c r="D1911" t="s">
        <v>451</v>
      </c>
      <c r="E1911" s="141">
        <v>1</v>
      </c>
      <c r="F1911" s="141">
        <v>296.02999999999997</v>
      </c>
      <c r="G1911" s="142"/>
      <c r="H1911" s="142">
        <v>296.02999999999997</v>
      </c>
      <c r="I1911" s="191" t="s">
        <v>949</v>
      </c>
    </row>
    <row r="1912" spans="1:9" x14ac:dyDescent="0.65">
      <c r="A1912" s="188">
        <v>40787</v>
      </c>
      <c r="B1912" s="35" t="s">
        <v>1679</v>
      </c>
      <c r="C1912" t="s">
        <v>1389</v>
      </c>
      <c r="D1912" t="s">
        <v>451</v>
      </c>
      <c r="E1912" s="141">
        <v>1</v>
      </c>
      <c r="F1912" s="141">
        <v>688.7</v>
      </c>
      <c r="G1912" s="142"/>
      <c r="H1912" s="142">
        <v>688.7</v>
      </c>
      <c r="I1912" s="191" t="s">
        <v>949</v>
      </c>
    </row>
    <row r="1913" spans="1:9" x14ac:dyDescent="0.65">
      <c r="A1913" s="188">
        <v>40794</v>
      </c>
      <c r="B1913" s="35" t="s">
        <v>1680</v>
      </c>
      <c r="C1913" t="s">
        <v>1662</v>
      </c>
      <c r="D1913" t="s">
        <v>451</v>
      </c>
      <c r="E1913" s="141">
        <v>31.6</v>
      </c>
      <c r="F1913" s="141">
        <v>188.5</v>
      </c>
      <c r="G1913" s="142"/>
      <c r="H1913" s="142">
        <v>5956.6</v>
      </c>
      <c r="I1913" s="191" t="s">
        <v>957</v>
      </c>
    </row>
    <row r="1914" spans="1:9" x14ac:dyDescent="0.65">
      <c r="A1914" s="188">
        <v>40795</v>
      </c>
      <c r="B1914" s="35" t="s">
        <v>1681</v>
      </c>
      <c r="C1914" t="s">
        <v>1389</v>
      </c>
      <c r="D1914" t="s">
        <v>451</v>
      </c>
      <c r="E1914" s="141">
        <v>50</v>
      </c>
      <c r="F1914" s="141">
        <v>7.82</v>
      </c>
      <c r="G1914" s="142"/>
      <c r="H1914" s="142">
        <v>391</v>
      </c>
      <c r="I1914" s="191" t="s">
        <v>949</v>
      </c>
    </row>
    <row r="1915" spans="1:9" x14ac:dyDescent="0.65">
      <c r="A1915" s="188">
        <v>40805</v>
      </c>
      <c r="B1915" s="35" t="s">
        <v>1682</v>
      </c>
      <c r="C1915" t="s">
        <v>1431</v>
      </c>
      <c r="D1915" t="s">
        <v>451</v>
      </c>
      <c r="E1915" s="141">
        <v>6</v>
      </c>
      <c r="F1915" s="141">
        <v>20</v>
      </c>
      <c r="G1915" s="142"/>
      <c r="H1915" s="142">
        <v>120</v>
      </c>
      <c r="I1915" s="191" t="s">
        <v>949</v>
      </c>
    </row>
    <row r="1916" spans="1:9" x14ac:dyDescent="0.65">
      <c r="A1916" s="188">
        <v>40806</v>
      </c>
      <c r="B1916" s="35" t="s">
        <v>1683</v>
      </c>
      <c r="C1916" t="s">
        <v>1662</v>
      </c>
      <c r="D1916" t="s">
        <v>451</v>
      </c>
      <c r="E1916" s="141">
        <v>16.2</v>
      </c>
      <c r="F1916" s="141">
        <v>194.2</v>
      </c>
      <c r="G1916" s="142"/>
      <c r="H1916" s="142">
        <v>3146.04</v>
      </c>
      <c r="I1916" s="191" t="s">
        <v>957</v>
      </c>
    </row>
    <row r="1917" spans="1:9" x14ac:dyDescent="0.65">
      <c r="A1917" s="188">
        <v>40816</v>
      </c>
      <c r="B1917" s="35" t="s">
        <v>1684</v>
      </c>
      <c r="C1917" t="s">
        <v>1647</v>
      </c>
      <c r="D1917" t="s">
        <v>451</v>
      </c>
      <c r="E1917" s="141">
        <v>17.399999999999999</v>
      </c>
      <c r="F1917" s="141">
        <v>194.2</v>
      </c>
      <c r="G1917" s="142"/>
      <c r="H1917" s="142">
        <v>3379.08</v>
      </c>
      <c r="I1917" s="191" t="s">
        <v>957</v>
      </c>
    </row>
    <row r="1918" spans="1:9" x14ac:dyDescent="0.65">
      <c r="A1918" s="188">
        <v>40835</v>
      </c>
      <c r="B1918" s="35" t="s">
        <v>1685</v>
      </c>
      <c r="C1918" t="s">
        <v>1389</v>
      </c>
      <c r="D1918" t="s">
        <v>451</v>
      </c>
      <c r="E1918" s="141">
        <v>1</v>
      </c>
      <c r="F1918" s="141">
        <v>688.7</v>
      </c>
      <c r="G1918" s="142"/>
      <c r="H1918" s="142">
        <v>688.7</v>
      </c>
      <c r="I1918" s="191" t="s">
        <v>949</v>
      </c>
    </row>
    <row r="1919" spans="1:9" x14ac:dyDescent="0.65">
      <c r="A1919" s="189" t="s">
        <v>448</v>
      </c>
      <c r="B1919" s="183" t="s">
        <v>1686</v>
      </c>
      <c r="C1919" s="184" t="s">
        <v>448</v>
      </c>
      <c r="D1919" s="184" t="s">
        <v>448</v>
      </c>
      <c r="E1919" s="185"/>
      <c r="F1919" s="185"/>
      <c r="G1919" s="186"/>
      <c r="H1919" s="186">
        <v>25053.850000000002</v>
      </c>
      <c r="I1919" s="193" t="s">
        <v>1767</v>
      </c>
    </row>
    <row r="1920" spans="1:9" x14ac:dyDescent="0.65">
      <c r="A1920" s="188" t="s">
        <v>448</v>
      </c>
      <c r="B1920" s="35" t="s">
        <v>448</v>
      </c>
      <c r="C1920" t="s">
        <v>448</v>
      </c>
      <c r="D1920" t="s">
        <v>448</v>
      </c>
      <c r="E1920" s="141"/>
      <c r="F1920" s="141"/>
      <c r="G1920" s="142"/>
      <c r="H1920" s="142"/>
      <c r="I1920" s="191" t="s">
        <v>1767</v>
      </c>
    </row>
    <row r="1921" spans="1:9" x14ac:dyDescent="0.65">
      <c r="A1921" s="187" t="s">
        <v>448</v>
      </c>
      <c r="B1921" s="29" t="s">
        <v>1855</v>
      </c>
      <c r="C1921" s="27" t="s">
        <v>448</v>
      </c>
      <c r="D1921" s="27" t="s">
        <v>448</v>
      </c>
      <c r="E1921" s="181"/>
      <c r="F1921" s="181"/>
      <c r="G1921" s="182"/>
      <c r="H1921" s="182"/>
      <c r="I1921" s="140" t="s">
        <v>1767</v>
      </c>
    </row>
    <row r="1922" spans="1:9" x14ac:dyDescent="0.65">
      <c r="A1922" s="188">
        <v>40765</v>
      </c>
      <c r="B1922" s="35" t="s">
        <v>1687</v>
      </c>
      <c r="C1922" t="s">
        <v>1389</v>
      </c>
      <c r="D1922" t="s">
        <v>451</v>
      </c>
      <c r="E1922" s="141">
        <v>36</v>
      </c>
      <c r="F1922" s="141">
        <v>357</v>
      </c>
      <c r="G1922" s="142"/>
      <c r="H1922" s="142">
        <v>12852</v>
      </c>
      <c r="I1922" s="191" t="s">
        <v>942</v>
      </c>
    </row>
    <row r="1923" spans="1:9" x14ac:dyDescent="0.65">
      <c r="A1923" s="189" t="s">
        <v>448</v>
      </c>
      <c r="B1923" s="183" t="s">
        <v>1688</v>
      </c>
      <c r="C1923" s="184" t="s">
        <v>448</v>
      </c>
      <c r="D1923" s="184" t="s">
        <v>448</v>
      </c>
      <c r="E1923" s="185"/>
      <c r="F1923" s="185"/>
      <c r="G1923" s="186"/>
      <c r="H1923" s="186">
        <v>12852</v>
      </c>
      <c r="I1923" s="193" t="s">
        <v>1767</v>
      </c>
    </row>
    <row r="1924" spans="1:9" x14ac:dyDescent="0.65">
      <c r="A1924" s="188" t="s">
        <v>448</v>
      </c>
      <c r="B1924" s="35" t="s">
        <v>448</v>
      </c>
      <c r="C1924" t="s">
        <v>448</v>
      </c>
      <c r="D1924" t="s">
        <v>448</v>
      </c>
      <c r="E1924" s="141"/>
      <c r="F1924" s="141"/>
      <c r="G1924" s="142"/>
      <c r="H1924" s="142"/>
      <c r="I1924" s="191" t="s">
        <v>1767</v>
      </c>
    </row>
    <row r="1925" spans="1:9" x14ac:dyDescent="0.65">
      <c r="A1925" s="187" t="s">
        <v>448</v>
      </c>
      <c r="B1925" s="29" t="s">
        <v>1856</v>
      </c>
      <c r="C1925" s="27" t="s">
        <v>448</v>
      </c>
      <c r="D1925" s="27" t="s">
        <v>448</v>
      </c>
      <c r="E1925" s="181"/>
      <c r="F1925" s="181"/>
      <c r="G1925" s="182"/>
      <c r="H1925" s="182"/>
      <c r="I1925" s="140" t="s">
        <v>1767</v>
      </c>
    </row>
    <row r="1926" spans="1:9" x14ac:dyDescent="0.65">
      <c r="A1926" s="188">
        <v>40695</v>
      </c>
      <c r="B1926" s="35" t="s">
        <v>1689</v>
      </c>
      <c r="C1926" t="s">
        <v>1690</v>
      </c>
      <c r="D1926" t="s">
        <v>451</v>
      </c>
      <c r="E1926" s="141">
        <v>1</v>
      </c>
      <c r="F1926" s="141">
        <v>6927.4</v>
      </c>
      <c r="G1926" s="142"/>
      <c r="H1926" s="142">
        <v>6927.4</v>
      </c>
      <c r="I1926" s="191" t="s">
        <v>964</v>
      </c>
    </row>
    <row r="1927" spans="1:9" x14ac:dyDescent="0.65">
      <c r="A1927" s="188">
        <v>40729</v>
      </c>
      <c r="B1927" s="35" t="s">
        <v>1691</v>
      </c>
      <c r="C1927" t="s">
        <v>1442</v>
      </c>
      <c r="D1927" t="s">
        <v>451</v>
      </c>
      <c r="E1927" s="141">
        <v>3</v>
      </c>
      <c r="F1927" s="141">
        <v>490</v>
      </c>
      <c r="G1927" s="142"/>
      <c r="H1927" s="142">
        <v>1470</v>
      </c>
      <c r="I1927" s="191" t="s">
        <v>964</v>
      </c>
    </row>
    <row r="1928" spans="1:9" x14ac:dyDescent="0.65">
      <c r="A1928" s="188">
        <v>40729</v>
      </c>
      <c r="B1928" s="35" t="s">
        <v>1692</v>
      </c>
      <c r="C1928" t="s">
        <v>1442</v>
      </c>
      <c r="D1928" t="s">
        <v>451</v>
      </c>
      <c r="E1928" s="141">
        <v>1</v>
      </c>
      <c r="F1928" s="141">
        <v>504</v>
      </c>
      <c r="G1928" s="142"/>
      <c r="H1928" s="142">
        <v>504</v>
      </c>
      <c r="I1928" s="191" t="s">
        <v>964</v>
      </c>
    </row>
    <row r="1929" spans="1:9" x14ac:dyDescent="0.65">
      <c r="A1929" s="188">
        <v>40751</v>
      </c>
      <c r="B1929" s="35" t="s">
        <v>1693</v>
      </c>
      <c r="C1929" t="s">
        <v>1690</v>
      </c>
      <c r="D1929" t="s">
        <v>451</v>
      </c>
      <c r="E1929" s="141">
        <v>1</v>
      </c>
      <c r="F1929" s="141">
        <v>540.25</v>
      </c>
      <c r="G1929" s="142"/>
      <c r="H1929" s="142">
        <v>540.25</v>
      </c>
      <c r="I1929" s="191" t="s">
        <v>964</v>
      </c>
    </row>
    <row r="1930" spans="1:9" x14ac:dyDescent="0.65">
      <c r="A1930" s="188">
        <v>40751</v>
      </c>
      <c r="B1930" s="35" t="s">
        <v>1694</v>
      </c>
      <c r="C1930" t="s">
        <v>1690</v>
      </c>
      <c r="D1930" t="s">
        <v>451</v>
      </c>
      <c r="E1930" s="141">
        <v>1</v>
      </c>
      <c r="F1930" s="141">
        <v>401.85</v>
      </c>
      <c r="G1930" s="142"/>
      <c r="H1930" s="142">
        <v>401.85</v>
      </c>
      <c r="I1930" s="191" t="s">
        <v>964</v>
      </c>
    </row>
    <row r="1931" spans="1:9" x14ac:dyDescent="0.65">
      <c r="A1931" s="188">
        <v>40765</v>
      </c>
      <c r="B1931" s="35" t="s">
        <v>1695</v>
      </c>
      <c r="C1931" t="s">
        <v>1690</v>
      </c>
      <c r="D1931" t="s">
        <v>451</v>
      </c>
      <c r="E1931" s="141">
        <v>25</v>
      </c>
      <c r="F1931" s="141">
        <v>8.1999999999999993</v>
      </c>
      <c r="G1931" s="142"/>
      <c r="H1931" s="142">
        <v>205</v>
      </c>
      <c r="I1931" s="191" t="s">
        <v>964</v>
      </c>
    </row>
    <row r="1932" spans="1:9" x14ac:dyDescent="0.65">
      <c r="A1932" s="188">
        <v>40765</v>
      </c>
      <c r="B1932" s="35" t="s">
        <v>1696</v>
      </c>
      <c r="C1932" t="s">
        <v>1690</v>
      </c>
      <c r="D1932" t="s">
        <v>451</v>
      </c>
      <c r="E1932" s="141">
        <v>3</v>
      </c>
      <c r="F1932" s="141">
        <v>752</v>
      </c>
      <c r="G1932" s="142"/>
      <c r="H1932" s="142">
        <v>2256</v>
      </c>
      <c r="I1932" s="191" t="s">
        <v>964</v>
      </c>
    </row>
    <row r="1933" spans="1:9" x14ac:dyDescent="0.65">
      <c r="A1933" s="188">
        <v>40792</v>
      </c>
      <c r="B1933" s="35" t="s">
        <v>1697</v>
      </c>
      <c r="C1933" t="s">
        <v>1698</v>
      </c>
      <c r="D1933" t="s">
        <v>451</v>
      </c>
      <c r="E1933" s="141">
        <v>3</v>
      </c>
      <c r="F1933" s="141">
        <v>4.28</v>
      </c>
      <c r="G1933" s="142"/>
      <c r="H1933" s="142">
        <v>12.84</v>
      </c>
      <c r="I1933" s="191" t="s">
        <v>964</v>
      </c>
    </row>
    <row r="1934" spans="1:9" x14ac:dyDescent="0.65">
      <c r="A1934" s="189" t="s">
        <v>448</v>
      </c>
      <c r="B1934" s="183" t="s">
        <v>1699</v>
      </c>
      <c r="C1934" s="184" t="s">
        <v>448</v>
      </c>
      <c r="D1934" s="184" t="s">
        <v>448</v>
      </c>
      <c r="E1934" s="185"/>
      <c r="F1934" s="185"/>
      <c r="G1934" s="186"/>
      <c r="H1934" s="186">
        <v>12317.34</v>
      </c>
      <c r="I1934" s="193" t="s">
        <v>1767</v>
      </c>
    </row>
    <row r="1935" spans="1:9" x14ac:dyDescent="0.65">
      <c r="A1935" s="188" t="s">
        <v>448</v>
      </c>
      <c r="B1935" s="35" t="s">
        <v>448</v>
      </c>
      <c r="C1935" t="s">
        <v>448</v>
      </c>
      <c r="D1935" t="s">
        <v>448</v>
      </c>
      <c r="E1935" s="141"/>
      <c r="F1935" s="141"/>
      <c r="G1935" s="142"/>
      <c r="H1935" s="142"/>
      <c r="I1935" s="191" t="s">
        <v>1767</v>
      </c>
    </row>
    <row r="1936" spans="1:9" x14ac:dyDescent="0.65">
      <c r="A1936" s="187" t="s">
        <v>448</v>
      </c>
      <c r="B1936" s="29" t="s">
        <v>1857</v>
      </c>
      <c r="C1936" s="27" t="s">
        <v>448</v>
      </c>
      <c r="D1936" s="27" t="s">
        <v>448</v>
      </c>
      <c r="E1936" s="181"/>
      <c r="F1936" s="181"/>
      <c r="G1936" s="182"/>
      <c r="H1936" s="182"/>
      <c r="I1936" s="140" t="s">
        <v>1767</v>
      </c>
    </row>
    <row r="1937" spans="1:9" x14ac:dyDescent="0.65">
      <c r="A1937" s="188">
        <v>40721</v>
      </c>
      <c r="B1937" s="35" t="s">
        <v>1700</v>
      </c>
      <c r="C1937" t="s">
        <v>1701</v>
      </c>
      <c r="D1937" t="s">
        <v>451</v>
      </c>
      <c r="E1937" s="141">
        <v>1</v>
      </c>
      <c r="F1937" s="141">
        <v>133.5</v>
      </c>
      <c r="G1937" s="142"/>
      <c r="H1937" s="142">
        <v>133.5</v>
      </c>
      <c r="I1937" s="191" t="s">
        <v>965</v>
      </c>
    </row>
    <row r="1938" spans="1:9" x14ac:dyDescent="0.65">
      <c r="A1938" s="188">
        <v>40743</v>
      </c>
      <c r="B1938" s="35" t="s">
        <v>1702</v>
      </c>
      <c r="C1938" t="s">
        <v>1690</v>
      </c>
      <c r="D1938" t="s">
        <v>451</v>
      </c>
      <c r="E1938" s="141">
        <v>1</v>
      </c>
      <c r="F1938" s="141">
        <v>1180</v>
      </c>
      <c r="G1938" s="142"/>
      <c r="H1938" s="142">
        <v>1180</v>
      </c>
      <c r="I1938" s="191" t="s">
        <v>965</v>
      </c>
    </row>
    <row r="1939" spans="1:9" x14ac:dyDescent="0.65">
      <c r="A1939" s="188">
        <v>40750</v>
      </c>
      <c r="B1939" s="35" t="s">
        <v>1703</v>
      </c>
      <c r="C1939" t="s">
        <v>1704</v>
      </c>
      <c r="D1939" t="s">
        <v>451</v>
      </c>
      <c r="E1939" s="141">
        <v>1</v>
      </c>
      <c r="F1939" s="141">
        <v>53.81</v>
      </c>
      <c r="G1939" s="142"/>
      <c r="H1939" s="142">
        <v>53.81</v>
      </c>
      <c r="I1939" s="191" t="s">
        <v>965</v>
      </c>
    </row>
    <row r="1940" spans="1:9" x14ac:dyDescent="0.65">
      <c r="A1940" s="188">
        <v>40763</v>
      </c>
      <c r="B1940" s="35" t="s">
        <v>1705</v>
      </c>
      <c r="C1940" t="s">
        <v>1690</v>
      </c>
      <c r="D1940" t="s">
        <v>451</v>
      </c>
      <c r="E1940" s="141">
        <v>4</v>
      </c>
      <c r="F1940" s="141">
        <v>1411</v>
      </c>
      <c r="G1940" s="142"/>
      <c r="H1940" s="142">
        <v>5644</v>
      </c>
      <c r="I1940" s="191" t="s">
        <v>965</v>
      </c>
    </row>
    <row r="1941" spans="1:9" x14ac:dyDescent="0.65">
      <c r="A1941" s="188">
        <v>40814</v>
      </c>
      <c r="B1941" s="35" t="s">
        <v>1706</v>
      </c>
      <c r="C1941" t="s">
        <v>1690</v>
      </c>
      <c r="D1941" t="s">
        <v>451</v>
      </c>
      <c r="E1941" s="141">
        <v>1</v>
      </c>
      <c r="F1941" s="141">
        <v>1700</v>
      </c>
      <c r="G1941" s="142"/>
      <c r="H1941" s="142">
        <v>1700</v>
      </c>
      <c r="I1941" s="191" t="s">
        <v>965</v>
      </c>
    </row>
    <row r="1942" spans="1:9" ht="28.5" x14ac:dyDescent="0.65">
      <c r="A1942" s="188">
        <v>40877</v>
      </c>
      <c r="B1942" s="35" t="s">
        <v>1707</v>
      </c>
      <c r="C1942" t="s">
        <v>1708</v>
      </c>
      <c r="D1942" t="s">
        <v>451</v>
      </c>
      <c r="E1942" s="141">
        <v>1</v>
      </c>
      <c r="F1942" s="141">
        <v>880</v>
      </c>
      <c r="G1942" s="142"/>
      <c r="H1942" s="142">
        <v>880</v>
      </c>
      <c r="I1942" s="191" t="s">
        <v>965</v>
      </c>
    </row>
    <row r="1943" spans="1:9" x14ac:dyDescent="0.65">
      <c r="A1943" s="189" t="s">
        <v>448</v>
      </c>
      <c r="B1943" s="183" t="s">
        <v>1709</v>
      </c>
      <c r="C1943" s="184" t="s">
        <v>448</v>
      </c>
      <c r="D1943" s="184" t="s">
        <v>448</v>
      </c>
      <c r="E1943" s="185"/>
      <c r="F1943" s="185"/>
      <c r="G1943" s="186"/>
      <c r="H1943" s="186">
        <v>9591.31</v>
      </c>
      <c r="I1943" s="193" t="s">
        <v>1767</v>
      </c>
    </row>
    <row r="1944" spans="1:9" x14ac:dyDescent="0.65">
      <c r="A1944" s="188" t="s">
        <v>448</v>
      </c>
      <c r="B1944" s="35" t="s">
        <v>448</v>
      </c>
      <c r="C1944" t="s">
        <v>448</v>
      </c>
      <c r="D1944" t="s">
        <v>448</v>
      </c>
      <c r="E1944" s="141"/>
      <c r="F1944" s="141"/>
      <c r="G1944" s="142"/>
      <c r="H1944" s="142"/>
      <c r="I1944" s="191" t="s">
        <v>1767</v>
      </c>
    </row>
    <row r="1945" spans="1:9" x14ac:dyDescent="0.65">
      <c r="A1945" s="187" t="s">
        <v>448</v>
      </c>
      <c r="B1945" s="29" t="s">
        <v>1858</v>
      </c>
      <c r="C1945" s="27" t="s">
        <v>448</v>
      </c>
      <c r="D1945" s="27" t="s">
        <v>448</v>
      </c>
      <c r="E1945" s="181"/>
      <c r="F1945" s="181"/>
      <c r="G1945" s="182"/>
      <c r="H1945" s="182"/>
      <c r="I1945" s="140" t="s">
        <v>1767</v>
      </c>
    </row>
    <row r="1946" spans="1:9" x14ac:dyDescent="0.65">
      <c r="A1946" s="188">
        <v>40723</v>
      </c>
      <c r="B1946" s="35" t="s">
        <v>1710</v>
      </c>
      <c r="C1946" t="s">
        <v>1483</v>
      </c>
      <c r="D1946" t="s">
        <v>451</v>
      </c>
      <c r="E1946" s="141">
        <v>1</v>
      </c>
      <c r="F1946" s="141">
        <v>2752</v>
      </c>
      <c r="G1946" s="142"/>
      <c r="H1946" s="142">
        <v>2752</v>
      </c>
      <c r="I1946" s="191" t="s">
        <v>966</v>
      </c>
    </row>
    <row r="1947" spans="1:9" x14ac:dyDescent="0.65">
      <c r="A1947" s="188">
        <v>40723</v>
      </c>
      <c r="B1947" s="35" t="s">
        <v>1711</v>
      </c>
      <c r="C1947" t="s">
        <v>1483</v>
      </c>
      <c r="D1947" t="s">
        <v>451</v>
      </c>
      <c r="E1947" s="141">
        <v>1</v>
      </c>
      <c r="F1947" s="141">
        <v>490</v>
      </c>
      <c r="G1947" s="142"/>
      <c r="H1947" s="142">
        <v>490</v>
      </c>
      <c r="I1947" s="191" t="s">
        <v>966</v>
      </c>
    </row>
    <row r="1948" spans="1:9" x14ac:dyDescent="0.65">
      <c r="A1948" s="188">
        <v>40723</v>
      </c>
      <c r="B1948" s="35" t="s">
        <v>1712</v>
      </c>
      <c r="C1948" t="s">
        <v>1483</v>
      </c>
      <c r="D1948" t="s">
        <v>451</v>
      </c>
      <c r="E1948" s="141">
        <v>1</v>
      </c>
      <c r="F1948" s="141">
        <v>1470</v>
      </c>
      <c r="G1948" s="142"/>
      <c r="H1948" s="142">
        <v>1470</v>
      </c>
      <c r="I1948" s="191" t="s">
        <v>966</v>
      </c>
    </row>
    <row r="1949" spans="1:9" x14ac:dyDescent="0.65">
      <c r="A1949" s="188">
        <v>40724</v>
      </c>
      <c r="B1949" s="35" t="s">
        <v>1713</v>
      </c>
      <c r="C1949" t="s">
        <v>1483</v>
      </c>
      <c r="D1949" t="s">
        <v>451</v>
      </c>
      <c r="E1949" s="141">
        <v>1</v>
      </c>
      <c r="F1949" s="141">
        <v>6574</v>
      </c>
      <c r="G1949" s="142"/>
      <c r="H1949" s="142">
        <v>6574</v>
      </c>
      <c r="I1949" s="191" t="s">
        <v>966</v>
      </c>
    </row>
    <row r="1950" spans="1:9" x14ac:dyDescent="0.65">
      <c r="A1950" s="188">
        <v>40816</v>
      </c>
      <c r="B1950" s="35" t="s">
        <v>1714</v>
      </c>
      <c r="C1950" t="s">
        <v>1715</v>
      </c>
      <c r="D1950" t="s">
        <v>451</v>
      </c>
      <c r="E1950" s="141">
        <v>1</v>
      </c>
      <c r="F1950" s="141">
        <v>2500</v>
      </c>
      <c r="G1950" s="142"/>
      <c r="H1950" s="142">
        <v>2500</v>
      </c>
      <c r="I1950" s="191" t="s">
        <v>966</v>
      </c>
    </row>
    <row r="1951" spans="1:9" x14ac:dyDescent="0.65">
      <c r="A1951" s="188">
        <v>40877</v>
      </c>
      <c r="B1951" s="35" t="s">
        <v>1716</v>
      </c>
      <c r="C1951" t="s">
        <v>1483</v>
      </c>
      <c r="D1951" t="s">
        <v>451</v>
      </c>
      <c r="E1951" s="141">
        <v>1</v>
      </c>
      <c r="F1951" s="141">
        <v>75</v>
      </c>
      <c r="G1951" s="142"/>
      <c r="H1951" s="142">
        <v>75</v>
      </c>
      <c r="I1951" s="191" t="s">
        <v>966</v>
      </c>
    </row>
    <row r="1952" spans="1:9" x14ac:dyDescent="0.65">
      <c r="A1952" s="189" t="s">
        <v>448</v>
      </c>
      <c r="B1952" s="183" t="s">
        <v>1717</v>
      </c>
      <c r="C1952" s="184" t="s">
        <v>448</v>
      </c>
      <c r="D1952" s="184" t="s">
        <v>448</v>
      </c>
      <c r="E1952" s="185"/>
      <c r="F1952" s="185"/>
      <c r="G1952" s="186"/>
      <c r="H1952" s="186">
        <v>13861</v>
      </c>
      <c r="I1952" s="193" t="s">
        <v>1767</v>
      </c>
    </row>
    <row r="1953" spans="1:9" x14ac:dyDescent="0.65">
      <c r="A1953" s="188" t="s">
        <v>448</v>
      </c>
      <c r="B1953" s="35" t="s">
        <v>448</v>
      </c>
      <c r="C1953" t="s">
        <v>448</v>
      </c>
      <c r="D1953" t="s">
        <v>448</v>
      </c>
      <c r="E1953" s="141"/>
      <c r="F1953" s="141"/>
      <c r="G1953" s="142"/>
      <c r="H1953" s="142"/>
      <c r="I1953" s="191" t="s">
        <v>1767</v>
      </c>
    </row>
    <row r="1954" spans="1:9" x14ac:dyDescent="0.65">
      <c r="A1954" s="187" t="s">
        <v>448</v>
      </c>
      <c r="B1954" s="29" t="s">
        <v>1859</v>
      </c>
      <c r="C1954" s="27" t="s">
        <v>448</v>
      </c>
      <c r="D1954" s="27" t="s">
        <v>448</v>
      </c>
      <c r="E1954" s="181"/>
      <c r="F1954" s="181"/>
      <c r="G1954" s="182"/>
      <c r="H1954" s="182"/>
      <c r="I1954" s="140" t="s">
        <v>1767</v>
      </c>
    </row>
    <row r="1955" spans="1:9" x14ac:dyDescent="0.65">
      <c r="A1955" s="188">
        <v>40724</v>
      </c>
      <c r="B1955" s="35" t="s">
        <v>1718</v>
      </c>
      <c r="C1955" t="s">
        <v>1719</v>
      </c>
      <c r="D1955" t="s">
        <v>451</v>
      </c>
      <c r="E1955" s="141">
        <v>1526.24</v>
      </c>
      <c r="F1955" s="141">
        <v>20.95</v>
      </c>
      <c r="G1955" s="142"/>
      <c r="H1955" s="142">
        <v>31974.727999999999</v>
      </c>
      <c r="I1955" s="191" t="s">
        <v>948</v>
      </c>
    </row>
    <row r="1956" spans="1:9" x14ac:dyDescent="0.65">
      <c r="A1956" s="188">
        <v>40764</v>
      </c>
      <c r="B1956" s="35" t="s">
        <v>1720</v>
      </c>
      <c r="C1956" t="s">
        <v>1721</v>
      </c>
      <c r="D1956" t="s">
        <v>451</v>
      </c>
      <c r="E1956" s="141">
        <v>132.76</v>
      </c>
      <c r="F1956" s="141">
        <v>20.95</v>
      </c>
      <c r="G1956" s="142"/>
      <c r="H1956" s="142">
        <v>2781.3220000000001</v>
      </c>
      <c r="I1956" s="191" t="s">
        <v>948</v>
      </c>
    </row>
    <row r="1957" spans="1:9" x14ac:dyDescent="0.65">
      <c r="A1957" s="188">
        <v>40764</v>
      </c>
      <c r="B1957" s="35" t="s">
        <v>1722</v>
      </c>
      <c r="C1957" t="s">
        <v>1721</v>
      </c>
      <c r="D1957" t="s">
        <v>451</v>
      </c>
      <c r="E1957" s="141">
        <v>852.34</v>
      </c>
      <c r="F1957" s="141">
        <v>20.95</v>
      </c>
      <c r="G1957" s="142"/>
      <c r="H1957" s="142">
        <v>17856.523000000001</v>
      </c>
      <c r="I1957" s="191" t="s">
        <v>948</v>
      </c>
    </row>
    <row r="1958" spans="1:9" x14ac:dyDescent="0.65">
      <c r="A1958" s="188">
        <v>40772</v>
      </c>
      <c r="B1958" s="35" t="s">
        <v>1723</v>
      </c>
      <c r="C1958" t="s">
        <v>1724</v>
      </c>
      <c r="D1958" t="s">
        <v>451</v>
      </c>
      <c r="E1958" s="141">
        <v>1104.06</v>
      </c>
      <c r="F1958" s="141">
        <v>20.95</v>
      </c>
      <c r="G1958" s="142"/>
      <c r="H1958" s="142">
        <v>23130.057000000001</v>
      </c>
      <c r="I1958" s="191" t="s">
        <v>948</v>
      </c>
    </row>
    <row r="1959" spans="1:9" x14ac:dyDescent="0.65">
      <c r="A1959" s="188">
        <v>40772</v>
      </c>
      <c r="B1959" s="35" t="s">
        <v>1725</v>
      </c>
      <c r="C1959" t="s">
        <v>1724</v>
      </c>
      <c r="D1959" t="s">
        <v>451</v>
      </c>
      <c r="E1959" s="141">
        <v>25.58</v>
      </c>
      <c r="F1959" s="141">
        <v>20.95</v>
      </c>
      <c r="G1959" s="142"/>
      <c r="H1959" s="142">
        <v>535.90099999999995</v>
      </c>
      <c r="I1959" s="191" t="s">
        <v>948</v>
      </c>
    </row>
    <row r="1960" spans="1:9" x14ac:dyDescent="0.65">
      <c r="A1960" s="188">
        <v>40773</v>
      </c>
      <c r="B1960" s="35" t="s">
        <v>1726</v>
      </c>
      <c r="C1960" t="s">
        <v>1724</v>
      </c>
      <c r="D1960" t="s">
        <v>451</v>
      </c>
      <c r="E1960" s="141">
        <v>1245.04</v>
      </c>
      <c r="F1960" s="141">
        <v>20.95</v>
      </c>
      <c r="G1960" s="142"/>
      <c r="H1960" s="142">
        <v>26083.588</v>
      </c>
      <c r="I1960" s="191" t="s">
        <v>948</v>
      </c>
    </row>
    <row r="1961" spans="1:9" x14ac:dyDescent="0.65">
      <c r="A1961" s="188">
        <v>40779</v>
      </c>
      <c r="B1961" s="35" t="s">
        <v>1727</v>
      </c>
      <c r="C1961" t="s">
        <v>1724</v>
      </c>
      <c r="D1961" t="s">
        <v>451</v>
      </c>
      <c r="E1961" s="141">
        <v>113.28</v>
      </c>
      <c r="F1961" s="141">
        <v>20.95</v>
      </c>
      <c r="G1961" s="142"/>
      <c r="H1961" s="142">
        <v>2373.2159999999999</v>
      </c>
      <c r="I1961" s="191" t="s">
        <v>948</v>
      </c>
    </row>
    <row r="1962" spans="1:9" x14ac:dyDescent="0.65">
      <c r="A1962" s="188">
        <v>40794</v>
      </c>
      <c r="B1962" s="35" t="s">
        <v>1728</v>
      </c>
      <c r="C1962" t="s">
        <v>1721</v>
      </c>
      <c r="D1962" t="s">
        <v>451</v>
      </c>
      <c r="E1962" s="141">
        <v>1704.48</v>
      </c>
      <c r="F1962" s="141">
        <v>20.95</v>
      </c>
      <c r="G1962" s="142"/>
      <c r="H1962" s="142">
        <v>35708.856</v>
      </c>
      <c r="I1962" s="191" t="s">
        <v>948</v>
      </c>
    </row>
    <row r="1963" spans="1:9" x14ac:dyDescent="0.65">
      <c r="A1963" s="188">
        <v>40808</v>
      </c>
      <c r="B1963" s="35" t="s">
        <v>1729</v>
      </c>
      <c r="C1963" t="s">
        <v>1724</v>
      </c>
      <c r="D1963" t="s">
        <v>451</v>
      </c>
      <c r="E1963" s="141">
        <v>200.02</v>
      </c>
      <c r="F1963" s="141">
        <v>195</v>
      </c>
      <c r="G1963" s="142"/>
      <c r="H1963" s="142">
        <v>39003.9</v>
      </c>
      <c r="I1963" s="191" t="s">
        <v>948</v>
      </c>
    </row>
    <row r="1964" spans="1:9" x14ac:dyDescent="0.65">
      <c r="A1964" s="188">
        <v>40828</v>
      </c>
      <c r="B1964" s="35" t="s">
        <v>1730</v>
      </c>
      <c r="C1964" t="s">
        <v>1724</v>
      </c>
      <c r="D1964" t="s">
        <v>451</v>
      </c>
      <c r="E1964" s="141">
        <v>1</v>
      </c>
      <c r="F1964" s="141">
        <v>52122.76</v>
      </c>
      <c r="G1964" s="142"/>
      <c r="H1964" s="142">
        <v>52122.76</v>
      </c>
      <c r="I1964" s="191" t="s">
        <v>948</v>
      </c>
    </row>
    <row r="1965" spans="1:9" x14ac:dyDescent="0.65">
      <c r="A1965" s="188">
        <v>40830</v>
      </c>
      <c r="B1965" s="35" t="s">
        <v>1731</v>
      </c>
      <c r="C1965" t="s">
        <v>1724</v>
      </c>
      <c r="D1965" t="s">
        <v>451</v>
      </c>
      <c r="E1965" s="141">
        <v>1</v>
      </c>
      <c r="F1965" s="141">
        <v>27924.67</v>
      </c>
      <c r="G1965" s="142"/>
      <c r="H1965" s="142">
        <v>27924.67</v>
      </c>
      <c r="I1965" s="191" t="s">
        <v>948</v>
      </c>
    </row>
    <row r="1966" spans="1:9" x14ac:dyDescent="0.65">
      <c r="A1966" s="188">
        <v>40842</v>
      </c>
      <c r="B1966" s="35" t="s">
        <v>1732</v>
      </c>
      <c r="C1966" t="s">
        <v>1724</v>
      </c>
      <c r="D1966" t="s">
        <v>451</v>
      </c>
      <c r="E1966" s="141">
        <v>1</v>
      </c>
      <c r="F1966" s="141">
        <v>15702.03</v>
      </c>
      <c r="G1966" s="142"/>
      <c r="H1966" s="142">
        <v>15702.03</v>
      </c>
      <c r="I1966" s="191" t="s">
        <v>948</v>
      </c>
    </row>
    <row r="1967" spans="1:9" x14ac:dyDescent="0.65">
      <c r="A1967" s="189" t="s">
        <v>448</v>
      </c>
      <c r="B1967" s="183" t="s">
        <v>1733</v>
      </c>
      <c r="C1967" s="184" t="s">
        <v>448</v>
      </c>
      <c r="D1967" s="184" t="s">
        <v>448</v>
      </c>
      <c r="E1967" s="185"/>
      <c r="F1967" s="185"/>
      <c r="G1967" s="186"/>
      <c r="H1967" s="186">
        <v>275197.55100000004</v>
      </c>
      <c r="I1967" s="193" t="s">
        <v>1767</v>
      </c>
    </row>
    <row r="1968" spans="1:9" x14ac:dyDescent="0.65">
      <c r="A1968" s="188" t="s">
        <v>448</v>
      </c>
      <c r="B1968" s="35" t="s">
        <v>448</v>
      </c>
      <c r="C1968" t="s">
        <v>448</v>
      </c>
      <c r="D1968" t="s">
        <v>448</v>
      </c>
      <c r="E1968" s="141"/>
      <c r="F1968" s="141"/>
      <c r="G1968" s="142"/>
      <c r="H1968" s="142"/>
      <c r="I1968" s="191" t="s">
        <v>1767</v>
      </c>
    </row>
    <row r="1969" spans="1:9" x14ac:dyDescent="0.65">
      <c r="A1969" s="187" t="s">
        <v>448</v>
      </c>
      <c r="B1969" s="29" t="s">
        <v>1860</v>
      </c>
      <c r="C1969" s="27" t="s">
        <v>448</v>
      </c>
      <c r="D1969" s="27" t="s">
        <v>448</v>
      </c>
      <c r="E1969" s="181"/>
      <c r="F1969" s="181"/>
      <c r="G1969" s="182"/>
      <c r="H1969" s="182"/>
      <c r="I1969" s="140" t="s">
        <v>1767</v>
      </c>
    </row>
    <row r="1970" spans="1:9" x14ac:dyDescent="0.65">
      <c r="A1970" s="188">
        <v>40700</v>
      </c>
      <c r="B1970" s="35" t="s">
        <v>1734</v>
      </c>
      <c r="C1970" t="s">
        <v>1735</v>
      </c>
      <c r="D1970" t="s">
        <v>451</v>
      </c>
      <c r="E1970" s="141">
        <v>1</v>
      </c>
      <c r="F1970" s="141">
        <v>337.16</v>
      </c>
      <c r="G1970" s="142"/>
      <c r="H1970" s="142">
        <v>337.16</v>
      </c>
      <c r="I1970" s="191" t="s">
        <v>945</v>
      </c>
    </row>
    <row r="1971" spans="1:9" x14ac:dyDescent="0.65">
      <c r="A1971" s="188">
        <v>40737</v>
      </c>
      <c r="B1971" s="35" t="s">
        <v>1736</v>
      </c>
      <c r="C1971" t="s">
        <v>1724</v>
      </c>
      <c r="D1971" t="s">
        <v>451</v>
      </c>
      <c r="E1971" s="141">
        <v>25.94</v>
      </c>
      <c r="F1971" s="141">
        <v>20.309999999999999</v>
      </c>
      <c r="G1971" s="142"/>
      <c r="H1971" s="142">
        <v>526.84140000000002</v>
      </c>
      <c r="I1971" s="191" t="s">
        <v>945</v>
      </c>
    </row>
    <row r="1972" spans="1:9" x14ac:dyDescent="0.65">
      <c r="A1972" s="188">
        <v>40752</v>
      </c>
      <c r="B1972" s="35" t="s">
        <v>1737</v>
      </c>
      <c r="C1972" t="s">
        <v>1724</v>
      </c>
      <c r="D1972" t="s">
        <v>451</v>
      </c>
      <c r="E1972" s="141">
        <v>1</v>
      </c>
      <c r="F1972" s="141">
        <v>268</v>
      </c>
      <c r="G1972" s="142"/>
      <c r="H1972" s="142">
        <v>268</v>
      </c>
      <c r="I1972" s="191" t="s">
        <v>945</v>
      </c>
    </row>
    <row r="1973" spans="1:9" x14ac:dyDescent="0.65">
      <c r="A1973" s="188">
        <v>40760</v>
      </c>
      <c r="B1973" s="35" t="s">
        <v>1738</v>
      </c>
      <c r="C1973" t="s">
        <v>1724</v>
      </c>
      <c r="D1973" t="s">
        <v>451</v>
      </c>
      <c r="E1973" s="141">
        <v>5.6</v>
      </c>
      <c r="F1973" s="141">
        <v>51.134999999999998</v>
      </c>
      <c r="G1973" s="142"/>
      <c r="H1973" s="142">
        <v>286.35599999999999</v>
      </c>
      <c r="I1973" s="191" t="s">
        <v>945</v>
      </c>
    </row>
    <row r="1974" spans="1:9" x14ac:dyDescent="0.65">
      <c r="A1974" s="188">
        <v>40792</v>
      </c>
      <c r="B1974" s="35" t="s">
        <v>1739</v>
      </c>
      <c r="C1974" t="s">
        <v>1724</v>
      </c>
      <c r="D1974" t="s">
        <v>451</v>
      </c>
      <c r="E1974" s="141">
        <v>493.74</v>
      </c>
      <c r="F1974" s="141">
        <v>51.134999999999998</v>
      </c>
      <c r="G1974" s="142"/>
      <c r="H1974" s="142">
        <v>25247.394899999999</v>
      </c>
      <c r="I1974" s="191" t="s">
        <v>945</v>
      </c>
    </row>
    <row r="1975" spans="1:9" x14ac:dyDescent="0.65">
      <c r="A1975" s="188">
        <v>40793</v>
      </c>
      <c r="B1975" s="35" t="s">
        <v>1740</v>
      </c>
      <c r="C1975" t="s">
        <v>1724</v>
      </c>
      <c r="D1975" t="s">
        <v>451</v>
      </c>
      <c r="E1975" s="141">
        <v>329.34</v>
      </c>
      <c r="F1975" s="141">
        <v>51.134999999999998</v>
      </c>
      <c r="G1975" s="142"/>
      <c r="H1975" s="142">
        <v>16840.800899999998</v>
      </c>
      <c r="I1975" s="191" t="s">
        <v>945</v>
      </c>
    </row>
    <row r="1976" spans="1:9" x14ac:dyDescent="0.65">
      <c r="A1976" s="188">
        <v>40795</v>
      </c>
      <c r="B1976" s="35" t="s">
        <v>1741</v>
      </c>
      <c r="C1976" t="s">
        <v>1724</v>
      </c>
      <c r="D1976" t="s">
        <v>451</v>
      </c>
      <c r="E1976" s="141">
        <v>296.44</v>
      </c>
      <c r="F1976" s="141">
        <v>51.134999999999998</v>
      </c>
      <c r="G1976" s="142"/>
      <c r="H1976" s="142">
        <v>15158.4594</v>
      </c>
      <c r="I1976" s="191" t="s">
        <v>945</v>
      </c>
    </row>
    <row r="1977" spans="1:9" x14ac:dyDescent="0.65">
      <c r="A1977" s="188">
        <v>40807</v>
      </c>
      <c r="B1977" s="35" t="s">
        <v>1742</v>
      </c>
      <c r="C1977" t="s">
        <v>1724</v>
      </c>
      <c r="D1977" t="s">
        <v>451</v>
      </c>
      <c r="E1977" s="141">
        <v>213.4</v>
      </c>
      <c r="F1977" s="141">
        <v>51.134999999999998</v>
      </c>
      <c r="G1977" s="142"/>
      <c r="H1977" s="142">
        <v>10912.209000000001</v>
      </c>
      <c r="I1977" s="191" t="s">
        <v>945</v>
      </c>
    </row>
    <row r="1978" spans="1:9" x14ac:dyDescent="0.65">
      <c r="A1978" s="188">
        <v>40807</v>
      </c>
      <c r="B1978" s="35" t="s">
        <v>1743</v>
      </c>
      <c r="C1978" t="s">
        <v>1724</v>
      </c>
      <c r="D1978" t="s">
        <v>451</v>
      </c>
      <c r="E1978" s="141">
        <v>296.44</v>
      </c>
      <c r="F1978" s="141">
        <v>51.134999999999998</v>
      </c>
      <c r="G1978" s="142"/>
      <c r="H1978" s="142">
        <v>15158.4594</v>
      </c>
      <c r="I1978" s="191" t="s">
        <v>945</v>
      </c>
    </row>
    <row r="1979" spans="1:9" x14ac:dyDescent="0.65">
      <c r="A1979" s="188">
        <v>40809</v>
      </c>
      <c r="B1979" s="35" t="s">
        <v>1744</v>
      </c>
      <c r="C1979" t="s">
        <v>1724</v>
      </c>
      <c r="D1979" t="s">
        <v>451</v>
      </c>
      <c r="E1979" s="141">
        <v>549.48</v>
      </c>
      <c r="F1979" s="141">
        <v>58</v>
      </c>
      <c r="G1979" s="142"/>
      <c r="H1979" s="142">
        <v>31869.84</v>
      </c>
      <c r="I1979" s="191" t="s">
        <v>945</v>
      </c>
    </row>
    <row r="1980" spans="1:9" x14ac:dyDescent="0.65">
      <c r="A1980" s="188">
        <v>40816</v>
      </c>
      <c r="B1980" s="35" t="s">
        <v>1745</v>
      </c>
      <c r="C1980" t="s">
        <v>1724</v>
      </c>
      <c r="D1980" s="141" t="s">
        <v>451</v>
      </c>
      <c r="E1980" s="141">
        <v>1</v>
      </c>
      <c r="F1980" s="142">
        <v>1200.0999999999999</v>
      </c>
      <c r="G1980" s="142"/>
      <c r="H1980" s="150">
        <v>1200.0999999999999</v>
      </c>
      <c r="I1980" s="191" t="s">
        <v>945</v>
      </c>
    </row>
    <row r="1981" spans="1:9" x14ac:dyDescent="0.65">
      <c r="A1981" s="188">
        <v>40819</v>
      </c>
      <c r="B1981" s="35" t="s">
        <v>1746</v>
      </c>
      <c r="C1981" t="s">
        <v>1724</v>
      </c>
      <c r="D1981" t="s">
        <v>451</v>
      </c>
      <c r="E1981" s="141">
        <v>11.72</v>
      </c>
      <c r="F1981" s="141">
        <v>13.64</v>
      </c>
      <c r="G1981" s="142"/>
      <c r="H1981" s="142">
        <v>159.86080000000001</v>
      </c>
      <c r="I1981" s="191" t="s">
        <v>945</v>
      </c>
    </row>
    <row r="1982" spans="1:9" x14ac:dyDescent="0.65">
      <c r="A1982" s="189" t="s">
        <v>448</v>
      </c>
      <c r="B1982" s="183" t="s">
        <v>1747</v>
      </c>
      <c r="C1982" s="184" t="s">
        <v>448</v>
      </c>
      <c r="D1982" s="184" t="s">
        <v>448</v>
      </c>
      <c r="E1982" s="185"/>
      <c r="F1982" s="185"/>
      <c r="G1982" s="186"/>
      <c r="H1982" s="186">
        <v>117965.48179999998</v>
      </c>
      <c r="I1982" s="193" t="s">
        <v>1767</v>
      </c>
    </row>
    <row r="1983" spans="1:9" x14ac:dyDescent="0.65">
      <c r="A1983" s="188" t="s">
        <v>448</v>
      </c>
      <c r="B1983" s="35" t="s">
        <v>448</v>
      </c>
      <c r="C1983" t="s">
        <v>448</v>
      </c>
      <c r="D1983" t="s">
        <v>448</v>
      </c>
      <c r="E1983" s="141"/>
      <c r="F1983" s="141"/>
      <c r="G1983" s="142"/>
      <c r="H1983" s="142"/>
      <c r="I1983" s="191" t="s">
        <v>1767</v>
      </c>
    </row>
    <row r="1984" spans="1:9" x14ac:dyDescent="0.65">
      <c r="A1984" s="187" t="s">
        <v>448</v>
      </c>
      <c r="B1984" s="29" t="s">
        <v>1861</v>
      </c>
      <c r="C1984" s="27" t="s">
        <v>448</v>
      </c>
      <c r="D1984" s="27" t="s">
        <v>448</v>
      </c>
      <c r="E1984" s="181"/>
      <c r="F1984" s="181"/>
      <c r="G1984" s="182"/>
      <c r="H1984" s="182"/>
      <c r="I1984" s="140" t="s">
        <v>1767</v>
      </c>
    </row>
    <row r="1985" spans="1:9" x14ac:dyDescent="0.65">
      <c r="A1985" s="188">
        <v>40683</v>
      </c>
      <c r="B1985" s="35" t="s">
        <v>370</v>
      </c>
      <c r="C1985" t="s">
        <v>1515</v>
      </c>
      <c r="D1985" t="s">
        <v>451</v>
      </c>
      <c r="E1985" s="141">
        <v>2</v>
      </c>
      <c r="F1985" s="141">
        <v>66.400000000000006</v>
      </c>
      <c r="G1985" s="142"/>
      <c r="H1985" s="142">
        <v>132.80000000000001</v>
      </c>
      <c r="I1985" s="191" t="s">
        <v>959</v>
      </c>
    </row>
    <row r="1986" spans="1:9" x14ac:dyDescent="0.65">
      <c r="A1986" s="188">
        <v>40767</v>
      </c>
      <c r="B1986" s="35" t="s">
        <v>1748</v>
      </c>
      <c r="C1986" t="s">
        <v>1515</v>
      </c>
      <c r="D1986" t="s">
        <v>451</v>
      </c>
      <c r="E1986" s="141">
        <v>1</v>
      </c>
      <c r="F1986" s="141">
        <v>2616.7600000000002</v>
      </c>
      <c r="G1986" s="142"/>
      <c r="H1986" s="142">
        <v>2616.7600000000002</v>
      </c>
      <c r="I1986" s="191" t="s">
        <v>959</v>
      </c>
    </row>
    <row r="1987" spans="1:9" ht="28.5" x14ac:dyDescent="0.65">
      <c r="A1987" s="188">
        <v>40779</v>
      </c>
      <c r="B1987" s="35" t="s">
        <v>1749</v>
      </c>
      <c r="C1987" t="s">
        <v>1515</v>
      </c>
      <c r="D1987" t="s">
        <v>451</v>
      </c>
      <c r="E1987" s="141">
        <v>1</v>
      </c>
      <c r="F1987" s="141">
        <v>65.28</v>
      </c>
      <c r="G1987" s="142"/>
      <c r="H1987" s="142">
        <v>65.28</v>
      </c>
      <c r="I1987" s="191" t="s">
        <v>959</v>
      </c>
    </row>
    <row r="1988" spans="1:9" x14ac:dyDescent="0.65">
      <c r="A1988" s="188">
        <v>40801</v>
      </c>
      <c r="B1988" s="35" t="s">
        <v>1750</v>
      </c>
      <c r="C1988" t="s">
        <v>1515</v>
      </c>
      <c r="D1988" t="s">
        <v>451</v>
      </c>
      <c r="E1988" s="141">
        <v>1</v>
      </c>
      <c r="F1988" s="141">
        <v>1307</v>
      </c>
      <c r="G1988" s="142"/>
      <c r="H1988" s="142">
        <v>1307</v>
      </c>
      <c r="I1988" s="191" t="s">
        <v>959</v>
      </c>
    </row>
    <row r="1989" spans="1:9" ht="28.5" x14ac:dyDescent="0.65">
      <c r="A1989" s="188">
        <v>40807</v>
      </c>
      <c r="B1989" s="35" t="s">
        <v>1751</v>
      </c>
      <c r="C1989" t="s">
        <v>1515</v>
      </c>
      <c r="D1989" t="s">
        <v>451</v>
      </c>
      <c r="E1989" s="141">
        <v>1</v>
      </c>
      <c r="F1989" s="141">
        <v>654.89</v>
      </c>
      <c r="G1989" s="142"/>
      <c r="H1989" s="142">
        <v>654.89</v>
      </c>
      <c r="I1989" s="191" t="s">
        <v>959</v>
      </c>
    </row>
    <row r="1990" spans="1:9" x14ac:dyDescent="0.65">
      <c r="A1990" s="188">
        <v>40813</v>
      </c>
      <c r="B1990" s="35" t="s">
        <v>1752</v>
      </c>
      <c r="C1990" t="s">
        <v>1753</v>
      </c>
      <c r="D1990" t="s">
        <v>451</v>
      </c>
      <c r="E1990" s="141">
        <v>1</v>
      </c>
      <c r="F1990" s="141">
        <v>205.7</v>
      </c>
      <c r="G1990" s="142"/>
      <c r="H1990" s="142">
        <v>205.7</v>
      </c>
      <c r="I1990" s="191" t="s">
        <v>959</v>
      </c>
    </row>
    <row r="1991" spans="1:9" x14ac:dyDescent="0.65">
      <c r="A1991" s="189" t="s">
        <v>448</v>
      </c>
      <c r="B1991" s="183" t="s">
        <v>1754</v>
      </c>
      <c r="C1991" s="184" t="s">
        <v>448</v>
      </c>
      <c r="D1991" s="184" t="s">
        <v>448</v>
      </c>
      <c r="E1991" s="185"/>
      <c r="F1991" s="185"/>
      <c r="G1991" s="186"/>
      <c r="H1991" s="186">
        <v>4982.43</v>
      </c>
      <c r="I1991" s="193" t="s">
        <v>1767</v>
      </c>
    </row>
    <row r="1992" spans="1:9" x14ac:dyDescent="0.65">
      <c r="A1992" s="188" t="s">
        <v>448</v>
      </c>
      <c r="B1992" s="35" t="s">
        <v>448</v>
      </c>
      <c r="C1992" t="s">
        <v>448</v>
      </c>
      <c r="D1992" t="s">
        <v>448</v>
      </c>
      <c r="E1992" s="141"/>
      <c r="F1992" s="141"/>
      <c r="G1992" s="142"/>
      <c r="H1992" s="142"/>
      <c r="I1992" s="191" t="s">
        <v>1767</v>
      </c>
    </row>
    <row r="1993" spans="1:9" x14ac:dyDescent="0.65">
      <c r="A1993" s="187" t="s">
        <v>448</v>
      </c>
      <c r="B1993" s="29" t="s">
        <v>1862</v>
      </c>
      <c r="C1993" s="27" t="s">
        <v>448</v>
      </c>
      <c r="D1993" s="27" t="s">
        <v>448</v>
      </c>
      <c r="E1993" s="181"/>
      <c r="F1993" s="181"/>
      <c r="G1993" s="182"/>
      <c r="H1993" s="182"/>
      <c r="I1993" s="140" t="s">
        <v>1767</v>
      </c>
    </row>
    <row r="1994" spans="1:9" x14ac:dyDescent="0.65">
      <c r="A1994" s="188">
        <v>40780</v>
      </c>
      <c r="B1994" s="35" t="s">
        <v>1755</v>
      </c>
      <c r="C1994" t="s">
        <v>1756</v>
      </c>
      <c r="D1994" t="s">
        <v>451</v>
      </c>
      <c r="E1994" s="141">
        <v>1</v>
      </c>
      <c r="F1994" s="141">
        <v>136.65</v>
      </c>
      <c r="G1994" s="142"/>
      <c r="H1994" s="142">
        <v>136.65</v>
      </c>
      <c r="I1994" s="191" t="s">
        <v>944</v>
      </c>
    </row>
    <row r="1995" spans="1:9" x14ac:dyDescent="0.65">
      <c r="A1995" s="188">
        <v>40791</v>
      </c>
      <c r="B1995" s="35" t="s">
        <v>1757</v>
      </c>
      <c r="C1995" t="s">
        <v>1756</v>
      </c>
      <c r="D1995" t="s">
        <v>451</v>
      </c>
      <c r="E1995" s="141">
        <v>1</v>
      </c>
      <c r="F1995" s="141">
        <v>2489.1999999999998</v>
      </c>
      <c r="G1995" s="142"/>
      <c r="H1995" s="142">
        <v>2489.1999999999998</v>
      </c>
      <c r="I1995" s="191" t="s">
        <v>944</v>
      </c>
    </row>
    <row r="1996" spans="1:9" x14ac:dyDescent="0.65">
      <c r="A1996" s="189" t="s">
        <v>448</v>
      </c>
      <c r="B1996" s="183" t="s">
        <v>1758</v>
      </c>
      <c r="C1996" s="184" t="s">
        <v>448</v>
      </c>
      <c r="D1996" s="184" t="s">
        <v>448</v>
      </c>
      <c r="E1996" s="185"/>
      <c r="F1996" s="185"/>
      <c r="G1996" s="186"/>
      <c r="H1996" s="186">
        <v>2625.85</v>
      </c>
      <c r="I1996" s="193" t="s">
        <v>1767</v>
      </c>
    </row>
    <row r="1997" spans="1:9" x14ac:dyDescent="0.65">
      <c r="A1997" s="188" t="s">
        <v>448</v>
      </c>
      <c r="B1997" s="35" t="s">
        <v>448</v>
      </c>
      <c r="C1997" t="s">
        <v>448</v>
      </c>
      <c r="D1997" t="s">
        <v>448</v>
      </c>
      <c r="E1997" s="141"/>
      <c r="F1997" s="141"/>
      <c r="G1997" s="142"/>
      <c r="H1997" s="142"/>
      <c r="I1997" s="191" t="s">
        <v>1767</v>
      </c>
    </row>
    <row r="1998" spans="1:9" x14ac:dyDescent="0.65">
      <c r="A1998" s="187" t="s">
        <v>448</v>
      </c>
      <c r="B1998" s="29" t="s">
        <v>1863</v>
      </c>
      <c r="C1998" s="27" t="s">
        <v>448</v>
      </c>
      <c r="D1998" s="27" t="s">
        <v>448</v>
      </c>
      <c r="E1998" s="181"/>
      <c r="F1998" s="181"/>
      <c r="G1998" s="182"/>
      <c r="H1998" s="182"/>
      <c r="I1998" s="140" t="s">
        <v>1767</v>
      </c>
    </row>
    <row r="1999" spans="1:9" x14ac:dyDescent="0.65">
      <c r="A1999" s="188">
        <v>40729</v>
      </c>
      <c r="B1999" s="35" t="s">
        <v>1759</v>
      </c>
      <c r="C1999" t="s">
        <v>1760</v>
      </c>
      <c r="D1999" t="s">
        <v>451</v>
      </c>
      <c r="E1999" s="141">
        <v>1</v>
      </c>
      <c r="F1999" s="141">
        <v>16131</v>
      </c>
      <c r="G1999" s="142"/>
      <c r="H1999" s="142">
        <v>16131</v>
      </c>
      <c r="I1999" s="191" t="s">
        <v>961</v>
      </c>
    </row>
    <row r="2000" spans="1:9" x14ac:dyDescent="0.65">
      <c r="A2000" s="188">
        <v>40765</v>
      </c>
      <c r="B2000" s="35" t="s">
        <v>1761</v>
      </c>
      <c r="C2000" t="s">
        <v>1442</v>
      </c>
      <c r="D2000" t="s">
        <v>451</v>
      </c>
      <c r="E2000" s="141">
        <v>1</v>
      </c>
      <c r="F2000" s="141">
        <v>1484</v>
      </c>
      <c r="G2000" s="142"/>
      <c r="H2000" s="142">
        <v>1484</v>
      </c>
      <c r="I2000" s="191" t="s">
        <v>961</v>
      </c>
    </row>
    <row r="2001" spans="1:9" x14ac:dyDescent="0.65">
      <c r="A2001" s="189" t="s">
        <v>448</v>
      </c>
      <c r="B2001" s="183" t="s">
        <v>1762</v>
      </c>
      <c r="C2001" s="184" t="s">
        <v>448</v>
      </c>
      <c r="D2001" s="184" t="s">
        <v>448</v>
      </c>
      <c r="E2001" s="185"/>
      <c r="F2001" s="185"/>
      <c r="G2001" s="186"/>
      <c r="H2001" s="186">
        <v>17615</v>
      </c>
      <c r="I2001" s="193" t="s">
        <v>1767</v>
      </c>
    </row>
    <row r="2002" spans="1:9" x14ac:dyDescent="0.65">
      <c r="A2002" s="188" t="s">
        <v>448</v>
      </c>
      <c r="B2002" s="35" t="s">
        <v>448</v>
      </c>
      <c r="C2002" t="s">
        <v>448</v>
      </c>
      <c r="D2002" t="s">
        <v>448</v>
      </c>
      <c r="E2002" s="141"/>
      <c r="F2002" s="141"/>
      <c r="G2002" s="142"/>
      <c r="H2002" s="142"/>
      <c r="I2002" s="191" t="s">
        <v>1767</v>
      </c>
    </row>
    <row r="2003" spans="1:9" x14ac:dyDescent="0.65">
      <c r="A2003" s="187" t="s">
        <v>448</v>
      </c>
      <c r="B2003" s="29" t="s">
        <v>1864</v>
      </c>
      <c r="C2003" s="27" t="s">
        <v>448</v>
      </c>
      <c r="D2003" s="27" t="s">
        <v>448</v>
      </c>
      <c r="E2003" s="181"/>
      <c r="F2003" s="181"/>
      <c r="G2003" s="182"/>
      <c r="H2003" s="182"/>
      <c r="I2003" s="140" t="s">
        <v>1767</v>
      </c>
    </row>
    <row r="2004" spans="1:9" x14ac:dyDescent="0.65">
      <c r="A2004" s="188">
        <v>40701</v>
      </c>
      <c r="B2004" s="35" t="s">
        <v>1763</v>
      </c>
      <c r="C2004" t="s">
        <v>1442</v>
      </c>
      <c r="D2004" t="s">
        <v>451</v>
      </c>
      <c r="E2004" s="141">
        <v>1</v>
      </c>
      <c r="F2004" s="141">
        <v>12762</v>
      </c>
      <c r="G2004" s="142"/>
      <c r="H2004" s="142">
        <v>12762</v>
      </c>
      <c r="I2004" s="191" t="s">
        <v>960</v>
      </c>
    </row>
    <row r="2005" spans="1:9" x14ac:dyDescent="0.65">
      <c r="A2005" s="188">
        <v>40765</v>
      </c>
      <c r="B2005" s="35" t="s">
        <v>1603</v>
      </c>
      <c r="C2005" t="s">
        <v>1442</v>
      </c>
      <c r="D2005" t="s">
        <v>451</v>
      </c>
      <c r="E2005" s="141">
        <v>4</v>
      </c>
      <c r="F2005" s="141">
        <v>175.5</v>
      </c>
      <c r="G2005" s="142"/>
      <c r="H2005" s="142">
        <v>702</v>
      </c>
      <c r="I2005" s="191" t="s">
        <v>960</v>
      </c>
    </row>
    <row r="2006" spans="1:9" x14ac:dyDescent="0.65">
      <c r="A2006" s="188">
        <v>40787</v>
      </c>
      <c r="B2006" s="35" t="s">
        <v>1764</v>
      </c>
      <c r="C2006" t="s">
        <v>1442</v>
      </c>
      <c r="D2006" t="s">
        <v>451</v>
      </c>
      <c r="E2006" s="141">
        <v>1</v>
      </c>
      <c r="F2006" s="141">
        <v>220</v>
      </c>
      <c r="G2006" s="142"/>
      <c r="H2006" s="142">
        <v>220</v>
      </c>
      <c r="I2006" s="191" t="s">
        <v>960</v>
      </c>
    </row>
    <row r="2007" spans="1:9" x14ac:dyDescent="0.65">
      <c r="A2007" s="189" t="s">
        <v>448</v>
      </c>
      <c r="B2007" s="183" t="s">
        <v>1765</v>
      </c>
      <c r="C2007" s="184" t="s">
        <v>448</v>
      </c>
      <c r="D2007" s="184" t="s">
        <v>448</v>
      </c>
      <c r="E2007" s="185"/>
      <c r="F2007" s="185"/>
      <c r="G2007" s="186"/>
      <c r="H2007" s="186">
        <v>13684</v>
      </c>
      <c r="I2007" s="193" t="s">
        <v>1767</v>
      </c>
    </row>
    <row r="2008" spans="1:9" x14ac:dyDescent="0.65">
      <c r="A2008" s="188" t="s">
        <v>448</v>
      </c>
      <c r="B2008" s="35" t="s">
        <v>448</v>
      </c>
      <c r="C2008" t="s">
        <v>448</v>
      </c>
      <c r="D2008" t="s">
        <v>448</v>
      </c>
      <c r="E2008" s="141"/>
      <c r="F2008" s="141"/>
      <c r="G2008" s="142"/>
      <c r="H2008" s="142"/>
      <c r="I2008" s="191" t="s">
        <v>1767</v>
      </c>
    </row>
    <row r="2009" spans="1:9" x14ac:dyDescent="0.65">
      <c r="A2009" s="190" t="s">
        <v>448</v>
      </c>
      <c r="B2009" s="144" t="s">
        <v>1766</v>
      </c>
      <c r="C2009" s="143" t="s">
        <v>448</v>
      </c>
      <c r="D2009" s="143" t="s">
        <v>448</v>
      </c>
      <c r="E2009" s="145"/>
      <c r="F2009" s="145"/>
      <c r="G2009" s="146"/>
      <c r="H2009" s="146">
        <v>1982828.898</v>
      </c>
      <c r="I2009" s="194" t="s">
        <v>1767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88A490BCC56CF439367DE6B60B34531" ma:contentTypeVersion="8" ma:contentTypeDescription="Create a new document." ma:contentTypeScope="" ma:versionID="0cffa3eeb55336aef0c8535565533bea">
  <xsd:schema xmlns:xsd="http://www.w3.org/2001/XMLSchema" xmlns:xs="http://www.w3.org/2001/XMLSchema" xmlns:p="http://schemas.microsoft.com/office/2006/metadata/properties" xmlns:ns3="9d3f8160-a2c4-4633-b17d-d1ececd3ee25" targetNamespace="http://schemas.microsoft.com/office/2006/metadata/properties" ma:root="true" ma:fieldsID="fa4628a2a9efb223b37187676759f8c2" ns3:_="">
    <xsd:import namespace="9d3f8160-a2c4-4633-b17d-d1ececd3ee2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f8160-a2c4-4633-b17d-d1ececd3e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EFEE8-523F-4B5A-BB58-233F9E739F00}">
  <ds:schemaRefs>
    <ds:schemaRef ds:uri="http://schemas.microsoft.com/office/2006/metadata/properties"/>
    <ds:schemaRef ds:uri="http://schemas.openxmlformats.org/package/2006/metadata/core-properties"/>
    <ds:schemaRef ds:uri="http://schemas.microsoft.com/office/2006/documentManagement/types"/>
    <ds:schemaRef ds:uri="http://purl.org/dc/terms/"/>
    <ds:schemaRef ds:uri="9d3f8160-a2c4-4633-b17d-d1ececd3ee25"/>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29E2940C-AB73-46AC-924D-69F648725865}">
  <ds:schemaRefs>
    <ds:schemaRef ds:uri="http://schemas.microsoft.com/sharepoint/v3/contenttype/forms"/>
  </ds:schemaRefs>
</ds:datastoreItem>
</file>

<file path=customXml/itemProps3.xml><?xml version="1.0" encoding="utf-8"?>
<ds:datastoreItem xmlns:ds="http://schemas.openxmlformats.org/officeDocument/2006/customXml" ds:itemID="{B1772F70-8D47-4C33-AB2F-469E686C54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f8160-a2c4-4633-b17d-d1ececd3e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2</vt:i4>
      </vt:variant>
    </vt:vector>
  </HeadingPairs>
  <TitlesOfParts>
    <vt:vector size="10" baseType="lpstr">
      <vt:lpstr>Estimate</vt:lpstr>
      <vt:lpstr>Resources</vt:lpstr>
      <vt:lpstr>Model Inputs</vt:lpstr>
      <vt:lpstr>Non-Work Days</vt:lpstr>
      <vt:lpstr>Program Links</vt:lpstr>
      <vt:lpstr>Budget &amp; Revenue</vt:lpstr>
      <vt:lpstr>Portfolio WBS</vt:lpstr>
      <vt:lpstr>Actual Costs</vt:lpstr>
      <vt:lpstr>NWDays</vt:lpstr>
      <vt:lpstr>workhrs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Thiele</dc:creator>
  <cp:lastModifiedBy>Nathan</cp:lastModifiedBy>
  <dcterms:created xsi:type="dcterms:W3CDTF">2018-05-16T21:58:50Z</dcterms:created>
  <dcterms:modified xsi:type="dcterms:W3CDTF">2022-02-06T13:57:28Z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0x010100888A490BCC56CF439367DE6B60B34531</vt:lpwstr>
  </property>
</Properties>
</file>