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ef2f88928e8089/Documents/"/>
    </mc:Choice>
  </mc:AlternateContent>
  <xr:revisionPtr revIDLastSave="218" documentId="8_{90B8CEE0-D0CA-4F6F-BF04-CF5BF0D6CDE1}" xr6:coauthVersionLast="47" xr6:coauthVersionMax="47" xr10:uidLastSave="{3B96B809-F1AF-4A8B-896F-A51D3C6DD0B4}"/>
  <bookViews>
    <workbookView xWindow="975" yWindow="975" windowWidth="23055" windowHeight="13740" activeTab="1" xr2:uid="{3EDFDA48-E311-4EB8-9712-D26C83ECE829}"/>
  </bookViews>
  <sheets>
    <sheet name="READ ME" sheetId="6" r:id="rId1"/>
    <sheet name="General" sheetId="1" r:id="rId2"/>
    <sheet name="Simple" sheetId="4" r:id="rId3"/>
    <sheet name="TaxTables_etc" sheetId="5" r:id="rId4"/>
  </sheets>
  <definedNames>
    <definedName name="adl_med_base" localSheetId="2">Simple!$O$4</definedName>
    <definedName name="adl_med_base">General!$P$4</definedName>
    <definedName name="FIT_diffs" localSheetId="2">Simple!$P$8:$P$14</definedName>
    <definedName name="FIT_diffs">General!$Q$8:$Q$14</definedName>
    <definedName name="FIT_thresh" localSheetId="2">Simple!$N$8:$N$14</definedName>
    <definedName name="FIT_thresh">General!$O$8:$O$14</definedName>
    <definedName name="QBI_po_size" localSheetId="2">Simple!$O$6</definedName>
    <definedName name="QBI_po_size">General!$P$6</definedName>
    <definedName name="QBI_po_start" localSheetId="2">Simple!$O$5</definedName>
    <definedName name="QBI_po_start">General!$P$5</definedName>
    <definedName name="SIT_diffs" localSheetId="2">Simple!$P$26:$P$35</definedName>
    <definedName name="SIT_diffs">General!$Q$26:$Q$35</definedName>
    <definedName name="SIT_thresh" localSheetId="2">Simple!$N$26:$N$35</definedName>
    <definedName name="SIT_thresh">General!$O$26:$O$35</definedName>
    <definedName name="SS_cap" localSheetId="2">Simple!$O$3</definedName>
    <definedName name="SS_cap">General!$P$3</definedName>
    <definedName name="st_creds" localSheetId="2">Simple!$O$22</definedName>
    <definedName name="st_creds">General!$P$22</definedName>
    <definedName name="st_ded_diff" localSheetId="2">Simple!$P$19:$P$21</definedName>
    <definedName name="st_ded_diff">General!$Q$19:$Q$21</definedName>
    <definedName name="st_ded_thresh" localSheetId="2">Simple!$N$19:$N$21</definedName>
    <definedName name="st_ded_thresh">General!$O$19:$O$21</definedName>
    <definedName name="st_pr_cap" localSheetId="2">Simple!$O$24</definedName>
    <definedName name="st_pr_cap">General!$P$24</definedName>
    <definedName name="st_pr_rate" localSheetId="2">Simple!$O$23</definedName>
    <definedName name="st_pr_rate">General!$P$23</definedName>
    <definedName name="st_start" localSheetId="2">Simple!$O$17</definedName>
    <definedName name="st_start">General!$P$17</definedName>
    <definedName name="standard_ded" localSheetId="2">Simple!$O$2</definedName>
    <definedName name="standard_ded">General!$P$2</definedName>
    <definedName name="TaxRates_2025_MFJ">#REF!</definedName>
    <definedName name="TaxRates_2025_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6" i="1" l="1"/>
  <c r="D2" i="1"/>
  <c r="P26" i="4"/>
  <c r="C2" i="4"/>
  <c r="E28" i="1"/>
  <c r="E18" i="1"/>
  <c r="B4" i="4" l="1"/>
  <c r="C23" i="1"/>
  <c r="C119" i="1"/>
  <c r="C110" i="1"/>
  <c r="C111" i="1" s="1"/>
  <c r="C99" i="1"/>
  <c r="C89" i="1"/>
  <c r="C90" i="1" s="1"/>
  <c r="C81" i="1"/>
  <c r="C79" i="1"/>
  <c r="C65" i="1"/>
  <c r="C63" i="1"/>
  <c r="C66" i="1" s="1"/>
  <c r="C62" i="1"/>
  <c r="D119" i="1"/>
  <c r="D110" i="1"/>
  <c r="D111" i="1" s="1"/>
  <c r="D99" i="1"/>
  <c r="D89" i="1"/>
  <c r="D90" i="1" s="1"/>
  <c r="D81" i="1"/>
  <c r="D79" i="1"/>
  <c r="D65" i="1"/>
  <c r="D63" i="1"/>
  <c r="D66" i="1" s="1"/>
  <c r="D62" i="1"/>
  <c r="C14" i="4"/>
  <c r="B14" i="4"/>
  <c r="C28" i="4"/>
  <c r="C27" i="4"/>
  <c r="C10" i="4"/>
  <c r="C9" i="4"/>
  <c r="B115" i="4"/>
  <c r="B106" i="4"/>
  <c r="B107" i="4" s="1"/>
  <c r="B95" i="4"/>
  <c r="B86" i="4"/>
  <c r="B85" i="4"/>
  <c r="B77" i="4"/>
  <c r="B75" i="4"/>
  <c r="B61" i="4"/>
  <c r="B62" i="4" s="1"/>
  <c r="B59" i="4"/>
  <c r="B58" i="4"/>
  <c r="C95" i="4"/>
  <c r="C86" i="4"/>
  <c r="C85" i="4"/>
  <c r="C4" i="4" l="1"/>
  <c r="C67" i="1"/>
  <c r="C76" i="1" s="1"/>
  <c r="D67" i="1"/>
  <c r="D76" i="1" s="1"/>
  <c r="C5" i="4" l="1"/>
  <c r="C6" i="4" s="1"/>
  <c r="C13" i="4" s="1"/>
  <c r="C15" i="4" s="1"/>
  <c r="C20" i="4"/>
  <c r="B63" i="4"/>
  <c r="B72" i="4" s="1"/>
  <c r="D4" i="4"/>
  <c r="B5" i="4" l="1"/>
  <c r="D7" i="1"/>
  <c r="C7" i="1"/>
  <c r="B9" i="4" l="1"/>
  <c r="B28" i="4"/>
  <c r="C115" i="4" l="1"/>
  <c r="C106" i="4"/>
  <c r="C107" i="4" s="1"/>
  <c r="C77" i="4"/>
  <c r="C75" i="4"/>
  <c r="C61" i="4"/>
  <c r="C59" i="4"/>
  <c r="C58" i="4"/>
  <c r="B27" i="4"/>
  <c r="P14" i="4"/>
  <c r="P13" i="4"/>
  <c r="P12" i="4"/>
  <c r="P11" i="4"/>
  <c r="P10" i="4"/>
  <c r="P9" i="4"/>
  <c r="P8" i="4"/>
  <c r="D31" i="4"/>
  <c r="D26" i="4"/>
  <c r="B10" i="4" l="1"/>
  <c r="D24" i="4"/>
  <c r="D21" i="4"/>
  <c r="B20" i="4" l="1"/>
  <c r="C62" i="4"/>
  <c r="D23" i="4"/>
  <c r="D28" i="4"/>
  <c r="D5" i="4"/>
  <c r="D25" i="4"/>
  <c r="D6" i="4"/>
  <c r="D18" i="4"/>
  <c r="D29" i="4"/>
  <c r="D27" i="4"/>
  <c r="D14" i="4"/>
  <c r="E26" i="1"/>
  <c r="D13" i="4"/>
  <c r="D17" i="4"/>
  <c r="D15" i="4"/>
  <c r="D20" i="4"/>
  <c r="D9" i="4"/>
  <c r="D19" i="4"/>
  <c r="D10" i="4"/>
  <c r="B6" i="4" l="1"/>
  <c r="B13" i="4" s="1"/>
  <c r="C63" i="4"/>
  <c r="C72" i="4" s="1"/>
  <c r="D25" i="1"/>
  <c r="D27" i="1" s="1"/>
  <c r="D24" i="1"/>
  <c r="D23" i="1"/>
  <c r="D15" i="1"/>
  <c r="D14" i="1"/>
  <c r="D18" i="1" s="1"/>
  <c r="D13" i="1"/>
  <c r="C25" i="1"/>
  <c r="C24" i="1"/>
  <c r="C28" i="1" s="1"/>
  <c r="C15" i="1"/>
  <c r="C14" i="1"/>
  <c r="C13" i="1"/>
  <c r="E14" i="1"/>
  <c r="E16" i="1"/>
  <c r="E15" i="1"/>
  <c r="E24" i="1"/>
  <c r="E17" i="1"/>
  <c r="E25" i="1"/>
  <c r="E13" i="1"/>
  <c r="E23" i="1"/>
  <c r="C3" i="1" l="1"/>
  <c r="C18" i="1"/>
  <c r="D8" i="1"/>
  <c r="D28" i="1"/>
  <c r="C17" i="1"/>
  <c r="D3" i="1"/>
  <c r="D4" i="1" s="1"/>
  <c r="C26" i="1"/>
  <c r="B15" i="4"/>
  <c r="C4" i="1"/>
  <c r="C27" i="1"/>
  <c r="C8" i="1"/>
  <c r="D16" i="1"/>
  <c r="D17" i="1"/>
  <c r="D40" i="1" s="1"/>
  <c r="C16" i="1"/>
  <c r="D26" i="1"/>
  <c r="D33" i="1" l="1"/>
  <c r="C40" i="1"/>
  <c r="C33" i="1"/>
  <c r="B74" i="4"/>
  <c r="B100" i="4"/>
  <c r="B109" i="4"/>
  <c r="B111" i="4" s="1"/>
  <c r="B112" i="4" s="1"/>
  <c r="C100" i="4"/>
  <c r="C55" i="4" s="1"/>
  <c r="C74" i="4"/>
  <c r="C88" i="4" s="1"/>
  <c r="C90" i="4" s="1"/>
  <c r="C91" i="4" s="1"/>
  <c r="C109" i="4"/>
  <c r="C111" i="4" s="1"/>
  <c r="C112" i="4" s="1"/>
  <c r="B102" i="4" l="1"/>
  <c r="B103" i="4" s="1"/>
  <c r="B108" i="4" s="1"/>
  <c r="B113" i="4" s="1"/>
  <c r="B55" i="4"/>
  <c r="B114" i="4"/>
  <c r="B88" i="4"/>
  <c r="B90" i="4" s="1"/>
  <c r="B91" i="4" s="1"/>
  <c r="B76" i="4"/>
  <c r="B78" i="4" s="1"/>
  <c r="C56" i="4"/>
  <c r="C71" i="4" s="1"/>
  <c r="C76" i="4"/>
  <c r="C78" i="4" s="1"/>
  <c r="C102" i="4"/>
  <c r="C114" i="4"/>
  <c r="D34" i="1"/>
  <c r="C64" i="4" l="1"/>
  <c r="B56" i="4"/>
  <c r="B64" i="4" s="1"/>
  <c r="C103" i="4"/>
  <c r="C108" i="4" s="1"/>
  <c r="C113" i="4" s="1"/>
  <c r="C73" i="4"/>
  <c r="C79" i="4" s="1"/>
  <c r="B71" i="4" l="1"/>
  <c r="B73" i="4" s="1"/>
  <c r="B79" i="4" s="1"/>
  <c r="B80" i="4" s="1"/>
  <c r="B65" i="4" s="1"/>
  <c r="B66" i="4" s="1"/>
  <c r="B68" i="4" s="1"/>
  <c r="B69" i="4" s="1"/>
  <c r="C80" i="4"/>
  <c r="C65" i="4" s="1"/>
  <c r="C66" i="4" s="1"/>
  <c r="C68" i="4" s="1"/>
  <c r="B82" i="4" l="1"/>
  <c r="B87" i="4" s="1"/>
  <c r="B92" i="4" s="1"/>
  <c r="B94" i="4" s="1"/>
  <c r="B16" i="4" s="1"/>
  <c r="B17" i="4" s="1"/>
  <c r="B23" i="4" s="1"/>
  <c r="C69" i="4"/>
  <c r="C82" i="4"/>
  <c r="C87" i="4" s="1"/>
  <c r="C92" i="4" s="1"/>
  <c r="C94" i="4" s="1"/>
  <c r="C16" i="4" s="1"/>
  <c r="C17" i="4" s="1"/>
  <c r="B24" i="4" l="1" a="1"/>
  <c r="B24" i="4" s="1"/>
  <c r="B25" i="4" s="1"/>
  <c r="C23" i="4"/>
  <c r="C18" i="4"/>
  <c r="C19" i="4" s="1" a="1"/>
  <c r="C19" i="4" s="1"/>
  <c r="B18" i="4"/>
  <c r="B19" i="4" s="1" a="1"/>
  <c r="B19" i="4" s="1"/>
  <c r="B21" i="4" s="1"/>
  <c r="B32" i="4" s="1"/>
  <c r="D47" i="1"/>
  <c r="C47" i="1"/>
  <c r="Q8" i="1"/>
  <c r="E45" i="1"/>
  <c r="E43" i="1"/>
  <c r="E48" i="1"/>
  <c r="E47" i="1"/>
  <c r="E27" i="1"/>
  <c r="E44" i="1"/>
  <c r="B26" i="4" l="1" a="1"/>
  <c r="B26" i="4" s="1"/>
  <c r="B29" i="4" s="1"/>
  <c r="B31" i="4" s="1"/>
  <c r="C24" i="4" a="1"/>
  <c r="C24" i="4" s="1"/>
  <c r="C25" i="4" s="1"/>
  <c r="C21" i="4"/>
  <c r="C32" i="4" s="1"/>
  <c r="C34" i="1"/>
  <c r="Q9" i="1"/>
  <c r="Q10" i="1"/>
  <c r="Q11" i="1"/>
  <c r="Q12" i="1"/>
  <c r="Q13" i="1"/>
  <c r="Q14" i="1"/>
  <c r="E35" i="1"/>
  <c r="E50" i="1"/>
  <c r="E33" i="1"/>
  <c r="E40" i="1"/>
  <c r="E46" i="1"/>
  <c r="E3" i="1"/>
  <c r="E34" i="1"/>
  <c r="E41" i="1"/>
  <c r="E38" i="1"/>
  <c r="E39" i="1"/>
  <c r="E7" i="1"/>
  <c r="E37" i="1"/>
  <c r="E4" i="1"/>
  <c r="B34" i="4" l="1"/>
  <c r="B33" i="4"/>
  <c r="C26" i="4" a="1"/>
  <c r="C26" i="4" s="1"/>
  <c r="C29" i="4" s="1"/>
  <c r="C31" i="4" s="1"/>
  <c r="C33" i="4" s="1"/>
  <c r="C35" i="1"/>
  <c r="E8" i="1"/>
  <c r="C104" i="1" l="1"/>
  <c r="C78" i="1"/>
  <c r="C113" i="1"/>
  <c r="C115" i="1" s="1"/>
  <c r="C116" i="1" s="1"/>
  <c r="C34" i="4"/>
  <c r="C35" i="4" s="1"/>
  <c r="C36" i="4" l="1"/>
  <c r="C92" i="1"/>
  <c r="C94" i="1" s="1"/>
  <c r="C95" i="1" s="1"/>
  <c r="C80" i="1"/>
  <c r="C82" i="1" s="1"/>
  <c r="C118" i="1"/>
  <c r="C59" i="1"/>
  <c r="C106" i="1"/>
  <c r="C107" i="1" s="1"/>
  <c r="C112" i="1" s="1"/>
  <c r="C117" i="1" s="1"/>
  <c r="C60" i="1" l="1"/>
  <c r="C75" i="1" l="1"/>
  <c r="C77" i="1" s="1"/>
  <c r="C83" i="1" s="1"/>
  <c r="C84" i="1" s="1"/>
  <c r="C69" i="1" s="1"/>
  <c r="C68" i="1"/>
  <c r="C70" i="1" l="1"/>
  <c r="C72" i="1" s="1"/>
  <c r="C86" i="1" s="1"/>
  <c r="C91" i="1" s="1"/>
  <c r="C96" i="1" s="1"/>
  <c r="C98" i="1" s="1"/>
  <c r="C36" i="1" s="1"/>
  <c r="C37" i="1" s="1"/>
  <c r="C43" i="1" l="1"/>
  <c r="C38" i="1"/>
  <c r="C39" i="1" s="1" a="1"/>
  <c r="C39" i="1" s="1"/>
  <c r="C41" i="1" s="1"/>
  <c r="C73" i="1"/>
  <c r="D35" i="1"/>
  <c r="C44" i="1" l="1" a="1"/>
  <c r="C44" i="1" s="1"/>
  <c r="C45" i="1" s="1"/>
  <c r="C46" i="1" s="1" a="1"/>
  <c r="C46" i="1" s="1"/>
  <c r="C51" i="1"/>
  <c r="D104" i="1"/>
  <c r="D59" i="1" s="1"/>
  <c r="D60" i="1" s="1"/>
  <c r="D78" i="1"/>
  <c r="D113" i="1"/>
  <c r="D115" i="1" s="1"/>
  <c r="D116" i="1" s="1"/>
  <c r="C48" i="1" l="1"/>
  <c r="C50" i="1" s="1"/>
  <c r="D106" i="1"/>
  <c r="D107" i="1" s="1"/>
  <c r="D112" i="1" s="1"/>
  <c r="D117" i="1" s="1"/>
  <c r="D118" i="1"/>
  <c r="D92" i="1"/>
  <c r="D94" i="1" s="1"/>
  <c r="D95" i="1" s="1"/>
  <c r="D80" i="1"/>
  <c r="D82" i="1" s="1"/>
  <c r="D68" i="1"/>
  <c r="D75" i="1"/>
  <c r="D77" i="1" s="1"/>
  <c r="C52" i="1" l="1"/>
  <c r="C53" i="1"/>
  <c r="D83" i="1"/>
  <c r="D84" i="1" s="1"/>
  <c r="D69" i="1" s="1"/>
  <c r="D70" i="1" s="1"/>
  <c r="D72" i="1" s="1"/>
  <c r="D86" i="1" s="1"/>
  <c r="D91" i="1" s="1"/>
  <c r="D96" i="1" s="1"/>
  <c r="D98" i="1" s="1"/>
  <c r="D36" i="1" l="1"/>
  <c r="D37" i="1" s="1"/>
  <c r="D73" i="1"/>
  <c r="D43" i="1" l="1"/>
  <c r="D38" i="1"/>
  <c r="D39" i="1" s="1" a="1"/>
  <c r="D39" i="1" s="1"/>
  <c r="D41" i="1" s="1"/>
  <c r="D44" i="1" l="1" a="1"/>
  <c r="D44" i="1" s="1"/>
  <c r="D45" i="1" s="1"/>
  <c r="D46" i="1" s="1" a="1"/>
  <c r="D46" i="1" s="1"/>
  <c r="D51" i="1"/>
  <c r="D48" i="1" l="1"/>
  <c r="D50" i="1" s="1"/>
  <c r="D53" i="1" l="1"/>
  <c r="D54" i="1" s="1"/>
  <c r="D55" i="1" s="1"/>
  <c r="D5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<sst xmlns="http://schemas.openxmlformats.org/spreadsheetml/2006/main" count="193" uniqueCount="101">
  <si>
    <t>SS_cap</t>
  </si>
  <si>
    <t>Value</t>
  </si>
  <si>
    <t>Name</t>
  </si>
  <si>
    <t>Total Taxes</t>
  </si>
  <si>
    <t>Total Fed Taxes</t>
  </si>
  <si>
    <t>Fed Inc Tax</t>
  </si>
  <si>
    <t>Taxable</t>
  </si>
  <si>
    <t>QBI deduction</t>
  </si>
  <si>
    <t>Taxable, pre-QBI</t>
  </si>
  <si>
    <t>AGI</t>
  </si>
  <si>
    <t>1/2 SE Tax Adj</t>
  </si>
  <si>
    <t>Schedule C Profit</t>
  </si>
  <si>
    <t>Addl Medicare Tax</t>
  </si>
  <si>
    <t>SS W/H</t>
  </si>
  <si>
    <t>Med W/H</t>
  </si>
  <si>
    <t>State Start $</t>
  </si>
  <si>
    <t>State Ded/Adj</t>
  </si>
  <si>
    <t>State Taxable</t>
  </si>
  <si>
    <t>State Inc Tax</t>
  </si>
  <si>
    <t>State Payroll Tax</t>
  </si>
  <si>
    <t>Total State Taxes</t>
  </si>
  <si>
    <t>State Credits</t>
  </si>
  <si>
    <t>Standard deduction</t>
  </si>
  <si>
    <t xml:space="preserve">  1=Fed AGI, 2=Fed Taxable, &lt;other&gt;=Total Income</t>
  </si>
  <si>
    <t>SIT_thresh</t>
  </si>
  <si>
    <t>SIT_diffs</t>
  </si>
  <si>
    <t>FIT_thresh</t>
  </si>
  <si>
    <t>FIT_diffs</t>
  </si>
  <si>
    <t>st_pr_rate</t>
  </si>
  <si>
    <t>st_pr_cap</t>
  </si>
  <si>
    <t>st_start</t>
  </si>
  <si>
    <t>st_creds</t>
  </si>
  <si>
    <t>adl_med_base</t>
  </si>
  <si>
    <t xml:space="preserve">  0=SS_cap, 1=no cap, &lt;other&gt;=actual cap amount</t>
  </si>
  <si>
    <t>Fed tax % of income</t>
  </si>
  <si>
    <t>Total tax % of income</t>
  </si>
  <si>
    <t>standard_ded</t>
  </si>
  <si>
    <t>QBI_po_start</t>
  </si>
  <si>
    <t>QBI_po_size</t>
  </si>
  <si>
    <t>st_ded_thresh</t>
  </si>
  <si>
    <t>st_ded_diff</t>
  </si>
  <si>
    <t>Tax Table Adj</t>
  </si>
  <si>
    <t>Net Income</t>
  </si>
  <si>
    <t>.</t>
  </si>
  <si>
    <t>Calculation</t>
  </si>
  <si>
    <t>SE Tax</t>
  </si>
  <si>
    <t>W-2 only</t>
  </si>
  <si>
    <t>Form 8995-A</t>
  </si>
  <si>
    <t>Form 8995</t>
  </si>
  <si>
    <t>S1</t>
  </si>
  <si>
    <t>W-2 gross wages</t>
  </si>
  <si>
    <t>Retirement</t>
  </si>
  <si>
    <t>W-2 box 1</t>
  </si>
  <si>
    <t>W-2 box 3</t>
  </si>
  <si>
    <t>W-2 box 5</t>
  </si>
  <si>
    <t>S2</t>
  </si>
  <si>
    <t>SE Retirement</t>
  </si>
  <si>
    <t>SE Health care prem</t>
  </si>
  <si>
    <t>Health care prem</t>
  </si>
  <si>
    <t>Other adjustments</t>
  </si>
  <si>
    <t>W-2 box 1/3/5</t>
  </si>
  <si>
    <t>Other income/adj</t>
  </si>
  <si>
    <t>W-2 + 1099</t>
  </si>
  <si>
    <t>Business income</t>
  </si>
  <si>
    <t>Business expenses</t>
  </si>
  <si>
    <t>Part II</t>
  </si>
  <si>
    <t>Part III</t>
  </si>
  <si>
    <t>Part IV</t>
  </si>
  <si>
    <r>
      <t xml:space="preserve">=Form 8995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Form 8995-A, Parts II-IV (non-SSTB)</t>
    </r>
  </si>
  <si>
    <t>Monthly Diff</t>
  </si>
  <si>
    <t>Annual Diff</t>
  </si>
  <si>
    <t>2024 MFJ</t>
  </si>
  <si>
    <t>2024 S</t>
  </si>
  <si>
    <t>2024 HoH</t>
  </si>
  <si>
    <t>2024 MFS</t>
  </si>
  <si>
    <t>SD_2024</t>
  </si>
  <si>
    <t>MFJ</t>
  </si>
  <si>
    <t>S</t>
  </si>
  <si>
    <t>HoH</t>
  </si>
  <si>
    <t>MFS</t>
  </si>
  <si>
    <t>2025 MFJ</t>
  </si>
  <si>
    <t>2025 S</t>
  </si>
  <si>
    <t>2025 HoH</t>
  </si>
  <si>
    <t>2025 MFS</t>
  </si>
  <si>
    <t>SD_2025</t>
  </si>
  <si>
    <t>QBI</t>
  </si>
  <si>
    <t>Base</t>
  </si>
  <si>
    <t>Size</t>
  </si>
  <si>
    <t>Other</t>
  </si>
  <si>
    <t>SS Cap</t>
  </si>
  <si>
    <t>2026 MFJ</t>
  </si>
  <si>
    <t>2026 S</t>
  </si>
  <si>
    <t>2026 HoH</t>
  </si>
  <si>
    <t>2026 MFS</t>
  </si>
  <si>
    <t>SD_2026</t>
  </si>
  <si>
    <t>THIS IS FOR GUESSTIMATING PURPOSES</t>
  </si>
  <si>
    <t>These sheets are intended only for rudimentary comparisons between</t>
  </si>
  <si>
    <t>W-2 wages and self-employment income. They are not intended to be</t>
  </si>
  <si>
    <t>used for "real" tax calculations.</t>
  </si>
  <si>
    <t>ONLY. DO NOT USE THIS FILE FOR ACTUAL</t>
  </si>
  <si>
    <t>TAX CALCULATIONS.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</si>
</sst>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164" formatCode="0.000%"/>
    <numFmt numFmtId="165" formatCode="0.0000"/>
    <numFmt numFmtId="166" formatCode="&quot;$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8"/>
      <color rgb="FFFF0000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0" fontId="0" fillId="0" borderId="0" xfId="0" applyNumberFormat="1"/>
    <xf numFmtId="2" fontId="0" fillId="0" borderId="0" xfId="0" applyNumberFormat="1"/>
    <xf numFmtId="9" fontId="0" fillId="0" borderId="0" xfId="0" applyNumberForma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2" fontId="0" fillId="0" borderId="0" xfId="0" quotePrefix="1" applyNumberFormat="1"/>
    <xf numFmtId="166" fontId="0" fillId="0" borderId="0" xfId="0" applyNumberFormat="1"/>
    <xf numFmtId="6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06FB5-3522-416F-AE8F-4472BBD46995}">
  <dimension ref="A1:A7"/>
  <sheetViews>
    <sheetView workbookViewId="0">
      <selection activeCell="D12" sqref="D12"/>
    </sheetView>
  </sheetViews>
  <sheetFormatPr defaultRowHeight="15" x14ac:dyDescent="0.25"/>
  <sheetData>
    <row r="1" spans="1:1" ht="61.5" x14ac:dyDescent="0.9">
      <c r="A1" s="10" t="s">
        <v>95</v>
      </c>
    </row>
    <row r="2" spans="1:1" ht="61.5" x14ac:dyDescent="0.9">
      <c r="A2" s="10" t="s">
        <v>99</v>
      </c>
    </row>
    <row r="3" spans="1:1" ht="61.5" x14ac:dyDescent="0.9">
      <c r="A3" s="10" t="s">
        <v>100</v>
      </c>
    </row>
    <row r="5" spans="1:1" ht="31.5" x14ac:dyDescent="0.5">
      <c r="A5" s="11" t="s">
        <v>96</v>
      </c>
    </row>
    <row r="6" spans="1:1" ht="31.5" x14ac:dyDescent="0.5">
      <c r="A6" s="11" t="s">
        <v>97</v>
      </c>
    </row>
    <row r="7" spans="1:1" ht="31.5" x14ac:dyDescent="0.5">
      <c r="A7" s="11" t="s">
        <v>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1B743-216D-49E1-A5DE-D4F2167EF0E2}">
  <sheetPr codeName="Sheet22"/>
  <dimension ref="A1:Q119"/>
  <sheetViews>
    <sheetView tabSelected="1" topLeftCell="A103" zoomScaleNormal="100" workbookViewId="0">
      <selection activeCell="E28" sqref="E28"/>
    </sheetView>
  </sheetViews>
  <sheetFormatPr defaultRowHeight="15" x14ac:dyDescent="0.25"/>
  <cols>
    <col min="1" max="1" width="3.28515625" customWidth="1"/>
    <col min="2" max="2" width="19.140625" bestFit="1" customWidth="1"/>
    <col min="3" max="3" width="9.5703125" customWidth="1"/>
    <col min="4" max="4" width="10.42578125" bestFit="1" customWidth="1"/>
    <col min="7" max="7" width="14.7109375" bestFit="1" customWidth="1"/>
    <col min="8" max="8" width="10.85546875" bestFit="1" customWidth="1"/>
    <col min="9" max="9" width="14.7109375" bestFit="1" customWidth="1"/>
    <col min="10" max="10" width="11" bestFit="1" customWidth="1"/>
    <col min="14" max="14" width="3" customWidth="1"/>
    <col min="15" max="15" width="12.7109375" bestFit="1" customWidth="1"/>
    <col min="16" max="16" width="10.5703125" customWidth="1"/>
    <col min="17" max="17" width="11.5703125" customWidth="1"/>
  </cols>
  <sheetData>
    <row r="1" spans="1:17" x14ac:dyDescent="0.25">
      <c r="B1" t="s">
        <v>43</v>
      </c>
      <c r="C1" t="s">
        <v>46</v>
      </c>
      <c r="D1" t="s">
        <v>62</v>
      </c>
      <c r="E1" t="s">
        <v>44</v>
      </c>
      <c r="O1" t="s">
        <v>2</v>
      </c>
      <c r="P1" s="2" t="s">
        <v>1</v>
      </c>
      <c r="Q1" s="5"/>
    </row>
    <row r="2" spans="1:17" x14ac:dyDescent="0.25">
      <c r="A2" t="s">
        <v>49</v>
      </c>
      <c r="B2" t="s">
        <v>11</v>
      </c>
      <c r="C2">
        <v>0</v>
      </c>
      <c r="D2">
        <f>2968*12</f>
        <v>35616</v>
      </c>
      <c r="E2" s="5"/>
      <c r="O2" t="s">
        <v>36</v>
      </c>
      <c r="P2">
        <v>15750</v>
      </c>
    </row>
    <row r="3" spans="1:17" x14ac:dyDescent="0.25">
      <c r="B3" t="s">
        <v>45</v>
      </c>
      <c r="C3">
        <f>_xlfn.LET(_xlpm.t,ROUND(C2*0.9235,0),IF(_xlpm.t&lt;400,0,ROUND(MAX(0,MIN(_xlpm.t,SS_cap-C14))*0.124,0)+ROUND(_xlpm.t*0.029,0)))</f>
        <v>0</v>
      </c>
      <c r="D3">
        <f>_xlfn.LET(_xlpm.t,ROUND(D2*0.9235,0),IF(_xlpm.t&lt;400,0,ROUND(MAX(0,MIN(_xlpm.t,SS_cap-D14))*0.124,0)+ROUND(_xlpm.t*0.029,0)))</f>
        <v>5032</v>
      </c>
      <c r="E3" s="5" t="str">
        <f t="shared" ref="E3:E4" ca="1" si="0">_xlfn.FORMULATEXT(C3)</f>
        <v>=LET(t,ROUND(C2*0.9235,0),IF(t&lt;400,0,ROUND(MAX(0,MIN(t,SS_cap-C14))*0.124,0)+ROUND(t*0.029,0)))</v>
      </c>
      <c r="O3" s="4" t="s">
        <v>0</v>
      </c>
      <c r="P3">
        <v>176100</v>
      </c>
    </row>
    <row r="4" spans="1:17" x14ac:dyDescent="0.25">
      <c r="B4" t="s">
        <v>10</v>
      </c>
      <c r="C4">
        <f>ROUND(C3/2,0)</f>
        <v>0</v>
      </c>
      <c r="D4">
        <f>ROUND(D3/2,0)</f>
        <v>2516</v>
      </c>
      <c r="E4" s="5" t="str">
        <f t="shared" ca="1" si="0"/>
        <v>=ROUND(C3/2,0)</v>
      </c>
      <c r="O4" t="s">
        <v>32</v>
      </c>
      <c r="P4">
        <v>200000</v>
      </c>
    </row>
    <row r="5" spans="1:17" x14ac:dyDescent="0.25">
      <c r="O5" t="s">
        <v>37</v>
      </c>
      <c r="P5">
        <v>197300</v>
      </c>
    </row>
    <row r="6" spans="1:17" x14ac:dyDescent="0.25">
      <c r="A6" t="s">
        <v>55</v>
      </c>
      <c r="B6" t="s">
        <v>11</v>
      </c>
      <c r="C6">
        <v>0</v>
      </c>
      <c r="D6">
        <v>0</v>
      </c>
      <c r="E6" s="5"/>
      <c r="O6" t="s">
        <v>38</v>
      </c>
      <c r="P6">
        <v>75000</v>
      </c>
    </row>
    <row r="7" spans="1:17" x14ac:dyDescent="0.25">
      <c r="B7" t="s">
        <v>45</v>
      </c>
      <c r="C7">
        <f>_xlfn.LET(_xlpm.t,ROUND(C6*0.9235,0),IF(_xlpm.t&lt;400,0,ROUND(MAX(0,MIN(_xlpm.t,SS_cap-C24))*0.124,0)+ROUND(_xlpm.t*0.029,0)))</f>
        <v>0</v>
      </c>
      <c r="D7">
        <f>_xlfn.LET(_xlpm.t,ROUND(D6*0.9235,0),IF(_xlpm.t&lt;400,0,ROUND(MAX(0,MIN(_xlpm.t,SS_cap-D24))*0.124,0)+ROUND(_xlpm.t*0.029,0)))</f>
        <v>0</v>
      </c>
      <c r="E7" s="5" t="str">
        <f ca="1">_xlfn.FORMULATEXT(C7)</f>
        <v>=LET(t,ROUND(C6*0.9235,0),IF(t&lt;400,0,ROUND(MAX(0,MIN(t,SS_cap-C24))*0.124,0)+ROUND(t*0.029,0)))</v>
      </c>
      <c r="O7" t="s">
        <v>26</v>
      </c>
      <c r="Q7" t="s">
        <v>27</v>
      </c>
    </row>
    <row r="8" spans="1:17" x14ac:dyDescent="0.25">
      <c r="B8" t="s">
        <v>10</v>
      </c>
      <c r="C8">
        <f>ROUND(C7/2,0)</f>
        <v>0</v>
      </c>
      <c r="D8">
        <f>ROUND(D7/2,0)</f>
        <v>0</v>
      </c>
      <c r="E8" s="5" t="str">
        <f ca="1">_xlfn.FORMULATEXT(C8)</f>
        <v>=ROUND(C7/2,0)</v>
      </c>
      <c r="O8">
        <v>0</v>
      </c>
      <c r="P8" s="3">
        <v>0.1</v>
      </c>
      <c r="Q8" s="2">
        <f>P8</f>
        <v>0.1</v>
      </c>
    </row>
    <row r="9" spans="1:17" x14ac:dyDescent="0.25">
      <c r="H9" s="1"/>
      <c r="N9" s="5"/>
      <c r="O9">
        <v>11925</v>
      </c>
      <c r="P9" s="3">
        <v>0.12</v>
      </c>
      <c r="Q9" s="2">
        <f t="shared" ref="Q9:Q14" si="1">P9-P8</f>
        <v>1.999999999999999E-2</v>
      </c>
    </row>
    <row r="10" spans="1:17" x14ac:dyDescent="0.25">
      <c r="A10" t="s">
        <v>49</v>
      </c>
      <c r="B10" t="s">
        <v>50</v>
      </c>
      <c r="C10">
        <v>18000</v>
      </c>
      <c r="D10">
        <v>18000</v>
      </c>
      <c r="E10" s="5"/>
      <c r="N10" s="5"/>
      <c r="O10">
        <v>48475</v>
      </c>
      <c r="P10" s="3">
        <v>0.22</v>
      </c>
      <c r="Q10" s="2">
        <f t="shared" si="1"/>
        <v>0.1</v>
      </c>
    </row>
    <row r="11" spans="1:17" x14ac:dyDescent="0.25">
      <c r="B11" t="s">
        <v>58</v>
      </c>
      <c r="C11">
        <v>0</v>
      </c>
      <c r="D11">
        <v>0</v>
      </c>
      <c r="E11" s="5"/>
      <c r="N11" s="5"/>
      <c r="O11">
        <v>103350</v>
      </c>
      <c r="P11" s="3">
        <v>0.24</v>
      </c>
      <c r="Q11" s="2">
        <f t="shared" si="1"/>
        <v>1.999999999999999E-2</v>
      </c>
    </row>
    <row r="12" spans="1:17" x14ac:dyDescent="0.25">
      <c r="B12" t="s">
        <v>51</v>
      </c>
      <c r="C12">
        <v>0</v>
      </c>
      <c r="D12">
        <v>0</v>
      </c>
      <c r="E12" s="5"/>
      <c r="O12">
        <v>197300</v>
      </c>
      <c r="P12" s="3">
        <v>0.32</v>
      </c>
      <c r="Q12" s="2">
        <f t="shared" si="1"/>
        <v>8.0000000000000016E-2</v>
      </c>
    </row>
    <row r="13" spans="1:17" x14ac:dyDescent="0.25">
      <c r="B13" t="s">
        <v>52</v>
      </c>
      <c r="C13">
        <f>C10-C11-C12</f>
        <v>18000</v>
      </c>
      <c r="D13">
        <f>D10-D11-D12</f>
        <v>18000</v>
      </c>
      <c r="E13" s="5" t="str">
        <f t="shared" ref="E13:E18" ca="1" si="2">_xlfn.FORMULATEXT(C13)</f>
        <v>=C10-C11-C12</v>
      </c>
      <c r="O13">
        <v>250525</v>
      </c>
      <c r="P13" s="3">
        <v>0.35</v>
      </c>
      <c r="Q13" s="2">
        <f t="shared" si="1"/>
        <v>2.9999999999999971E-2</v>
      </c>
    </row>
    <row r="14" spans="1:17" x14ac:dyDescent="0.25">
      <c r="B14" t="s">
        <v>53</v>
      </c>
      <c r="C14">
        <f>MIN(SS_cap,C10-C11)</f>
        <v>18000</v>
      </c>
      <c r="D14">
        <f>MIN(SS_cap,D10-D11)</f>
        <v>18000</v>
      </c>
      <c r="E14" s="5" t="str">
        <f t="shared" ca="1" si="2"/>
        <v>=MIN(SS_cap,C10-C11)</v>
      </c>
      <c r="O14">
        <v>626350</v>
      </c>
      <c r="P14" s="3">
        <v>0.37</v>
      </c>
      <c r="Q14" s="2">
        <f t="shared" si="1"/>
        <v>2.0000000000000018E-2</v>
      </c>
    </row>
    <row r="15" spans="1:17" x14ac:dyDescent="0.25">
      <c r="B15" t="s">
        <v>54</v>
      </c>
      <c r="C15">
        <f>C10-C11</f>
        <v>18000</v>
      </c>
      <c r="D15">
        <f>D10-D11</f>
        <v>18000</v>
      </c>
      <c r="E15" s="5" t="str">
        <f t="shared" ca="1" si="2"/>
        <v>=C10-C11</v>
      </c>
      <c r="P15" s="3"/>
      <c r="Q15" s="2"/>
    </row>
    <row r="16" spans="1:17" x14ac:dyDescent="0.25">
      <c r="B16" t="s">
        <v>13</v>
      </c>
      <c r="C16">
        <f>ROUND(C14*0.062,0)</f>
        <v>1116</v>
      </c>
      <c r="D16">
        <f>ROUND(D14*0.062,0)</f>
        <v>1116</v>
      </c>
      <c r="E16" s="5" t="str">
        <f t="shared" ca="1" si="2"/>
        <v>=ROUND(C14*0.062,0)</v>
      </c>
    </row>
    <row r="17" spans="1:17" x14ac:dyDescent="0.25">
      <c r="B17" t="s">
        <v>14</v>
      </c>
      <c r="C17">
        <f>ROUND(C15*0.0145,0)+ROUND(MAX(0,C15-200000)*0.009,0)</f>
        <v>261</v>
      </c>
      <c r="D17">
        <f>ROUND(D15*0.0145,0)+ROUND(MAX(0,D15-200000)*0.009,0)</f>
        <v>261</v>
      </c>
      <c r="E17" s="5" t="str">
        <f t="shared" ca="1" si="2"/>
        <v>=ROUND(C15*0.0145,0)+ROUND(MAX(0,C15-200000)*0.009,0)</v>
      </c>
      <c r="O17" t="s">
        <v>30</v>
      </c>
      <c r="P17">
        <v>2</v>
      </c>
      <c r="Q17" s="7" t="s">
        <v>23</v>
      </c>
    </row>
    <row r="18" spans="1:17" x14ac:dyDescent="0.25">
      <c r="B18" t="s">
        <v>19</v>
      </c>
      <c r="C18">
        <f>ROUND(IF(st_pr_cap=0,MIN(SS_cap,C14),IF(st_pr_cap=1,C10,MIN(C10,st_pr_cap)))*st_pr_rate,0)</f>
        <v>0</v>
      </c>
      <c r="D18">
        <f>ROUND(IF(st_pr_cap=0,MIN(SS_cap,D14),IF(st_pr_cap=1,D10,MIN(D10,st_pr_cap)))*st_pr_rate,0)</f>
        <v>0</v>
      </c>
      <c r="E18" s="5" t="str">
        <f t="shared" ca="1" si="2"/>
        <v>=ROUND(IF(st_pr_cap=0,MIN(SS_cap,C14),IF(st_pr_cap=1,C10,MIN(C10,st_pr_cap)))*st_pr_rate,0)</v>
      </c>
      <c r="O18" t="s">
        <v>39</v>
      </c>
      <c r="Q18" t="s">
        <v>40</v>
      </c>
    </row>
    <row r="19" spans="1:17" x14ac:dyDescent="0.25">
      <c r="O19">
        <v>0</v>
      </c>
      <c r="Q19">
        <v>0</v>
      </c>
    </row>
    <row r="20" spans="1:17" x14ac:dyDescent="0.25">
      <c r="A20" t="s">
        <v>55</v>
      </c>
      <c r="B20" t="s">
        <v>50</v>
      </c>
      <c r="C20">
        <v>0</v>
      </c>
      <c r="D20">
        <v>0</v>
      </c>
      <c r="E20" s="5"/>
    </row>
    <row r="21" spans="1:17" x14ac:dyDescent="0.25">
      <c r="B21" t="s">
        <v>58</v>
      </c>
      <c r="C21">
        <v>0</v>
      </c>
      <c r="D21">
        <v>0</v>
      </c>
      <c r="E21" s="5"/>
    </row>
    <row r="22" spans="1:17" x14ac:dyDescent="0.25">
      <c r="B22" t="s">
        <v>51</v>
      </c>
      <c r="C22">
        <v>0</v>
      </c>
      <c r="D22">
        <v>0</v>
      </c>
      <c r="E22" s="5"/>
      <c r="O22" t="s">
        <v>31</v>
      </c>
      <c r="P22">
        <v>0</v>
      </c>
      <c r="Q22" s="2"/>
    </row>
    <row r="23" spans="1:17" x14ac:dyDescent="0.25">
      <c r="B23" t="s">
        <v>52</v>
      </c>
      <c r="C23">
        <f>C20-C21-C22</f>
        <v>0</v>
      </c>
      <c r="D23">
        <f>D20-D21-D22</f>
        <v>0</v>
      </c>
      <c r="E23" s="5" t="str">
        <f t="shared" ref="E23:E25" ca="1" si="3">_xlfn.FORMULATEXT(C23)</f>
        <v>=C20-C21-C22</v>
      </c>
      <c r="O23" t="s">
        <v>28</v>
      </c>
      <c r="P23" s="1">
        <v>0</v>
      </c>
      <c r="Q23" s="2"/>
    </row>
    <row r="24" spans="1:17" x14ac:dyDescent="0.25">
      <c r="B24" t="s">
        <v>53</v>
      </c>
      <c r="C24">
        <f>MIN(SS_cap,C20-C21)</f>
        <v>0</v>
      </c>
      <c r="D24">
        <f>MIN(SS_cap,D20-D21)</f>
        <v>0</v>
      </c>
      <c r="E24" s="5" t="str">
        <f t="shared" ca="1" si="3"/>
        <v>=MIN(SS_cap,C20-C21)</v>
      </c>
      <c r="O24" t="s">
        <v>29</v>
      </c>
      <c r="P24">
        <v>0</v>
      </c>
      <c r="Q24" s="7" t="s">
        <v>33</v>
      </c>
    </row>
    <row r="25" spans="1:17" x14ac:dyDescent="0.25">
      <c r="B25" t="s">
        <v>54</v>
      </c>
      <c r="C25">
        <f>C20-C21</f>
        <v>0</v>
      </c>
      <c r="D25">
        <f>D20-D21</f>
        <v>0</v>
      </c>
      <c r="E25" s="5" t="str">
        <f t="shared" ca="1" si="3"/>
        <v>=C20-C21</v>
      </c>
      <c r="O25" t="s">
        <v>24</v>
      </c>
      <c r="P25" s="1"/>
      <c r="Q25" t="s">
        <v>25</v>
      </c>
    </row>
    <row r="26" spans="1:17" x14ac:dyDescent="0.25">
      <c r="B26" t="s">
        <v>13</v>
      </c>
      <c r="C26">
        <f>ROUND(C24*0.062,0)</f>
        <v>0</v>
      </c>
      <c r="D26">
        <f>ROUND(D24*0.062,0)</f>
        <v>0</v>
      </c>
      <c r="E26" s="5" t="str">
        <f t="shared" ref="E26:E28" ca="1" si="4">_xlfn.FORMULATEXT(C26)</f>
        <v>=ROUND(C24*0.062,0)</v>
      </c>
      <c r="L26" s="1"/>
      <c r="O26">
        <v>0</v>
      </c>
      <c r="P26" s="1">
        <v>0</v>
      </c>
      <c r="Q26" s="6">
        <f>P26</f>
        <v>0</v>
      </c>
    </row>
    <row r="27" spans="1:17" x14ac:dyDescent="0.25">
      <c r="B27" t="s">
        <v>14</v>
      </c>
      <c r="C27">
        <f>ROUND(C25*0.0145,0)+ROUND(MAX(0,C25-200000)*0.009,0)</f>
        <v>0</v>
      </c>
      <c r="D27">
        <f>ROUND(D25*0.0145,0)+ROUND(MAX(0,D25-200000)*0.009,0)</f>
        <v>0</v>
      </c>
      <c r="E27" s="5" t="str">
        <f t="shared" ca="1" si="4"/>
        <v>=ROUND(C25*0.0145,0)+ROUND(MAX(0,C25-200000)*0.009,0)</v>
      </c>
      <c r="N27" s="1"/>
      <c r="P27" s="1"/>
      <c r="Q27" s="6"/>
    </row>
    <row r="28" spans="1:17" x14ac:dyDescent="0.25">
      <c r="B28" t="s">
        <v>19</v>
      </c>
      <c r="C28">
        <f>ROUND(IF(st_pr_cap=0,MIN(SS_cap,C24),IF(st_pr_cap=1,C20,MIN(C20,st_pr_cap)))*st_pr_rate,0)</f>
        <v>0</v>
      </c>
      <c r="D28">
        <f>ROUND(IF(st_pr_cap=0,MIN(SS_cap,D24),IF(st_pr_cap=1,D20,MIN(D20,st_pr_cap)))*st_pr_rate,0)</f>
        <v>0</v>
      </c>
      <c r="E28" s="5" t="str">
        <f t="shared" ca="1" si="4"/>
        <v>=ROUND(IF(st_pr_cap=0,MIN(SS_cap,C24),IF(st_pr_cap=1,C20,MIN(C20,st_pr_cap)))*st_pr_rate,0)</v>
      </c>
      <c r="L28" s="1"/>
      <c r="N28" s="1"/>
      <c r="P28" s="1"/>
      <c r="Q28" s="6"/>
    </row>
    <row r="29" spans="1:17" x14ac:dyDescent="0.25">
      <c r="P29" s="1"/>
      <c r="Q29" s="6"/>
    </row>
    <row r="30" spans="1:17" x14ac:dyDescent="0.25">
      <c r="B30" t="s">
        <v>56</v>
      </c>
      <c r="C30">
        <v>0</v>
      </c>
      <c r="D30">
        <v>0</v>
      </c>
      <c r="E30" s="5"/>
      <c r="P30" s="1"/>
      <c r="Q30" s="6"/>
    </row>
    <row r="31" spans="1:17" x14ac:dyDescent="0.25">
      <c r="B31" t="s">
        <v>57</v>
      </c>
      <c r="C31">
        <v>0</v>
      </c>
      <c r="D31">
        <v>0</v>
      </c>
      <c r="E31" s="5"/>
      <c r="P31" s="1"/>
      <c r="Q31" s="6"/>
    </row>
    <row r="32" spans="1:17" x14ac:dyDescent="0.25">
      <c r="B32" t="s">
        <v>59</v>
      </c>
      <c r="C32">
        <v>0</v>
      </c>
      <c r="D32">
        <v>0</v>
      </c>
      <c r="E32" s="5"/>
      <c r="P32" s="1"/>
      <c r="Q32" s="6"/>
    </row>
    <row r="33" spans="2:17" x14ac:dyDescent="0.25">
      <c r="B33" t="s">
        <v>9</v>
      </c>
      <c r="C33">
        <f>C2-C4+C6-C8+C13+C23-C30-C31+C32</f>
        <v>18000</v>
      </c>
      <c r="D33">
        <f>D2-D4+D6-D8+D13+D23-D30-D31+D32</f>
        <v>51100</v>
      </c>
      <c r="E33" s="5" t="str">
        <f ca="1">_xlfn.FORMULATEXT(C33)</f>
        <v>=C2-C4+C6-C8+C13+C23-C30-C31+C32</v>
      </c>
      <c r="P33" s="1"/>
      <c r="Q33" s="6"/>
    </row>
    <row r="34" spans="2:17" x14ac:dyDescent="0.25">
      <c r="B34" t="s">
        <v>22</v>
      </c>
      <c r="C34">
        <f>standard_ded</f>
        <v>15750</v>
      </c>
      <c r="D34">
        <f>standard_ded</f>
        <v>15750</v>
      </c>
      <c r="E34" s="5" t="str">
        <f ca="1">_xlfn.FORMULATEXT(C34)</f>
        <v>=standard_ded</v>
      </c>
      <c r="P34" s="1"/>
      <c r="Q34" s="6"/>
    </row>
    <row r="35" spans="2:17" x14ac:dyDescent="0.25">
      <c r="B35" t="s">
        <v>8</v>
      </c>
      <c r="C35">
        <f>MAX(0,C33-C34)</f>
        <v>2250</v>
      </c>
      <c r="D35">
        <f>MAX(0,D33-D34)</f>
        <v>35350</v>
      </c>
      <c r="E35" s="5" t="str">
        <f ca="1">_xlfn.FORMULATEXT(C35)</f>
        <v>=MAX(0,C33-C34)</v>
      </c>
      <c r="P35" s="1"/>
      <c r="Q35" s="6"/>
    </row>
    <row r="36" spans="2:17" x14ac:dyDescent="0.25">
      <c r="B36" t="s">
        <v>7</v>
      </c>
      <c r="C36">
        <f>IF(C59&lt;&gt;0,C98,C117)</f>
        <v>0</v>
      </c>
      <c r="D36">
        <f>IF(D59&lt;&gt;0,D98,D117)</f>
        <v>6620</v>
      </c>
      <c r="E36" s="5" t="s">
        <v>68</v>
      </c>
    </row>
    <row r="37" spans="2:17" x14ac:dyDescent="0.25">
      <c r="B37" t="s">
        <v>6</v>
      </c>
      <c r="C37">
        <f>C35-C36</f>
        <v>2250</v>
      </c>
      <c r="D37">
        <f>D35-D36</f>
        <v>28730</v>
      </c>
      <c r="E37" s="5" t="str">
        <f ca="1">_xlfn.FORMULATEXT(C37)</f>
        <v>=C35-C36</v>
      </c>
    </row>
    <row r="38" spans="2:17" x14ac:dyDescent="0.25">
      <c r="B38" t="s">
        <v>41</v>
      </c>
      <c r="C38">
        <f>IF(OR(C37&lt;25,C37&gt;=100000),C37,_xlfn.LET(_xlpm.w,IF(C37&lt;3000,25,50),ROUNDDOWN(C37/_xlpm.w,0)*_xlpm.w+_xlpm.w/2))</f>
        <v>2262.5</v>
      </c>
      <c r="D38">
        <f>IF(OR(D37&lt;25,D37&gt;=100000),D37,_xlfn.LET(_xlpm.w,IF(D37&lt;3000,25,50),ROUNDDOWN(D37/_xlpm.w,0)*_xlpm.w+_xlpm.w/2))</f>
        <v>28725</v>
      </c>
      <c r="E38" s="5" t="str">
        <f ca="1">_xlfn.FORMULATEXT(C38)</f>
        <v>=IF(OR(C37&lt;25,C37&gt;=100000),C37,LET(w,IF(C37&lt;3000,25,50),ROUNDDOWN(C37/w,0)*w+w/2))</v>
      </c>
    </row>
    <row r="39" spans="2:17" x14ac:dyDescent="0.25">
      <c r="B39" t="s">
        <v>5</v>
      </c>
      <c r="C39" cm="1">
        <f t="array" ref="C39">_xlfn.LET(_xlpm.d,C38-FIT_thresh,ROUND(SUMPRODUCT(N(_xlpm.d&gt;0),_xlpm.d,FIT_diffs), 0 ))</f>
        <v>226</v>
      </c>
      <c r="D39" cm="1">
        <f t="array" ref="D39">_xlfn.LET(_xlpm.d,D38-FIT_thresh,ROUND(SUMPRODUCT(N(_xlpm.d&gt;0),_xlpm.d,FIT_diffs), 0 ))</f>
        <v>3209</v>
      </c>
      <c r="E39" s="5" t="str">
        <f ca="1">_xlfn.FORMULATEXT(C39)</f>
        <v>=LET(d,C38-FIT_thresh,ROUND(SUMPRODUCT(N(d&gt;0),d,FIT_diffs), 0 ))</v>
      </c>
      <c r="J39" s="1"/>
      <c r="K39" s="1"/>
      <c r="L39" s="1"/>
    </row>
    <row r="40" spans="2:17" x14ac:dyDescent="0.25">
      <c r="B40" t="s">
        <v>12</v>
      </c>
      <c r="C40">
        <f>ROUND(0.009*MAX(ROUND((C2+C6)*0.9235,0)+C15+C25-adl_med_base,0),0)-((C17+C27)-ROUND((C15+C25)*0.0145,0))</f>
        <v>0</v>
      </c>
      <c r="D40">
        <f>ROUND(0.009*MAX(ROUND((D2+D6)*0.9235,0)+D15+D25-adl_med_base,0),0)-((D17+D27)-ROUND((D15+D25)*0.0145,0))</f>
        <v>0</v>
      </c>
      <c r="E40" s="5" t="str">
        <f ca="1">_xlfn.FORMULATEXT(C40)</f>
        <v>=ROUND(0.009*MAX(ROUND((C2+C6)*0.9235,0)+C15+C25-adl_med_base,0),0)-((C17+C27)-ROUND((C15+C25)*0.0145,0))</v>
      </c>
      <c r="J40" s="1"/>
      <c r="K40" s="1"/>
      <c r="L40" s="1"/>
    </row>
    <row r="41" spans="2:17" x14ac:dyDescent="0.25">
      <c r="B41" t="s">
        <v>4</v>
      </c>
      <c r="C41">
        <f>SUM(C3,C7,C16,C17,C26,C27,C39,C40)</f>
        <v>1603</v>
      </c>
      <c r="D41">
        <f>SUM(D3,D7,D16,D17,D26,D27,D39,D40)</f>
        <v>9618</v>
      </c>
      <c r="E41" s="5" t="str">
        <f ca="1">_xlfn.FORMULATEXT(C41)</f>
        <v>=SUM(C3,C7,C16,C17,C26,C27,C39,C40)</v>
      </c>
      <c r="M41" s="1"/>
    </row>
    <row r="42" spans="2:17" x14ac:dyDescent="0.25">
      <c r="J42" s="1"/>
      <c r="K42" s="1"/>
      <c r="L42" s="1"/>
      <c r="M42" s="1"/>
    </row>
    <row r="43" spans="2:17" x14ac:dyDescent="0.25">
      <c r="B43" t="s">
        <v>15</v>
      </c>
      <c r="C43">
        <f>IF(st_start=1,C33,IF(st_start=2,C37,C2+C10))</f>
        <v>2250</v>
      </c>
      <c r="D43">
        <f>IF(st_start=1,D33,IF(st_start=2,D37,D2+D10))</f>
        <v>28730</v>
      </c>
      <c r="E43" s="5" t="str">
        <f ca="1">_xlfn.FORMULATEXT(C43)</f>
        <v>=IF(st_start=1,C33,IF(st_start=2,C37,C2+C10))</v>
      </c>
      <c r="J43" s="1"/>
      <c r="K43" s="1"/>
      <c r="L43" s="1"/>
    </row>
    <row r="44" spans="2:17" x14ac:dyDescent="0.25">
      <c r="B44" t="s">
        <v>16</v>
      </c>
      <c r="C44" cm="1">
        <f t="array" ref="C44">SUMPRODUCT(N(C43&gt;st_ded_thresh),st_ded_diff)</f>
        <v>0</v>
      </c>
      <c r="D44" cm="1">
        <f t="array" ref="D44">SUMPRODUCT(N(D43&gt;st_ded_thresh),st_ded_diff)</f>
        <v>0</v>
      </c>
      <c r="E44" s="5" t="str">
        <f ca="1">_xlfn.FORMULATEXT(C44)</f>
        <v>=SUMPRODUCT(N(C43&gt;st_ded_thresh),st_ded_diff)</v>
      </c>
      <c r="G44" s="1"/>
      <c r="M44" s="1"/>
    </row>
    <row r="45" spans="2:17" x14ac:dyDescent="0.25">
      <c r="B45" t="s">
        <v>17</v>
      </c>
      <c r="C45">
        <f>MAX(0,C43-C44)</f>
        <v>2250</v>
      </c>
      <c r="D45">
        <f>MAX(0,D43-D44)</f>
        <v>28730</v>
      </c>
      <c r="E45" s="5" t="str">
        <f ca="1">_xlfn.FORMULATEXT(C45)</f>
        <v>=MAX(0,C43-C44)</v>
      </c>
      <c r="M45" s="1"/>
    </row>
    <row r="46" spans="2:17" x14ac:dyDescent="0.25">
      <c r="B46" t="s">
        <v>18</v>
      </c>
      <c r="C46" cm="1">
        <f t="array" ref="C46">_xlfn.LET(_xlpm.tmp,C45-SIT_thresh,ROUND(SUMPRODUCT(N(_xlpm.tmp&gt;0),_xlpm.tmp,SIT_diffs), 0 ))</f>
        <v>0</v>
      </c>
      <c r="D46" cm="1">
        <f t="array" ref="D46">_xlfn.LET(_xlpm.tmp,D45-SIT_thresh,ROUND(SUMPRODUCT(N(_xlpm.tmp&gt;0),_xlpm.tmp,SIT_diffs), 0 ))</f>
        <v>0</v>
      </c>
      <c r="E46" s="5" t="str">
        <f ca="1">_xlfn.FORMULATEXT(C46)</f>
        <v>=LET(tmp,C45-SIT_thresh,ROUND(SUMPRODUCT(N(tmp&gt;0),tmp,SIT_diffs), 0 ))</v>
      </c>
      <c r="G46" s="1"/>
    </row>
    <row r="47" spans="2:17" x14ac:dyDescent="0.25">
      <c r="B47" t="s">
        <v>21</v>
      </c>
      <c r="C47">
        <f>st_creds</f>
        <v>0</v>
      </c>
      <c r="D47">
        <f>st_creds</f>
        <v>0</v>
      </c>
      <c r="E47" s="5" t="str">
        <f t="shared" ref="E47" ca="1" si="5">_xlfn.FORMULATEXT(C47)</f>
        <v>=st_creds</v>
      </c>
      <c r="G47" s="1"/>
    </row>
    <row r="48" spans="2:17" x14ac:dyDescent="0.25">
      <c r="B48" t="s">
        <v>20</v>
      </c>
      <c r="C48">
        <f>C46+C18+C28-C47</f>
        <v>0</v>
      </c>
      <c r="D48">
        <f>D46+D18+D28-D47</f>
        <v>0</v>
      </c>
      <c r="E48" s="5" t="str">
        <f ca="1">_xlfn.FORMULATEXT(C48)</f>
        <v>=C46+C18+C28-C47</v>
      </c>
      <c r="G48" s="1"/>
    </row>
    <row r="49" spans="2:8" x14ac:dyDescent="0.25">
      <c r="E49" s="5"/>
    </row>
    <row r="50" spans="2:8" x14ac:dyDescent="0.25">
      <c r="B50" t="s">
        <v>3</v>
      </c>
      <c r="C50">
        <f>C41+C48</f>
        <v>1603</v>
      </c>
      <c r="D50">
        <f>D41+D48</f>
        <v>9618</v>
      </c>
      <c r="E50" s="5" t="str">
        <f ca="1">_xlfn.FORMULATEXT(C50)</f>
        <v>=C41+C48</v>
      </c>
    </row>
    <row r="51" spans="2:8" x14ac:dyDescent="0.25">
      <c r="B51" t="s">
        <v>34</v>
      </c>
      <c r="C51" s="1">
        <f>C41/(C2+C10)</f>
        <v>8.9055555555555554E-2</v>
      </c>
      <c r="D51" s="1">
        <f>D41/(D2+D10)</f>
        <v>0.17938675022381378</v>
      </c>
    </row>
    <row r="52" spans="2:8" x14ac:dyDescent="0.25">
      <c r="B52" t="s">
        <v>35</v>
      </c>
      <c r="C52" s="1">
        <f>C50/(C2+C10)</f>
        <v>8.9055555555555554E-2</v>
      </c>
      <c r="D52" s="1">
        <f>D50/(D2+D10)</f>
        <v>0.17938675022381378</v>
      </c>
      <c r="H52" s="4"/>
    </row>
    <row r="53" spans="2:8" x14ac:dyDescent="0.25">
      <c r="B53" t="s">
        <v>42</v>
      </c>
      <c r="C53">
        <f>C2+C6+C10-C11-C12+C20-C21-C22-C50-C30-C31</f>
        <v>16397</v>
      </c>
      <c r="D53">
        <f>D2+D6+D10-D11-D12+D20-D21-D22-D50-D30-D31</f>
        <v>43998</v>
      </c>
    </row>
    <row r="54" spans="2:8" x14ac:dyDescent="0.25">
      <c r="B54" t="s">
        <v>70</v>
      </c>
      <c r="D54" s="5">
        <f>D53-C53</f>
        <v>27601</v>
      </c>
    </row>
    <row r="55" spans="2:8" x14ac:dyDescent="0.25">
      <c r="B55" t="s">
        <v>69</v>
      </c>
      <c r="D55">
        <f>ROUND(D54/12,0)</f>
        <v>2300</v>
      </c>
    </row>
    <row r="57" spans="2:8" x14ac:dyDescent="0.25">
      <c r="B57" t="s">
        <v>47</v>
      </c>
      <c r="D57" s="5"/>
    </row>
    <row r="58" spans="2:8" x14ac:dyDescent="0.25">
      <c r="B58" t="s">
        <v>65</v>
      </c>
      <c r="D58" s="5"/>
    </row>
    <row r="59" spans="2:8" x14ac:dyDescent="0.25">
      <c r="B59" s="5">
        <v>2</v>
      </c>
      <c r="C59">
        <f>IF(C104&lt;&gt;0,0,C2-C4+C6-C8-C30-C31)</f>
        <v>0</v>
      </c>
      <c r="D59">
        <f>IF(D104&lt;&gt;0,0,D2-D4+D6-D8-D30-D31)</f>
        <v>0</v>
      </c>
    </row>
    <row r="60" spans="2:8" x14ac:dyDescent="0.25">
      <c r="B60" s="5">
        <v>3</v>
      </c>
      <c r="C60">
        <f>ROUND(0.2*C59,0)</f>
        <v>0</v>
      </c>
      <c r="D60">
        <f>ROUND(0.2*D59,0)</f>
        <v>0</v>
      </c>
    </row>
    <row r="61" spans="2:8" x14ac:dyDescent="0.25">
      <c r="B61">
        <v>4</v>
      </c>
      <c r="C61">
        <v>0</v>
      </c>
      <c r="D61">
        <v>0</v>
      </c>
    </row>
    <row r="62" spans="2:8" x14ac:dyDescent="0.25">
      <c r="B62">
        <v>5</v>
      </c>
      <c r="C62">
        <f>ROUND(C61*0.5,0)</f>
        <v>0</v>
      </c>
      <c r="D62">
        <f>ROUND(D61*0.5,0)</f>
        <v>0</v>
      </c>
    </row>
    <row r="63" spans="2:8" x14ac:dyDescent="0.25">
      <c r="B63">
        <v>6</v>
      </c>
      <c r="C63">
        <f>ROUND(C61*0.25,0)</f>
        <v>0</v>
      </c>
      <c r="D63">
        <f>ROUND(D61*0.25,0)</f>
        <v>0</v>
      </c>
    </row>
    <row r="64" spans="2:8" x14ac:dyDescent="0.25">
      <c r="B64">
        <v>7</v>
      </c>
      <c r="C64">
        <v>0</v>
      </c>
      <c r="D64">
        <v>0</v>
      </c>
    </row>
    <row r="65" spans="2:11" x14ac:dyDescent="0.25">
      <c r="B65">
        <v>8</v>
      </c>
      <c r="C65">
        <f>ROUND(C64*0.025,0)</f>
        <v>0</v>
      </c>
      <c r="D65">
        <f>ROUND(D64*0.025,0)</f>
        <v>0</v>
      </c>
      <c r="H65" s="1"/>
    </row>
    <row r="66" spans="2:11" x14ac:dyDescent="0.25">
      <c r="B66">
        <v>9</v>
      </c>
      <c r="C66">
        <f>C63+C65</f>
        <v>0</v>
      </c>
      <c r="D66">
        <f>D63+D65</f>
        <v>0</v>
      </c>
      <c r="H66" s="1"/>
    </row>
    <row r="67" spans="2:11" x14ac:dyDescent="0.25">
      <c r="B67">
        <v>10</v>
      </c>
      <c r="C67">
        <f>MAX(C62,C66)</f>
        <v>0</v>
      </c>
      <c r="D67">
        <f>MAX(D62,D66)</f>
        <v>0</v>
      </c>
    </row>
    <row r="68" spans="2:11" x14ac:dyDescent="0.25">
      <c r="B68">
        <v>11</v>
      </c>
      <c r="C68">
        <f>MIN(C60,C67)</f>
        <v>0</v>
      </c>
      <c r="D68">
        <f>MIN(D60,D67)</f>
        <v>0</v>
      </c>
    </row>
    <row r="69" spans="2:11" x14ac:dyDescent="0.25">
      <c r="B69">
        <v>12</v>
      </c>
      <c r="C69">
        <f>C84</f>
        <v>0</v>
      </c>
      <c r="D69">
        <f>D84</f>
        <v>0</v>
      </c>
      <c r="K69" s="1"/>
    </row>
    <row r="70" spans="2:11" x14ac:dyDescent="0.25">
      <c r="B70">
        <v>13</v>
      </c>
      <c r="C70">
        <f>MAX(C68,C69)</f>
        <v>0</v>
      </c>
      <c r="D70">
        <f>MAX(D68,D69)</f>
        <v>0</v>
      </c>
    </row>
    <row r="71" spans="2:11" x14ac:dyDescent="0.25">
      <c r="B71">
        <v>14</v>
      </c>
      <c r="C71">
        <v>0</v>
      </c>
      <c r="D71">
        <v>0</v>
      </c>
    </row>
    <row r="72" spans="2:11" x14ac:dyDescent="0.25">
      <c r="B72">
        <v>15</v>
      </c>
      <c r="C72">
        <f>C70-C71</f>
        <v>0</v>
      </c>
      <c r="D72">
        <f>D70-D71</f>
        <v>0</v>
      </c>
    </row>
    <row r="73" spans="2:11" x14ac:dyDescent="0.25">
      <c r="B73">
        <v>16</v>
      </c>
      <c r="C73">
        <f>C72</f>
        <v>0</v>
      </c>
      <c r="D73">
        <f>D72</f>
        <v>0</v>
      </c>
      <c r="K73" s="1"/>
    </row>
    <row r="74" spans="2:11" x14ac:dyDescent="0.25">
      <c r="B74" t="s">
        <v>66</v>
      </c>
      <c r="C74" s="5"/>
      <c r="D74" s="5"/>
    </row>
    <row r="75" spans="2:11" x14ac:dyDescent="0.25">
      <c r="B75">
        <v>17</v>
      </c>
      <c r="C75">
        <f>C60</f>
        <v>0</v>
      </c>
      <c r="D75">
        <f>D60</f>
        <v>0</v>
      </c>
    </row>
    <row r="76" spans="2:11" x14ac:dyDescent="0.25">
      <c r="B76">
        <v>18</v>
      </c>
      <c r="C76">
        <f>C67</f>
        <v>0</v>
      </c>
      <c r="D76">
        <f>D67</f>
        <v>0</v>
      </c>
      <c r="K76" s="1"/>
    </row>
    <row r="77" spans="2:11" x14ac:dyDescent="0.25">
      <c r="B77">
        <v>19</v>
      </c>
      <c r="C77">
        <f>C75-C76</f>
        <v>0</v>
      </c>
      <c r="D77">
        <f>D75-D76</f>
        <v>0</v>
      </c>
    </row>
    <row r="78" spans="2:11" x14ac:dyDescent="0.25">
      <c r="B78">
        <v>20</v>
      </c>
      <c r="C78">
        <f>C35</f>
        <v>2250</v>
      </c>
      <c r="D78">
        <f>D35</f>
        <v>35350</v>
      </c>
    </row>
    <row r="79" spans="2:11" x14ac:dyDescent="0.25">
      <c r="B79">
        <v>21</v>
      </c>
      <c r="C79">
        <f>QBI_po_start</f>
        <v>197300</v>
      </c>
      <c r="D79">
        <f>QBI_po_start</f>
        <v>197300</v>
      </c>
    </row>
    <row r="80" spans="2:11" x14ac:dyDescent="0.25">
      <c r="B80">
        <v>22</v>
      </c>
      <c r="C80">
        <f>MAX(0,C78-C79)</f>
        <v>0</v>
      </c>
      <c r="D80">
        <f>MAX(0,D78-D79)</f>
        <v>0</v>
      </c>
    </row>
    <row r="81" spans="2:4" x14ac:dyDescent="0.25">
      <c r="B81">
        <v>23</v>
      </c>
      <c r="C81">
        <f>QBI_po_size</f>
        <v>75000</v>
      </c>
      <c r="D81">
        <f>QBI_po_size</f>
        <v>75000</v>
      </c>
    </row>
    <row r="82" spans="2:4" x14ac:dyDescent="0.25">
      <c r="B82">
        <v>24</v>
      </c>
      <c r="C82">
        <f>ROUND(C80/C81,5)</f>
        <v>0</v>
      </c>
      <c r="D82">
        <f>ROUND(D80/D81,5)</f>
        <v>0</v>
      </c>
    </row>
    <row r="83" spans="2:4" x14ac:dyDescent="0.25">
      <c r="B83">
        <v>25</v>
      </c>
      <c r="C83">
        <f>ROUND(C77*C82,0)</f>
        <v>0</v>
      </c>
      <c r="D83">
        <f>ROUND(D77*D82,0)</f>
        <v>0</v>
      </c>
    </row>
    <row r="84" spans="2:4" x14ac:dyDescent="0.25">
      <c r="B84">
        <v>26</v>
      </c>
      <c r="C84">
        <f>C75-C83</f>
        <v>0</v>
      </c>
      <c r="D84">
        <f>D75-D83</f>
        <v>0</v>
      </c>
    </row>
    <row r="85" spans="2:4" x14ac:dyDescent="0.25">
      <c r="B85" t="s">
        <v>67</v>
      </c>
      <c r="C85" s="5"/>
      <c r="D85" s="5"/>
    </row>
    <row r="86" spans="2:4" x14ac:dyDescent="0.25">
      <c r="B86">
        <v>27</v>
      </c>
      <c r="C86">
        <f>C72</f>
        <v>0</v>
      </c>
      <c r="D86">
        <f>D72</f>
        <v>0</v>
      </c>
    </row>
    <row r="87" spans="2:4" x14ac:dyDescent="0.25">
      <c r="B87">
        <v>28</v>
      </c>
      <c r="C87">
        <v>0</v>
      </c>
      <c r="D87">
        <v>0</v>
      </c>
    </row>
    <row r="88" spans="2:4" x14ac:dyDescent="0.25">
      <c r="B88">
        <v>29</v>
      </c>
      <c r="C88">
        <v>0</v>
      </c>
      <c r="D88">
        <v>0</v>
      </c>
    </row>
    <row r="89" spans="2:4" x14ac:dyDescent="0.25">
      <c r="B89">
        <v>30</v>
      </c>
      <c r="C89">
        <f>MAX(0,C87+C88)</f>
        <v>0</v>
      </c>
      <c r="D89">
        <f>MAX(0,D87+D88)</f>
        <v>0</v>
      </c>
    </row>
    <row r="90" spans="2:4" x14ac:dyDescent="0.25">
      <c r="B90">
        <v>31</v>
      </c>
      <c r="C90">
        <f>ROUND(0.2*C89,0)</f>
        <v>0</v>
      </c>
      <c r="D90">
        <f>ROUND(0.2*D89,0)</f>
        <v>0</v>
      </c>
    </row>
    <row r="91" spans="2:4" x14ac:dyDescent="0.25">
      <c r="B91">
        <v>32</v>
      </c>
      <c r="C91">
        <f>C86+C90</f>
        <v>0</v>
      </c>
      <c r="D91">
        <f>D86+D90</f>
        <v>0</v>
      </c>
    </row>
    <row r="92" spans="2:4" x14ac:dyDescent="0.25">
      <c r="B92">
        <v>33</v>
      </c>
      <c r="C92">
        <f>C78</f>
        <v>2250</v>
      </c>
      <c r="D92">
        <f>D78</f>
        <v>35350</v>
      </c>
    </row>
    <row r="93" spans="2:4" x14ac:dyDescent="0.25">
      <c r="B93">
        <v>34</v>
      </c>
      <c r="C93">
        <v>0</v>
      </c>
      <c r="D93">
        <v>0</v>
      </c>
    </row>
    <row r="94" spans="2:4" x14ac:dyDescent="0.25">
      <c r="B94">
        <v>35</v>
      </c>
      <c r="C94">
        <f>MAX(0,C92-C93)</f>
        <v>2250</v>
      </c>
      <c r="D94">
        <f>MAX(0,D92-D93)</f>
        <v>35350</v>
      </c>
    </row>
    <row r="95" spans="2:4" x14ac:dyDescent="0.25">
      <c r="B95">
        <v>36</v>
      </c>
      <c r="C95">
        <f>ROUND(C94*0.2,0)</f>
        <v>450</v>
      </c>
      <c r="D95">
        <f>ROUND(D94*0.2,0)</f>
        <v>7070</v>
      </c>
    </row>
    <row r="96" spans="2:4" x14ac:dyDescent="0.25">
      <c r="B96">
        <v>37</v>
      </c>
      <c r="C96">
        <f>MIN(C91,C95)</f>
        <v>0</v>
      </c>
      <c r="D96">
        <f>MIN(D91,D95)</f>
        <v>0</v>
      </c>
    </row>
    <row r="97" spans="2:4" x14ac:dyDescent="0.25">
      <c r="B97">
        <v>38</v>
      </c>
      <c r="C97">
        <v>0</v>
      </c>
      <c r="D97">
        <v>0</v>
      </c>
    </row>
    <row r="98" spans="2:4" x14ac:dyDescent="0.25">
      <c r="B98">
        <v>39</v>
      </c>
      <c r="C98">
        <f>C96+C97</f>
        <v>0</v>
      </c>
      <c r="D98">
        <f>D96+D97</f>
        <v>0</v>
      </c>
    </row>
    <row r="99" spans="2:4" x14ac:dyDescent="0.25">
      <c r="B99">
        <v>40</v>
      </c>
      <c r="C99">
        <f>MIN(0,C87+C88)</f>
        <v>0</v>
      </c>
      <c r="D99">
        <f>MIN(0,D87+D88)</f>
        <v>0</v>
      </c>
    </row>
    <row r="103" spans="2:4" x14ac:dyDescent="0.25">
      <c r="B103" t="s">
        <v>48</v>
      </c>
    </row>
    <row r="104" spans="2:4" x14ac:dyDescent="0.25">
      <c r="B104">
        <v>2</v>
      </c>
      <c r="C104">
        <f>IF(C35&lt;=QBI_po_start,C2-C4+C6-C8-C30-C31,0)</f>
        <v>0</v>
      </c>
      <c r="D104">
        <f>IF(D35&lt;=QBI_po_start,D2-D4+D6-D8-D30-D31,0)</f>
        <v>33100</v>
      </c>
    </row>
    <row r="105" spans="2:4" x14ac:dyDescent="0.25">
      <c r="B105" s="5">
        <v>3</v>
      </c>
      <c r="C105">
        <v>0</v>
      </c>
      <c r="D105">
        <v>0</v>
      </c>
    </row>
    <row r="106" spans="2:4" x14ac:dyDescent="0.25">
      <c r="B106">
        <v>4</v>
      </c>
      <c r="C106">
        <f>C104+C105</f>
        <v>0</v>
      </c>
      <c r="D106">
        <f>D104+D105</f>
        <v>33100</v>
      </c>
    </row>
    <row r="107" spans="2:4" x14ac:dyDescent="0.25">
      <c r="B107">
        <v>5</v>
      </c>
      <c r="C107">
        <f>ROUND(C106*0.2,0)</f>
        <v>0</v>
      </c>
      <c r="D107">
        <f>ROUND(D106*0.2,0)</f>
        <v>6620</v>
      </c>
    </row>
    <row r="108" spans="2:4" x14ac:dyDescent="0.25">
      <c r="B108">
        <v>6</v>
      </c>
      <c r="C108">
        <v>0</v>
      </c>
      <c r="D108">
        <v>0</v>
      </c>
    </row>
    <row r="109" spans="2:4" x14ac:dyDescent="0.25">
      <c r="B109">
        <v>7</v>
      </c>
      <c r="C109">
        <v>0</v>
      </c>
      <c r="D109">
        <v>0</v>
      </c>
    </row>
    <row r="110" spans="2:4" x14ac:dyDescent="0.25">
      <c r="B110">
        <v>8</v>
      </c>
      <c r="C110">
        <f>C108+C109</f>
        <v>0</v>
      </c>
      <c r="D110">
        <f>D108+D109</f>
        <v>0</v>
      </c>
    </row>
    <row r="111" spans="2:4" x14ac:dyDescent="0.25">
      <c r="B111">
        <v>9</v>
      </c>
      <c r="C111">
        <f>ROUND(C110*0.2,0)</f>
        <v>0</v>
      </c>
      <c r="D111">
        <f>ROUND(D110*0.2,0)</f>
        <v>0</v>
      </c>
    </row>
    <row r="112" spans="2:4" x14ac:dyDescent="0.25">
      <c r="B112">
        <v>10</v>
      </c>
      <c r="C112">
        <f>C107+C111</f>
        <v>0</v>
      </c>
      <c r="D112">
        <f>D107+D111</f>
        <v>6620</v>
      </c>
    </row>
    <row r="113" spans="2:4" x14ac:dyDescent="0.25">
      <c r="B113">
        <v>11</v>
      </c>
      <c r="C113">
        <f>C35</f>
        <v>2250</v>
      </c>
      <c r="D113">
        <f>D35</f>
        <v>35350</v>
      </c>
    </row>
    <row r="114" spans="2:4" x14ac:dyDescent="0.25">
      <c r="B114">
        <v>12</v>
      </c>
      <c r="C114">
        <v>0</v>
      </c>
      <c r="D114">
        <v>0</v>
      </c>
    </row>
    <row r="115" spans="2:4" x14ac:dyDescent="0.25">
      <c r="B115">
        <v>13</v>
      </c>
      <c r="C115">
        <f>MAX(0,C113-C114)</f>
        <v>2250</v>
      </c>
      <c r="D115">
        <f>MAX(0,D113-D114)</f>
        <v>35350</v>
      </c>
    </row>
    <row r="116" spans="2:4" x14ac:dyDescent="0.25">
      <c r="B116">
        <v>14</v>
      </c>
      <c r="C116">
        <f>ROUND(C115*0.2,0)</f>
        <v>450</v>
      </c>
      <c r="D116">
        <f>ROUND(D115*0.2,0)</f>
        <v>7070</v>
      </c>
    </row>
    <row r="117" spans="2:4" x14ac:dyDescent="0.25">
      <c r="B117">
        <v>15</v>
      </c>
      <c r="C117">
        <f>MIN(C112,C116)</f>
        <v>0</v>
      </c>
      <c r="D117">
        <f>MIN(D112,D116)</f>
        <v>6620</v>
      </c>
    </row>
    <row r="118" spans="2:4" x14ac:dyDescent="0.25">
      <c r="B118">
        <v>16</v>
      </c>
      <c r="C118">
        <f>MIN(0,C104+C105)</f>
        <v>0</v>
      </c>
      <c r="D118">
        <f>MIN(0,D104+D105)</f>
        <v>0</v>
      </c>
    </row>
    <row r="119" spans="2:4" x14ac:dyDescent="0.25">
      <c r="B119">
        <v>17</v>
      </c>
      <c r="C119">
        <f>MIN(0,C108+C109)</f>
        <v>0</v>
      </c>
      <c r="D119">
        <f>MIN(0,D108+D109)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F25B8-5368-4205-BDF6-3F9BD1210CA0}">
  <dimension ref="A1:P115"/>
  <sheetViews>
    <sheetView zoomScaleNormal="100" workbookViewId="0">
      <selection activeCell="E10" sqref="E10"/>
    </sheetView>
  </sheetViews>
  <sheetFormatPr defaultRowHeight="15" x14ac:dyDescent="0.25"/>
  <cols>
    <col min="1" max="1" width="19.140625" bestFit="1" customWidth="1"/>
    <col min="3" max="3" width="10.42578125" bestFit="1" customWidth="1"/>
    <col min="6" max="6" width="14.7109375" bestFit="1" customWidth="1"/>
    <col min="7" max="7" width="10.85546875" bestFit="1" customWidth="1"/>
    <col min="8" max="8" width="14.7109375" bestFit="1" customWidth="1"/>
    <col min="9" max="9" width="11" bestFit="1" customWidth="1"/>
    <col min="11" max="11" width="11" bestFit="1" customWidth="1"/>
    <col min="13" max="13" width="3" customWidth="1"/>
    <col min="14" max="14" width="12.7109375" bestFit="1" customWidth="1"/>
    <col min="15" max="15" width="10.5703125" customWidth="1"/>
    <col min="16" max="16" width="11.5703125" customWidth="1"/>
  </cols>
  <sheetData>
    <row r="1" spans="1:16" x14ac:dyDescent="0.25">
      <c r="A1" t="s">
        <v>43</v>
      </c>
      <c r="B1" t="s">
        <v>46</v>
      </c>
      <c r="C1" t="s">
        <v>62</v>
      </c>
      <c r="D1" t="s">
        <v>44</v>
      </c>
      <c r="N1" t="s">
        <v>2</v>
      </c>
      <c r="O1" s="2" t="s">
        <v>1</v>
      </c>
      <c r="P1" s="5"/>
    </row>
    <row r="2" spans="1:16" x14ac:dyDescent="0.25">
      <c r="A2" t="s">
        <v>63</v>
      </c>
      <c r="B2">
        <v>0</v>
      </c>
      <c r="C2">
        <f>2968*12</f>
        <v>35616</v>
      </c>
      <c r="N2" t="s">
        <v>36</v>
      </c>
      <c r="O2">
        <v>15750</v>
      </c>
    </row>
    <row r="3" spans="1:16" x14ac:dyDescent="0.25">
      <c r="A3" t="s">
        <v>64</v>
      </c>
      <c r="B3">
        <v>0</v>
      </c>
      <c r="C3">
        <v>0</v>
      </c>
      <c r="N3" s="4" t="s">
        <v>0</v>
      </c>
      <c r="O3">
        <v>176100</v>
      </c>
    </row>
    <row r="4" spans="1:16" x14ac:dyDescent="0.25">
      <c r="A4" t="s">
        <v>11</v>
      </c>
      <c r="B4">
        <f>B2-B3</f>
        <v>0</v>
      </c>
      <c r="C4">
        <f>C2-C3</f>
        <v>35616</v>
      </c>
      <c r="D4" s="5" t="str">
        <f t="shared" ref="D4:D6" ca="1" si="0">_xlfn.FORMULATEXT(B4)</f>
        <v>=B2-B3</v>
      </c>
      <c r="N4" t="s">
        <v>32</v>
      </c>
      <c r="O4">
        <v>200000</v>
      </c>
    </row>
    <row r="5" spans="1:16" x14ac:dyDescent="0.25">
      <c r="A5" t="s">
        <v>45</v>
      </c>
      <c r="B5">
        <f>_xlfn.LET(_xlpm.t,ROUND(B4*0.9235,0),IF(_xlpm.t&lt;400,0,ROUND(MAX(0,MIN(_xlpm.t,SS_cap-B8))*0.124,0)+ROUND(_xlpm.t*0.029,0)))</f>
        <v>0</v>
      </c>
      <c r="C5">
        <f>_xlfn.LET(_xlpm.t,ROUND(C4*0.9235,0),IF(_xlpm.t&lt;400,0,ROUND(MAX(0,MIN(_xlpm.t,SS_cap-C8))*0.124,0)+ROUND(_xlpm.t*0.029,0)))</f>
        <v>5032</v>
      </c>
      <c r="D5" s="5" t="str">
        <f t="shared" ca="1" si="0"/>
        <v>=LET(t,ROUND(B4*0.9235,0),IF(t&lt;400,0,ROUND(MAX(0,MIN(t,SS_cap-B8))*0.124,0)+ROUND(t*0.029,0)))</v>
      </c>
      <c r="N5" t="s">
        <v>37</v>
      </c>
      <c r="O5">
        <v>197300</v>
      </c>
    </row>
    <row r="6" spans="1:16" x14ac:dyDescent="0.25">
      <c r="A6" t="s">
        <v>10</v>
      </c>
      <c r="B6">
        <f>ROUND(B5/2,0)</f>
        <v>0</v>
      </c>
      <c r="C6">
        <f>ROUND(C5/2,0)</f>
        <v>2516</v>
      </c>
      <c r="D6" s="5" t="str">
        <f t="shared" ca="1" si="0"/>
        <v>=ROUND(B5/2,0)</v>
      </c>
      <c r="N6" t="s">
        <v>38</v>
      </c>
      <c r="O6">
        <v>75000</v>
      </c>
    </row>
    <row r="7" spans="1:16" x14ac:dyDescent="0.25">
      <c r="N7" t="s">
        <v>26</v>
      </c>
      <c r="P7" t="s">
        <v>27</v>
      </c>
    </row>
    <row r="8" spans="1:16" x14ac:dyDescent="0.25">
      <c r="A8" t="s">
        <v>60</v>
      </c>
      <c r="B8">
        <v>18000</v>
      </c>
      <c r="C8">
        <v>18000</v>
      </c>
      <c r="D8" s="5"/>
      <c r="N8">
        <v>0</v>
      </c>
      <c r="O8" s="3">
        <v>0.1</v>
      </c>
      <c r="P8" s="2">
        <f>O8</f>
        <v>0.1</v>
      </c>
    </row>
    <row r="9" spans="1:16" x14ac:dyDescent="0.25">
      <c r="A9" t="s">
        <v>13</v>
      </c>
      <c r="B9">
        <f>ROUND(MIN(SS_cap,B8)*0.062,0)</f>
        <v>1116</v>
      </c>
      <c r="C9">
        <f>ROUND(MIN(SS_cap,C8)*0.062,0)</f>
        <v>1116</v>
      </c>
      <c r="D9" s="5" t="str">
        <f ca="1">_xlfn.FORMULATEXT(B9)</f>
        <v>=ROUND(MIN(SS_cap,B8)*0.062,0)</v>
      </c>
      <c r="M9" s="5"/>
      <c r="N9">
        <v>11925</v>
      </c>
      <c r="O9" s="3">
        <v>0.12</v>
      </c>
      <c r="P9" s="2">
        <f t="shared" ref="P9:P14" si="1">O9-O8</f>
        <v>1.999999999999999E-2</v>
      </c>
    </row>
    <row r="10" spans="1:16" x14ac:dyDescent="0.25">
      <c r="A10" t="s">
        <v>14</v>
      </c>
      <c r="B10">
        <f>ROUND(B8*0.0145,0)+ROUND(MAX(0,B8-200000)*0.009,0)</f>
        <v>261</v>
      </c>
      <c r="C10">
        <f>ROUND(C8*0.0145,0)+ROUND(MAX(0,C8-200000)*0.009,0)</f>
        <v>261</v>
      </c>
      <c r="D10" s="5" t="str">
        <f ca="1">_xlfn.FORMULATEXT(B10)</f>
        <v>=ROUND(B8*0.0145,0)+ROUND(MAX(0,B8-200000)*0.009,0)</v>
      </c>
      <c r="M10" s="5"/>
      <c r="N10">
        <v>48475</v>
      </c>
      <c r="O10" s="3">
        <v>0.22</v>
      </c>
      <c r="P10" s="2">
        <f t="shared" si="1"/>
        <v>0.1</v>
      </c>
    </row>
    <row r="11" spans="1:16" x14ac:dyDescent="0.25">
      <c r="M11" s="5"/>
      <c r="N11">
        <v>103350</v>
      </c>
      <c r="O11" s="3">
        <v>0.24</v>
      </c>
      <c r="P11" s="2">
        <f t="shared" si="1"/>
        <v>1.999999999999999E-2</v>
      </c>
    </row>
    <row r="12" spans="1:16" x14ac:dyDescent="0.25">
      <c r="A12" t="s">
        <v>61</v>
      </c>
      <c r="B12">
        <v>0</v>
      </c>
      <c r="C12">
        <v>0</v>
      </c>
      <c r="D12" s="5"/>
      <c r="N12">
        <v>197300</v>
      </c>
      <c r="O12" s="3">
        <v>0.32</v>
      </c>
      <c r="P12" s="2">
        <f t="shared" si="1"/>
        <v>8.0000000000000016E-2</v>
      </c>
    </row>
    <row r="13" spans="1:16" x14ac:dyDescent="0.25">
      <c r="A13" t="s">
        <v>9</v>
      </c>
      <c r="B13">
        <f>B4+B8-B6+B12</f>
        <v>18000</v>
      </c>
      <c r="C13">
        <f>C4+C8-C6+C12</f>
        <v>51100</v>
      </c>
      <c r="D13" s="5" t="str">
        <f ca="1">_xlfn.FORMULATEXT(B13)</f>
        <v>=B4+B8-B6+B12</v>
      </c>
      <c r="N13">
        <v>250525</v>
      </c>
      <c r="O13" s="3">
        <v>0.35</v>
      </c>
      <c r="P13" s="2">
        <f t="shared" si="1"/>
        <v>2.9999999999999971E-2</v>
      </c>
    </row>
    <row r="14" spans="1:16" x14ac:dyDescent="0.25">
      <c r="A14" t="s">
        <v>22</v>
      </c>
      <c r="B14">
        <f>standard_ded</f>
        <v>15750</v>
      </c>
      <c r="C14">
        <f>standard_ded</f>
        <v>15750</v>
      </c>
      <c r="D14" s="5" t="str">
        <f ca="1">_xlfn.FORMULATEXT(B14)</f>
        <v>=standard_ded</v>
      </c>
      <c r="N14">
        <v>626350</v>
      </c>
      <c r="O14" s="3">
        <v>0.37</v>
      </c>
      <c r="P14" s="2">
        <f t="shared" si="1"/>
        <v>2.0000000000000018E-2</v>
      </c>
    </row>
    <row r="15" spans="1:16" x14ac:dyDescent="0.25">
      <c r="A15" t="s">
        <v>8</v>
      </c>
      <c r="B15">
        <f>MAX(0,B13-B14)</f>
        <v>2250</v>
      </c>
      <c r="C15">
        <f>MAX(0,C13-C14)</f>
        <v>35350</v>
      </c>
      <c r="D15" s="5" t="str">
        <f ca="1">_xlfn.FORMULATEXT(B15)</f>
        <v>=MAX(0,B13-B14)</v>
      </c>
      <c r="O15" s="3"/>
      <c r="P15" s="2"/>
    </row>
    <row r="16" spans="1:16" x14ac:dyDescent="0.25">
      <c r="A16" t="s">
        <v>7</v>
      </c>
      <c r="B16">
        <f>IF(B55&lt;&gt;0,B94,B113)</f>
        <v>0</v>
      </c>
      <c r="C16">
        <f>IF(C55&lt;&gt;0,C94,C113)</f>
        <v>6620</v>
      </c>
      <c r="D16" s="5" t="s">
        <v>68</v>
      </c>
    </row>
    <row r="17" spans="1:16" x14ac:dyDescent="0.25">
      <c r="A17" t="s">
        <v>6</v>
      </c>
      <c r="B17">
        <f>B15-B16</f>
        <v>2250</v>
      </c>
      <c r="C17">
        <f>C15-C16</f>
        <v>28730</v>
      </c>
      <c r="D17" s="5" t="str">
        <f t="shared" ref="D17:D21" ca="1" si="2">_xlfn.FORMULATEXT(B17)</f>
        <v>=B15-B16</v>
      </c>
      <c r="N17" t="s">
        <v>30</v>
      </c>
      <c r="O17">
        <v>2</v>
      </c>
      <c r="P17" s="7" t="s">
        <v>23</v>
      </c>
    </row>
    <row r="18" spans="1:16" x14ac:dyDescent="0.25">
      <c r="A18" t="s">
        <v>41</v>
      </c>
      <c r="B18">
        <f>IF(OR(B17&lt;25,B17&gt;=100000),B17,_xlfn.LET(_xlpm.w,IF(B17&lt;3000,25,50),ROUNDDOWN(B17/_xlpm.w,0)*_xlpm.w+_xlpm.w/2))</f>
        <v>2262.5</v>
      </c>
      <c r="C18">
        <f>IF(OR(C17&lt;25,C17&gt;=100000),C17,_xlfn.LET(_xlpm.w,IF(C17&lt;3000,25,50),ROUNDDOWN(C17/_xlpm.w,0)*_xlpm.w+_xlpm.w/2))</f>
        <v>28725</v>
      </c>
      <c r="D18" s="5" t="str">
        <f t="shared" ca="1" si="2"/>
        <v>=IF(OR(B17&lt;25,B17&gt;=100000),B17,LET(w,IF(B17&lt;3000,25,50),ROUNDDOWN(B17/w,0)*w+w/2))</v>
      </c>
      <c r="N18" t="s">
        <v>39</v>
      </c>
      <c r="P18" t="s">
        <v>40</v>
      </c>
    </row>
    <row r="19" spans="1:16" x14ac:dyDescent="0.25">
      <c r="A19" t="s">
        <v>5</v>
      </c>
      <c r="B19" cm="1">
        <f t="array" ref="B19">_xlfn.LET(_xlpm.d,B18-FIT_thresh,ROUND(SUMPRODUCT(N(_xlpm.d&gt;0),_xlpm.d,FIT_diffs), 0 ))</f>
        <v>226</v>
      </c>
      <c r="C19" cm="1">
        <f t="array" ref="C19">_xlfn.LET(_xlpm.d,C18-FIT_thresh,ROUND(SUMPRODUCT(N(_xlpm.d&gt;0),_xlpm.d,FIT_diffs), 0 ))</f>
        <v>3209</v>
      </c>
      <c r="D19" s="5" t="str">
        <f t="shared" ca="1" si="2"/>
        <v>=LET(d,B18-FIT_thresh,ROUND(SUMPRODUCT(N(d&gt;0),d,FIT_diffs), 0 ))</v>
      </c>
      <c r="N19">
        <v>0</v>
      </c>
      <c r="P19">
        <v>0</v>
      </c>
    </row>
    <row r="20" spans="1:16" x14ac:dyDescent="0.25">
      <c r="A20" t="s">
        <v>12</v>
      </c>
      <c r="B20">
        <f>ROUND(0.009*MAX(ROUND(B4*0.9235,0)+B8-adl_med_base,0),0)-(B10-ROUND(B8*0.0145,0))</f>
        <v>0</v>
      </c>
      <c r="C20">
        <f>ROUND(0.009*MAX(ROUND(C4*0.9235,0)+C8-adl_med_base,0),0)-(C10-ROUND(C8*0.0145,0))</f>
        <v>0</v>
      </c>
      <c r="D20" s="5" t="str">
        <f t="shared" ca="1" si="2"/>
        <v>=ROUND(0.009*MAX(ROUND(B4*0.9235,0)+B8-adl_med_base,0),0)-(B10-ROUND(B8*0.0145,0))</v>
      </c>
    </row>
    <row r="21" spans="1:16" x14ac:dyDescent="0.25">
      <c r="A21" t="s">
        <v>4</v>
      </c>
      <c r="B21">
        <f>SUM(B5,B9,B10,B19,B20)</f>
        <v>1603</v>
      </c>
      <c r="C21">
        <f>SUM(C5,C9,C10,C19,C20)</f>
        <v>9618</v>
      </c>
      <c r="D21" s="5" t="str">
        <f t="shared" ca="1" si="2"/>
        <v>=SUM(B5,B9,B10,B19,B20)</v>
      </c>
    </row>
    <row r="22" spans="1:16" x14ac:dyDescent="0.25">
      <c r="N22" t="s">
        <v>31</v>
      </c>
      <c r="O22">
        <v>0</v>
      </c>
      <c r="P22" s="2"/>
    </row>
    <row r="23" spans="1:16" x14ac:dyDescent="0.25">
      <c r="A23" t="s">
        <v>15</v>
      </c>
      <c r="B23">
        <f>IF(st_start=1,B13,IF(st_start=2,B17,B4+B8))</f>
        <v>2250</v>
      </c>
      <c r="C23">
        <f>IF(st_start=1,C13,IF(st_start=2,C17,C4+C8))</f>
        <v>28730</v>
      </c>
      <c r="D23" s="5" t="str">
        <f ca="1">_xlfn.FORMULATEXT(B23)</f>
        <v>=IF(st_start=1,B13,IF(st_start=2,B17,B4+B8))</v>
      </c>
      <c r="N23" t="s">
        <v>28</v>
      </c>
      <c r="O23" s="1">
        <v>0</v>
      </c>
      <c r="P23" s="2"/>
    </row>
    <row r="24" spans="1:16" x14ac:dyDescent="0.25">
      <c r="A24" t="s">
        <v>16</v>
      </c>
      <c r="B24" cm="1">
        <f t="array" ref="B24">SUMPRODUCT(N(B23&gt;st_ded_thresh),st_ded_diff)</f>
        <v>0</v>
      </c>
      <c r="C24" cm="1">
        <f t="array" ref="C24">SUMPRODUCT(N(C23&gt;st_ded_thresh),st_ded_diff)</f>
        <v>0</v>
      </c>
      <c r="D24" s="5" t="str">
        <f ca="1">_xlfn.FORMULATEXT(B24)</f>
        <v>=SUMPRODUCT(N(B23&gt;st_ded_thresh),st_ded_diff)</v>
      </c>
      <c r="N24" t="s">
        <v>29</v>
      </c>
      <c r="O24">
        <v>0</v>
      </c>
      <c r="P24" s="7" t="s">
        <v>33</v>
      </c>
    </row>
    <row r="25" spans="1:16" x14ac:dyDescent="0.25">
      <c r="A25" t="s">
        <v>17</v>
      </c>
      <c r="B25">
        <f>MAX(0,B23-B24)</f>
        <v>2250</v>
      </c>
      <c r="C25">
        <f>MAX(0,C23-C24)</f>
        <v>28730</v>
      </c>
      <c r="D25" s="5" t="str">
        <f ca="1">_xlfn.FORMULATEXT(B25)</f>
        <v>=MAX(0,B23-B24)</v>
      </c>
      <c r="N25" t="s">
        <v>24</v>
      </c>
      <c r="O25" s="1"/>
      <c r="P25" t="s">
        <v>25</v>
      </c>
    </row>
    <row r="26" spans="1:16" x14ac:dyDescent="0.25">
      <c r="A26" t="s">
        <v>18</v>
      </c>
      <c r="B26" cm="1">
        <f t="array" ref="B26">_xlfn.LET(_xlpm.tmp,B25-SIT_thresh,ROUND(SUMPRODUCT(N(_xlpm.tmp&gt;0),_xlpm.tmp,SIT_diffs), 0 ))</f>
        <v>0</v>
      </c>
      <c r="C26" cm="1">
        <f t="array" ref="C26">_xlfn.LET(_xlpm.tmp,C25-SIT_thresh,ROUND(SUMPRODUCT(N(_xlpm.tmp&gt;0),_xlpm.tmp,SIT_diffs), 0 ))</f>
        <v>0</v>
      </c>
      <c r="D26" s="5" t="str">
        <f ca="1">_xlfn.FORMULATEXT(B26)</f>
        <v>=LET(tmp,B25-SIT_thresh,ROUND(SUMPRODUCT(N(tmp&gt;0),tmp,SIT_diffs), 0 ))</v>
      </c>
      <c r="N26">
        <v>0</v>
      </c>
      <c r="O26" s="1">
        <v>0</v>
      </c>
      <c r="P26" s="6">
        <f>O26</f>
        <v>0</v>
      </c>
    </row>
    <row r="27" spans="1:16" x14ac:dyDescent="0.25">
      <c r="A27" t="s">
        <v>21</v>
      </c>
      <c r="B27">
        <f>st_creds</f>
        <v>0</v>
      </c>
      <c r="C27">
        <f>st_creds</f>
        <v>0</v>
      </c>
      <c r="D27" s="5" t="str">
        <f t="shared" ref="D27:D28" ca="1" si="3">_xlfn.FORMULATEXT(B27)</f>
        <v>=st_creds</v>
      </c>
      <c r="M27" s="1"/>
      <c r="O27" s="1"/>
      <c r="P27" s="6"/>
    </row>
    <row r="28" spans="1:16" x14ac:dyDescent="0.25">
      <c r="A28" t="s">
        <v>19</v>
      </c>
      <c r="B28">
        <f>ROUND(IF(st_pr_cap=0,MIN(SS_cap,B8),IF(st_pr_cap=1,B8,MIN(B8,st_pr_cap)))*st_pr_rate,0)</f>
        <v>0</v>
      </c>
      <c r="C28">
        <f>ROUND(IF(st_pr_cap=0,MIN(SS_cap,C8),IF(st_pr_cap=1,C8,MIN(C8,st_pr_cap)))*st_pr_rate,0)</f>
        <v>0</v>
      </c>
      <c r="D28" s="5" t="str">
        <f t="shared" ca="1" si="3"/>
        <v>=ROUND(IF(st_pr_cap=0,MIN(SS_cap,B8),IF(st_pr_cap=1,B8,MIN(B8,st_pr_cap)))*st_pr_rate,0)</v>
      </c>
      <c r="F28" s="1"/>
      <c r="K28" s="1"/>
      <c r="M28" s="1"/>
      <c r="O28" s="1"/>
      <c r="P28" s="6"/>
    </row>
    <row r="29" spans="1:16" x14ac:dyDescent="0.25">
      <c r="A29" t="s">
        <v>20</v>
      </c>
      <c r="B29">
        <f>B26+B28-B27</f>
        <v>0</v>
      </c>
      <c r="C29">
        <f>C26+C28-C27</f>
        <v>0</v>
      </c>
      <c r="D29" s="5" t="str">
        <f ca="1">_xlfn.FORMULATEXT(B29)</f>
        <v>=B26+B28-B27</v>
      </c>
      <c r="O29" s="1"/>
      <c r="P29" s="6"/>
    </row>
    <row r="30" spans="1:16" x14ac:dyDescent="0.25">
      <c r="D30" s="5"/>
      <c r="F30" s="1"/>
      <c r="I30" s="1"/>
      <c r="O30" s="1"/>
      <c r="P30" s="6"/>
    </row>
    <row r="31" spans="1:16" x14ac:dyDescent="0.25">
      <c r="A31" t="s">
        <v>3</v>
      </c>
      <c r="B31">
        <f>B21+B29</f>
        <v>1603</v>
      </c>
      <c r="C31">
        <f>C21+C29</f>
        <v>9618</v>
      </c>
      <c r="D31" s="5" t="str">
        <f ca="1">_xlfn.FORMULATEXT(B31)</f>
        <v>=B21+B29</v>
      </c>
      <c r="F31" s="1"/>
      <c r="O31" s="1"/>
      <c r="P31" s="6"/>
    </row>
    <row r="32" spans="1:16" x14ac:dyDescent="0.25">
      <c r="A32" t="s">
        <v>34</v>
      </c>
      <c r="B32" s="1">
        <f>IF(B4+B8,B21/(B4+B8),0)</f>
        <v>8.9055555555555554E-2</v>
      </c>
      <c r="C32" s="1">
        <f>IF(C4+C8,C21/(C4+C8),0)</f>
        <v>0.17938675022381378</v>
      </c>
      <c r="F32" s="1"/>
      <c r="O32" s="1"/>
      <c r="P32" s="6"/>
    </row>
    <row r="33" spans="1:16" x14ac:dyDescent="0.25">
      <c r="A33" t="s">
        <v>35</v>
      </c>
      <c r="B33" s="1">
        <f>IF(B4+B8,B31/(B4+B8),0)</f>
        <v>8.9055555555555554E-2</v>
      </c>
      <c r="C33" s="1">
        <f>IF(C4+C8,C31/(C4+C8),0)</f>
        <v>0.17938675022381378</v>
      </c>
      <c r="O33" s="1"/>
      <c r="P33" s="6"/>
    </row>
    <row r="34" spans="1:16" x14ac:dyDescent="0.25">
      <c r="A34" t="s">
        <v>42</v>
      </c>
      <c r="B34">
        <f>B4+B8-B31</f>
        <v>16397</v>
      </c>
      <c r="C34">
        <f>C4+C8-C31</f>
        <v>43998</v>
      </c>
      <c r="O34" s="1"/>
      <c r="P34" s="6"/>
    </row>
    <row r="35" spans="1:16" x14ac:dyDescent="0.25">
      <c r="A35" t="s">
        <v>70</v>
      </c>
      <c r="C35" s="5">
        <f>C34-B34</f>
        <v>27601</v>
      </c>
      <c r="O35" s="1"/>
      <c r="P35" s="6"/>
    </row>
    <row r="36" spans="1:16" x14ac:dyDescent="0.25">
      <c r="A36" t="s">
        <v>69</v>
      </c>
      <c r="C36">
        <f>ROUND(C35/12,0)</f>
        <v>2300</v>
      </c>
    </row>
    <row r="41" spans="1:16" x14ac:dyDescent="0.25">
      <c r="I41" s="1"/>
      <c r="J41" s="1"/>
      <c r="K41" s="1"/>
      <c r="L41" s="1"/>
    </row>
    <row r="42" spans="1:16" x14ac:dyDescent="0.25">
      <c r="I42" s="1"/>
      <c r="J42" s="1"/>
      <c r="K42" s="1"/>
      <c r="L42" s="1"/>
    </row>
    <row r="44" spans="1:16" x14ac:dyDescent="0.25">
      <c r="I44" s="1"/>
      <c r="J44" s="1"/>
      <c r="K44" s="1"/>
      <c r="L44" s="1"/>
    </row>
    <row r="45" spans="1:16" x14ac:dyDescent="0.25">
      <c r="I45" s="1"/>
      <c r="J45" s="1"/>
      <c r="K45" s="1"/>
      <c r="L45" s="1"/>
    </row>
    <row r="51" spans="1:7" x14ac:dyDescent="0.25">
      <c r="C51" s="5"/>
    </row>
    <row r="52" spans="1:7" x14ac:dyDescent="0.25">
      <c r="C52" s="5"/>
    </row>
    <row r="53" spans="1:7" x14ac:dyDescent="0.25">
      <c r="A53" t="s">
        <v>47</v>
      </c>
      <c r="C53" s="5"/>
    </row>
    <row r="54" spans="1:7" x14ac:dyDescent="0.25">
      <c r="A54" t="s">
        <v>65</v>
      </c>
      <c r="C54" s="5"/>
    </row>
    <row r="55" spans="1:7" x14ac:dyDescent="0.25">
      <c r="A55" s="5">
        <v>2</v>
      </c>
      <c r="B55">
        <f>IF(B100&lt;&gt;0,0,B4-B6)</f>
        <v>0</v>
      </c>
      <c r="C55">
        <f>IF(C100&lt;&gt;0,0,C4-C6)</f>
        <v>0</v>
      </c>
      <c r="G55" s="4"/>
    </row>
    <row r="56" spans="1:7" x14ac:dyDescent="0.25">
      <c r="A56" s="5">
        <v>3</v>
      </c>
      <c r="B56">
        <f>ROUND(0.2*B55,0)</f>
        <v>0</v>
      </c>
      <c r="C56">
        <f>ROUND(0.2*C55,0)</f>
        <v>0</v>
      </c>
    </row>
    <row r="57" spans="1:7" x14ac:dyDescent="0.25">
      <c r="A57">
        <v>4</v>
      </c>
      <c r="B57">
        <v>0</v>
      </c>
      <c r="C57">
        <v>0</v>
      </c>
    </row>
    <row r="58" spans="1:7" x14ac:dyDescent="0.25">
      <c r="A58">
        <v>5</v>
      </c>
      <c r="B58">
        <f>ROUND(B57*0.5,0)</f>
        <v>0</v>
      </c>
      <c r="C58">
        <f>ROUND(C57*0.5,0)</f>
        <v>0</v>
      </c>
    </row>
    <row r="59" spans="1:7" x14ac:dyDescent="0.25">
      <c r="A59">
        <v>6</v>
      </c>
      <c r="B59">
        <f>ROUND(B57*0.25,0)</f>
        <v>0</v>
      </c>
      <c r="C59">
        <f>ROUND(C57*0.25,0)</f>
        <v>0</v>
      </c>
    </row>
    <row r="60" spans="1:7" x14ac:dyDescent="0.25">
      <c r="A60">
        <v>7</v>
      </c>
      <c r="B60">
        <v>0</v>
      </c>
      <c r="C60">
        <v>0</v>
      </c>
    </row>
    <row r="61" spans="1:7" x14ac:dyDescent="0.25">
      <c r="A61">
        <v>8</v>
      </c>
      <c r="B61">
        <f>ROUND(B60*0.025,0)</f>
        <v>0</v>
      </c>
      <c r="C61">
        <f>ROUND(C60*0.025,0)</f>
        <v>0</v>
      </c>
    </row>
    <row r="62" spans="1:7" x14ac:dyDescent="0.25">
      <c r="A62">
        <v>9</v>
      </c>
      <c r="B62">
        <f>B59+B61</f>
        <v>0</v>
      </c>
      <c r="C62">
        <f>C59+C61</f>
        <v>0</v>
      </c>
    </row>
    <row r="63" spans="1:7" x14ac:dyDescent="0.25">
      <c r="A63">
        <v>10</v>
      </c>
      <c r="B63">
        <f>MAX(B58,B62)</f>
        <v>0</v>
      </c>
      <c r="C63">
        <f>MAX(C58,C62)</f>
        <v>0</v>
      </c>
    </row>
    <row r="64" spans="1:7" x14ac:dyDescent="0.25">
      <c r="A64">
        <v>11</v>
      </c>
      <c r="B64">
        <f>MIN(B56,B63)</f>
        <v>0</v>
      </c>
      <c r="C64">
        <f>MIN(C56,C63)</f>
        <v>0</v>
      </c>
    </row>
    <row r="65" spans="1:10" x14ac:dyDescent="0.25">
      <c r="A65">
        <v>12</v>
      </c>
      <c r="B65">
        <f>B80</f>
        <v>0</v>
      </c>
      <c r="C65">
        <f>C80</f>
        <v>0</v>
      </c>
    </row>
    <row r="66" spans="1:10" x14ac:dyDescent="0.25">
      <c r="A66">
        <v>13</v>
      </c>
      <c r="B66">
        <f>MAX(B64,B65)</f>
        <v>0</v>
      </c>
      <c r="C66">
        <f>MAX(C64,C65)</f>
        <v>0</v>
      </c>
    </row>
    <row r="67" spans="1:10" x14ac:dyDescent="0.25">
      <c r="A67">
        <v>14</v>
      </c>
      <c r="B67">
        <v>0</v>
      </c>
      <c r="C67">
        <v>0</v>
      </c>
    </row>
    <row r="68" spans="1:10" x14ac:dyDescent="0.25">
      <c r="A68">
        <v>15</v>
      </c>
      <c r="B68">
        <f>B66-B67</f>
        <v>0</v>
      </c>
      <c r="C68">
        <f>C66-C67</f>
        <v>0</v>
      </c>
      <c r="G68" s="1"/>
    </row>
    <row r="69" spans="1:10" x14ac:dyDescent="0.25">
      <c r="A69">
        <v>16</v>
      </c>
      <c r="B69">
        <f>B68</f>
        <v>0</v>
      </c>
      <c r="C69">
        <f>C68</f>
        <v>0</v>
      </c>
      <c r="G69" s="1"/>
    </row>
    <row r="70" spans="1:10" x14ac:dyDescent="0.25">
      <c r="A70" t="s">
        <v>66</v>
      </c>
      <c r="C70" s="5"/>
    </row>
    <row r="71" spans="1:10" x14ac:dyDescent="0.25">
      <c r="A71">
        <v>17</v>
      </c>
      <c r="B71">
        <f>B56</f>
        <v>0</v>
      </c>
      <c r="C71">
        <f>C56</f>
        <v>0</v>
      </c>
    </row>
    <row r="72" spans="1:10" x14ac:dyDescent="0.25">
      <c r="A72">
        <v>18</v>
      </c>
      <c r="B72">
        <f>B63</f>
        <v>0</v>
      </c>
      <c r="C72">
        <f>C63</f>
        <v>0</v>
      </c>
    </row>
    <row r="73" spans="1:10" x14ac:dyDescent="0.25">
      <c r="A73">
        <v>19</v>
      </c>
      <c r="B73">
        <f>B71-B72</f>
        <v>0</v>
      </c>
      <c r="C73">
        <f>C71-C72</f>
        <v>0</v>
      </c>
      <c r="J73" s="1"/>
    </row>
    <row r="74" spans="1:10" x14ac:dyDescent="0.25">
      <c r="A74">
        <v>20</v>
      </c>
      <c r="B74">
        <f>B15</f>
        <v>2250</v>
      </c>
      <c r="C74">
        <f>C15</f>
        <v>35350</v>
      </c>
    </row>
    <row r="75" spans="1:10" x14ac:dyDescent="0.25">
      <c r="A75">
        <v>21</v>
      </c>
      <c r="B75">
        <f>QBI_po_start</f>
        <v>197300</v>
      </c>
      <c r="C75">
        <f>QBI_po_start</f>
        <v>197300</v>
      </c>
    </row>
    <row r="76" spans="1:10" x14ac:dyDescent="0.25">
      <c r="A76">
        <v>22</v>
      </c>
      <c r="B76">
        <f>MAX(0,B74-B75)</f>
        <v>0</v>
      </c>
      <c r="C76">
        <f>MAX(0,C74-C75)</f>
        <v>0</v>
      </c>
    </row>
    <row r="77" spans="1:10" x14ac:dyDescent="0.25">
      <c r="A77">
        <v>23</v>
      </c>
      <c r="B77">
        <f>QBI_po_size</f>
        <v>75000</v>
      </c>
      <c r="C77">
        <f>QBI_po_size</f>
        <v>75000</v>
      </c>
      <c r="J77" s="1"/>
    </row>
    <row r="78" spans="1:10" x14ac:dyDescent="0.25">
      <c r="A78">
        <v>24</v>
      </c>
      <c r="B78">
        <f>ROUND(B76/B77,5)</f>
        <v>0</v>
      </c>
      <c r="C78">
        <f>ROUND(C76/C77,5)</f>
        <v>0</v>
      </c>
    </row>
    <row r="79" spans="1:10" x14ac:dyDescent="0.25">
      <c r="A79">
        <v>25</v>
      </c>
      <c r="B79">
        <f>ROUND(B73*B78,0)</f>
        <v>0</v>
      </c>
      <c r="C79">
        <f>ROUND(C73*C78,0)</f>
        <v>0</v>
      </c>
    </row>
    <row r="80" spans="1:10" x14ac:dyDescent="0.25">
      <c r="A80">
        <v>26</v>
      </c>
      <c r="B80">
        <f>B71-B79</f>
        <v>0</v>
      </c>
      <c r="C80">
        <f>C71-C79</f>
        <v>0</v>
      </c>
      <c r="J80" s="1"/>
    </row>
    <row r="81" spans="1:3" x14ac:dyDescent="0.25">
      <c r="A81" t="s">
        <v>67</v>
      </c>
      <c r="C81" s="5"/>
    </row>
    <row r="82" spans="1:3" x14ac:dyDescent="0.25">
      <c r="A82">
        <v>27</v>
      </c>
      <c r="B82">
        <f>B68</f>
        <v>0</v>
      </c>
      <c r="C82">
        <f>C68</f>
        <v>0</v>
      </c>
    </row>
    <row r="83" spans="1:3" x14ac:dyDescent="0.25">
      <c r="A83">
        <v>28</v>
      </c>
      <c r="B83">
        <v>0</v>
      </c>
      <c r="C83">
        <v>0</v>
      </c>
    </row>
    <row r="84" spans="1:3" x14ac:dyDescent="0.25">
      <c r="A84">
        <v>29</v>
      </c>
      <c r="B84">
        <v>0</v>
      </c>
      <c r="C84">
        <v>0</v>
      </c>
    </row>
    <row r="85" spans="1:3" x14ac:dyDescent="0.25">
      <c r="A85">
        <v>30</v>
      </c>
      <c r="B85">
        <f>MAX(0,B83+B84)</f>
        <v>0</v>
      </c>
      <c r="C85">
        <f>MAX(0,C83+C84)</f>
        <v>0</v>
      </c>
    </row>
    <row r="86" spans="1:3" x14ac:dyDescent="0.25">
      <c r="A86">
        <v>31</v>
      </c>
      <c r="B86">
        <f>ROUND(0.2*B85,0)</f>
        <v>0</v>
      </c>
      <c r="C86">
        <f>ROUND(0.2*C85,0)</f>
        <v>0</v>
      </c>
    </row>
    <row r="87" spans="1:3" x14ac:dyDescent="0.25">
      <c r="A87">
        <v>32</v>
      </c>
      <c r="B87">
        <f>B82+B86</f>
        <v>0</v>
      </c>
      <c r="C87">
        <f>C82+C86</f>
        <v>0</v>
      </c>
    </row>
    <row r="88" spans="1:3" x14ac:dyDescent="0.25">
      <c r="A88">
        <v>33</v>
      </c>
      <c r="B88">
        <f>B74</f>
        <v>2250</v>
      </c>
      <c r="C88">
        <f>C74</f>
        <v>35350</v>
      </c>
    </row>
    <row r="89" spans="1:3" x14ac:dyDescent="0.25">
      <c r="A89">
        <v>34</v>
      </c>
      <c r="B89">
        <v>0</v>
      </c>
      <c r="C89">
        <v>0</v>
      </c>
    </row>
    <row r="90" spans="1:3" x14ac:dyDescent="0.25">
      <c r="A90">
        <v>35</v>
      </c>
      <c r="B90">
        <f>MAX(0,B88-B89)</f>
        <v>2250</v>
      </c>
      <c r="C90">
        <f>MAX(0,C88-C89)</f>
        <v>35350</v>
      </c>
    </row>
    <row r="91" spans="1:3" x14ac:dyDescent="0.25">
      <c r="A91">
        <v>36</v>
      </c>
      <c r="B91">
        <f>ROUND(B90*0.2,0)</f>
        <v>450</v>
      </c>
      <c r="C91">
        <f>ROUND(C90*0.2,0)</f>
        <v>7070</v>
      </c>
    </row>
    <row r="92" spans="1:3" x14ac:dyDescent="0.25">
      <c r="A92">
        <v>37</v>
      </c>
      <c r="B92">
        <f>MIN(B87,B91)</f>
        <v>0</v>
      </c>
      <c r="C92">
        <f>MIN(C87,C91)</f>
        <v>0</v>
      </c>
    </row>
    <row r="93" spans="1:3" x14ac:dyDescent="0.25">
      <c r="A93">
        <v>38</v>
      </c>
      <c r="B93">
        <v>0</v>
      </c>
      <c r="C93">
        <v>0</v>
      </c>
    </row>
    <row r="94" spans="1:3" x14ac:dyDescent="0.25">
      <c r="A94">
        <v>39</v>
      </c>
      <c r="B94">
        <f>B92+B93</f>
        <v>0</v>
      </c>
      <c r="C94">
        <f>C92+C93</f>
        <v>0</v>
      </c>
    </row>
    <row r="95" spans="1:3" x14ac:dyDescent="0.25">
      <c r="A95">
        <v>40</v>
      </c>
      <c r="B95">
        <f>MIN(0,B83+B84)</f>
        <v>0</v>
      </c>
      <c r="C95">
        <f>MIN(0,C83+C84)</f>
        <v>0</v>
      </c>
    </row>
    <row r="99" spans="1:3" x14ac:dyDescent="0.25">
      <c r="A99" t="s">
        <v>48</v>
      </c>
    </row>
    <row r="100" spans="1:3" x14ac:dyDescent="0.25">
      <c r="A100">
        <v>2</v>
      </c>
      <c r="B100">
        <f>IF(B15&lt;=QBI_po_start,B4-B6,0)</f>
        <v>0</v>
      </c>
      <c r="C100">
        <f>IF(C15&lt;=QBI_po_start,C4-C6,0)</f>
        <v>33100</v>
      </c>
    </row>
    <row r="101" spans="1:3" x14ac:dyDescent="0.25">
      <c r="A101" s="5">
        <v>3</v>
      </c>
      <c r="B101">
        <v>0</v>
      </c>
      <c r="C101">
        <v>0</v>
      </c>
    </row>
    <row r="102" spans="1:3" x14ac:dyDescent="0.25">
      <c r="A102">
        <v>4</v>
      </c>
      <c r="B102">
        <f>B100+B101</f>
        <v>0</v>
      </c>
      <c r="C102">
        <f>C100+C101</f>
        <v>33100</v>
      </c>
    </row>
    <row r="103" spans="1:3" x14ac:dyDescent="0.25">
      <c r="A103">
        <v>5</v>
      </c>
      <c r="B103">
        <f>ROUND(B102*0.2,0)</f>
        <v>0</v>
      </c>
      <c r="C103">
        <f>ROUND(C102*0.2,0)</f>
        <v>6620</v>
      </c>
    </row>
    <row r="104" spans="1:3" x14ac:dyDescent="0.25">
      <c r="A104">
        <v>6</v>
      </c>
      <c r="B104">
        <v>0</v>
      </c>
      <c r="C104">
        <v>0</v>
      </c>
    </row>
    <row r="105" spans="1:3" x14ac:dyDescent="0.25">
      <c r="A105">
        <v>7</v>
      </c>
      <c r="B105">
        <v>0</v>
      </c>
      <c r="C105">
        <v>0</v>
      </c>
    </row>
    <row r="106" spans="1:3" x14ac:dyDescent="0.25">
      <c r="A106">
        <v>8</v>
      </c>
      <c r="B106">
        <f>B104+B105</f>
        <v>0</v>
      </c>
      <c r="C106">
        <f>C104+C105</f>
        <v>0</v>
      </c>
    </row>
    <row r="107" spans="1:3" x14ac:dyDescent="0.25">
      <c r="A107">
        <v>9</v>
      </c>
      <c r="B107">
        <f>ROUND(B106*0.2,0)</f>
        <v>0</v>
      </c>
      <c r="C107">
        <f>ROUND(C106*0.2,0)</f>
        <v>0</v>
      </c>
    </row>
    <row r="108" spans="1:3" x14ac:dyDescent="0.25">
      <c r="A108">
        <v>10</v>
      </c>
      <c r="B108">
        <f>B103+B107</f>
        <v>0</v>
      </c>
      <c r="C108">
        <f>C103+C107</f>
        <v>6620</v>
      </c>
    </row>
    <row r="109" spans="1:3" x14ac:dyDescent="0.25">
      <c r="A109">
        <v>11</v>
      </c>
      <c r="B109">
        <f>B15</f>
        <v>2250</v>
      </c>
      <c r="C109">
        <f>C15</f>
        <v>35350</v>
      </c>
    </row>
    <row r="110" spans="1:3" x14ac:dyDescent="0.25">
      <c r="A110">
        <v>12</v>
      </c>
      <c r="B110">
        <v>0</v>
      </c>
      <c r="C110">
        <v>0</v>
      </c>
    </row>
    <row r="111" spans="1:3" x14ac:dyDescent="0.25">
      <c r="A111">
        <v>13</v>
      </c>
      <c r="B111">
        <f>MAX(0,B109-B110)</f>
        <v>2250</v>
      </c>
      <c r="C111">
        <f>MAX(0,C109-C110)</f>
        <v>35350</v>
      </c>
    </row>
    <row r="112" spans="1:3" x14ac:dyDescent="0.25">
      <c r="A112">
        <v>14</v>
      </c>
      <c r="B112">
        <f>ROUND(B111*0.2,0)</f>
        <v>450</v>
      </c>
      <c r="C112">
        <f>ROUND(C111*0.2,0)</f>
        <v>7070</v>
      </c>
    </row>
    <row r="113" spans="1:3" x14ac:dyDescent="0.25">
      <c r="A113">
        <v>15</v>
      </c>
      <c r="B113">
        <f>MIN(B108,B112)</f>
        <v>0</v>
      </c>
      <c r="C113">
        <f>MIN(C108,C112)</f>
        <v>6620</v>
      </c>
    </row>
    <row r="114" spans="1:3" x14ac:dyDescent="0.25">
      <c r="A114">
        <v>16</v>
      </c>
      <c r="B114">
        <f>MIN(0,B100+B101)</f>
        <v>0</v>
      </c>
      <c r="C114">
        <f>MIN(0,C100+C101)</f>
        <v>0</v>
      </c>
    </row>
    <row r="115" spans="1:3" x14ac:dyDescent="0.25">
      <c r="A115">
        <v>17</v>
      </c>
      <c r="B115">
        <f>MIN(0,B104+B105)</f>
        <v>0</v>
      </c>
      <c r="C115">
        <f>MIN(0,C104+C105)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7DF07-8237-48B2-B46F-B751F90B5D6F}">
  <dimension ref="A1:U26"/>
  <sheetViews>
    <sheetView workbookViewId="0">
      <selection activeCell="A29" sqref="A29"/>
    </sheetView>
  </sheetViews>
  <sheetFormatPr defaultRowHeight="15" x14ac:dyDescent="0.25"/>
  <sheetData>
    <row r="1" spans="1:20" x14ac:dyDescent="0.25">
      <c r="A1" t="s">
        <v>71</v>
      </c>
      <c r="D1" t="s">
        <v>72</v>
      </c>
      <c r="E1" s="8"/>
      <c r="G1" t="s">
        <v>73</v>
      </c>
      <c r="J1" t="s">
        <v>74</v>
      </c>
      <c r="M1" t="s">
        <v>75</v>
      </c>
      <c r="P1" t="s">
        <v>89</v>
      </c>
      <c r="R1" t="s">
        <v>85</v>
      </c>
      <c r="S1" t="s">
        <v>76</v>
      </c>
      <c r="T1" t="s">
        <v>88</v>
      </c>
    </row>
    <row r="2" spans="1:20" x14ac:dyDescent="0.25">
      <c r="A2">
        <v>0</v>
      </c>
      <c r="B2" s="3">
        <v>0.1</v>
      </c>
      <c r="D2">
        <v>0</v>
      </c>
      <c r="E2" s="3">
        <v>0.1</v>
      </c>
      <c r="G2">
        <v>0</v>
      </c>
      <c r="H2" s="3">
        <v>0.1</v>
      </c>
      <c r="J2">
        <v>0</v>
      </c>
      <c r="K2" s="3">
        <v>0.1</v>
      </c>
      <c r="M2" t="s">
        <v>76</v>
      </c>
      <c r="N2">
        <v>29200</v>
      </c>
      <c r="P2">
        <v>168600</v>
      </c>
      <c r="R2" t="s">
        <v>86</v>
      </c>
      <c r="S2">
        <v>383900</v>
      </c>
      <c r="T2">
        <v>191950</v>
      </c>
    </row>
    <row r="3" spans="1:20" x14ac:dyDescent="0.25">
      <c r="A3">
        <v>23200</v>
      </c>
      <c r="B3" s="3">
        <v>0.12</v>
      </c>
      <c r="D3">
        <v>11600</v>
      </c>
      <c r="E3" s="3">
        <v>0.12</v>
      </c>
      <c r="G3">
        <v>16550</v>
      </c>
      <c r="H3" s="3">
        <v>0.12</v>
      </c>
      <c r="J3">
        <v>11600</v>
      </c>
      <c r="K3" s="3">
        <v>0.12</v>
      </c>
      <c r="M3" t="s">
        <v>77</v>
      </c>
      <c r="N3">
        <v>14600</v>
      </c>
      <c r="R3" t="s">
        <v>87</v>
      </c>
      <c r="S3">
        <v>100000</v>
      </c>
      <c r="T3">
        <v>50000</v>
      </c>
    </row>
    <row r="4" spans="1:20" x14ac:dyDescent="0.25">
      <c r="A4">
        <v>94300</v>
      </c>
      <c r="B4" s="3">
        <v>0.22</v>
      </c>
      <c r="D4">
        <v>47150</v>
      </c>
      <c r="E4" s="3">
        <v>0.22</v>
      </c>
      <c r="G4">
        <v>63100</v>
      </c>
      <c r="H4" s="3">
        <v>0.22</v>
      </c>
      <c r="J4">
        <v>47150</v>
      </c>
      <c r="K4" s="3">
        <v>0.22</v>
      </c>
      <c r="M4" t="s">
        <v>78</v>
      </c>
      <c r="N4">
        <v>21900</v>
      </c>
    </row>
    <row r="5" spans="1:20" x14ac:dyDescent="0.25">
      <c r="A5">
        <v>201050</v>
      </c>
      <c r="B5" s="3">
        <v>0.24</v>
      </c>
      <c r="D5">
        <v>100525</v>
      </c>
      <c r="E5" s="3">
        <v>0.24</v>
      </c>
      <c r="G5">
        <v>100500</v>
      </c>
      <c r="H5" s="3">
        <v>0.24</v>
      </c>
      <c r="J5">
        <v>100525</v>
      </c>
      <c r="K5" s="3">
        <v>0.24</v>
      </c>
      <c r="M5" t="s">
        <v>79</v>
      </c>
      <c r="N5">
        <v>14600</v>
      </c>
    </row>
    <row r="6" spans="1:20" x14ac:dyDescent="0.25">
      <c r="A6">
        <v>383900</v>
      </c>
      <c r="B6" s="3">
        <v>0.32</v>
      </c>
      <c r="D6">
        <v>191950</v>
      </c>
      <c r="E6" s="3">
        <v>0.32</v>
      </c>
      <c r="G6">
        <v>191950</v>
      </c>
      <c r="H6" s="3">
        <v>0.32</v>
      </c>
      <c r="J6">
        <v>191950</v>
      </c>
      <c r="K6" s="3">
        <v>0.32</v>
      </c>
    </row>
    <row r="7" spans="1:20" x14ac:dyDescent="0.25">
      <c r="A7">
        <v>487450</v>
      </c>
      <c r="B7" s="3">
        <v>0.35</v>
      </c>
      <c r="D7">
        <v>243725</v>
      </c>
      <c r="E7" s="3">
        <v>0.35</v>
      </c>
      <c r="G7">
        <v>243700</v>
      </c>
      <c r="H7" s="3">
        <v>0.35</v>
      </c>
      <c r="J7">
        <v>243725</v>
      </c>
      <c r="K7" s="3">
        <v>0.35</v>
      </c>
    </row>
    <row r="8" spans="1:20" x14ac:dyDescent="0.25">
      <c r="A8">
        <v>731200</v>
      </c>
      <c r="B8" s="3">
        <v>0.37</v>
      </c>
      <c r="D8">
        <v>609350</v>
      </c>
      <c r="E8" s="3">
        <v>0.37</v>
      </c>
      <c r="G8">
        <v>609350</v>
      </c>
      <c r="H8" s="3">
        <v>0.37</v>
      </c>
      <c r="J8">
        <v>365600</v>
      </c>
      <c r="K8" s="3">
        <v>0.37</v>
      </c>
    </row>
    <row r="9" spans="1:20" x14ac:dyDescent="0.25">
      <c r="J9" s="3"/>
    </row>
    <row r="10" spans="1:20" x14ac:dyDescent="0.25">
      <c r="A10" t="s">
        <v>80</v>
      </c>
      <c r="D10" t="s">
        <v>81</v>
      </c>
      <c r="E10" s="8"/>
      <c r="G10" t="s">
        <v>82</v>
      </c>
      <c r="J10" t="s">
        <v>83</v>
      </c>
      <c r="M10" t="s">
        <v>84</v>
      </c>
      <c r="P10" t="s">
        <v>89</v>
      </c>
      <c r="R10" t="s">
        <v>85</v>
      </c>
      <c r="S10" t="s">
        <v>76</v>
      </c>
      <c r="T10" t="s">
        <v>88</v>
      </c>
    </row>
    <row r="11" spans="1:20" x14ac:dyDescent="0.25">
      <c r="A11">
        <v>0</v>
      </c>
      <c r="B11" s="3">
        <v>0.1</v>
      </c>
      <c r="D11">
        <v>0</v>
      </c>
      <c r="E11" s="3">
        <v>0.1</v>
      </c>
      <c r="G11">
        <v>0</v>
      </c>
      <c r="H11" s="3">
        <v>0.1</v>
      </c>
      <c r="J11">
        <v>0</v>
      </c>
      <c r="K11" s="3">
        <v>0.1</v>
      </c>
      <c r="M11" t="s">
        <v>76</v>
      </c>
      <c r="N11">
        <v>31500</v>
      </c>
      <c r="P11">
        <v>176100</v>
      </c>
      <c r="R11" t="s">
        <v>86</v>
      </c>
      <c r="S11">
        <v>394600</v>
      </c>
      <c r="T11">
        <v>197300</v>
      </c>
    </row>
    <row r="12" spans="1:20" x14ac:dyDescent="0.25">
      <c r="A12">
        <v>23850</v>
      </c>
      <c r="B12" s="3">
        <v>0.12</v>
      </c>
      <c r="D12">
        <v>11925</v>
      </c>
      <c r="E12" s="3">
        <v>0.12</v>
      </c>
      <c r="G12">
        <v>17000</v>
      </c>
      <c r="H12" s="3">
        <v>0.12</v>
      </c>
      <c r="J12">
        <v>11925</v>
      </c>
      <c r="K12" s="3">
        <v>0.12</v>
      </c>
      <c r="M12" t="s">
        <v>77</v>
      </c>
      <c r="N12">
        <v>15750</v>
      </c>
      <c r="R12" t="s">
        <v>87</v>
      </c>
      <c r="S12">
        <v>150000</v>
      </c>
      <c r="T12">
        <v>75000</v>
      </c>
    </row>
    <row r="13" spans="1:20" x14ac:dyDescent="0.25">
      <c r="A13">
        <v>96950</v>
      </c>
      <c r="B13" s="3">
        <v>0.22</v>
      </c>
      <c r="D13">
        <v>48475</v>
      </c>
      <c r="E13" s="3">
        <v>0.22</v>
      </c>
      <c r="G13">
        <v>64850</v>
      </c>
      <c r="H13" s="3">
        <v>0.22</v>
      </c>
      <c r="J13">
        <v>48475</v>
      </c>
      <c r="K13" s="3">
        <v>0.22</v>
      </c>
      <c r="M13" t="s">
        <v>78</v>
      </c>
      <c r="N13">
        <v>23625</v>
      </c>
    </row>
    <row r="14" spans="1:20" x14ac:dyDescent="0.25">
      <c r="A14">
        <v>206700</v>
      </c>
      <c r="B14" s="3">
        <v>0.24</v>
      </c>
      <c r="D14">
        <v>103350</v>
      </c>
      <c r="E14" s="3">
        <v>0.24</v>
      </c>
      <c r="G14">
        <v>103350</v>
      </c>
      <c r="H14" s="3">
        <v>0.24</v>
      </c>
      <c r="J14">
        <v>103350</v>
      </c>
      <c r="K14" s="3">
        <v>0.24</v>
      </c>
      <c r="M14" t="s">
        <v>79</v>
      </c>
      <c r="N14">
        <v>15750</v>
      </c>
    </row>
    <row r="15" spans="1:20" x14ac:dyDescent="0.25">
      <c r="A15">
        <v>394600</v>
      </c>
      <c r="B15" s="3">
        <v>0.32</v>
      </c>
      <c r="D15">
        <v>197300</v>
      </c>
      <c r="E15" s="3">
        <v>0.32</v>
      </c>
      <c r="G15">
        <v>197300</v>
      </c>
      <c r="H15" s="3">
        <v>0.32</v>
      </c>
      <c r="J15">
        <v>197300</v>
      </c>
      <c r="K15" s="3">
        <v>0.32</v>
      </c>
      <c r="N15" s="9"/>
    </row>
    <row r="16" spans="1:20" x14ac:dyDescent="0.25">
      <c r="A16">
        <v>501050</v>
      </c>
      <c r="B16" s="3">
        <v>0.35</v>
      </c>
      <c r="D16">
        <v>250525</v>
      </c>
      <c r="E16" s="3">
        <v>0.35</v>
      </c>
      <c r="G16">
        <v>250500</v>
      </c>
      <c r="H16" s="3">
        <v>0.35</v>
      </c>
      <c r="J16">
        <v>250525</v>
      </c>
      <c r="K16" s="3">
        <v>0.35</v>
      </c>
      <c r="N16" s="9"/>
    </row>
    <row r="17" spans="1:21" x14ac:dyDescent="0.25">
      <c r="A17">
        <v>751600</v>
      </c>
      <c r="B17" s="3">
        <v>0.37</v>
      </c>
      <c r="D17">
        <v>626350</v>
      </c>
      <c r="E17" s="3">
        <v>0.37</v>
      </c>
      <c r="G17">
        <v>626350</v>
      </c>
      <c r="H17" s="3">
        <v>0.37</v>
      </c>
      <c r="J17">
        <v>375800</v>
      </c>
      <c r="K17" s="3">
        <v>0.37</v>
      </c>
      <c r="N17" s="9"/>
    </row>
    <row r="19" spans="1:21" x14ac:dyDescent="0.25">
      <c r="A19" t="s">
        <v>90</v>
      </c>
      <c r="D19" t="s">
        <v>91</v>
      </c>
      <c r="E19" s="8"/>
      <c r="G19" t="s">
        <v>92</v>
      </c>
      <c r="J19" t="s">
        <v>93</v>
      </c>
      <c r="M19" t="s">
        <v>94</v>
      </c>
      <c r="P19" t="s">
        <v>89</v>
      </c>
      <c r="R19" t="s">
        <v>85</v>
      </c>
      <c r="S19" t="s">
        <v>76</v>
      </c>
      <c r="T19" t="s">
        <v>79</v>
      </c>
      <c r="U19" t="s">
        <v>88</v>
      </c>
    </row>
    <row r="20" spans="1:21" x14ac:dyDescent="0.25">
      <c r="A20">
        <v>0</v>
      </c>
      <c r="B20" s="3">
        <v>0.1</v>
      </c>
      <c r="D20">
        <v>0</v>
      </c>
      <c r="E20" s="3">
        <v>0.1</v>
      </c>
      <c r="G20">
        <v>0</v>
      </c>
      <c r="H20" s="3">
        <v>0.1</v>
      </c>
      <c r="J20">
        <v>0</v>
      </c>
      <c r="K20" s="3">
        <v>0.1</v>
      </c>
      <c r="M20" t="s">
        <v>76</v>
      </c>
      <c r="N20">
        <v>32200</v>
      </c>
      <c r="P20">
        <v>184500</v>
      </c>
      <c r="R20" t="s">
        <v>86</v>
      </c>
      <c r="S20">
        <v>403500</v>
      </c>
      <c r="T20">
        <v>201775</v>
      </c>
      <c r="U20">
        <v>201750</v>
      </c>
    </row>
    <row r="21" spans="1:21" x14ac:dyDescent="0.25">
      <c r="A21">
        <v>24800</v>
      </c>
      <c r="B21" s="3">
        <v>0.12</v>
      </c>
      <c r="D21">
        <v>12400</v>
      </c>
      <c r="E21" s="3">
        <v>0.12</v>
      </c>
      <c r="G21">
        <v>17700</v>
      </c>
      <c r="H21" s="3">
        <v>0.12</v>
      </c>
      <c r="J21">
        <v>12400</v>
      </c>
      <c r="K21" s="3">
        <v>0.12</v>
      </c>
      <c r="M21" t="s">
        <v>77</v>
      </c>
      <c r="N21">
        <v>16100</v>
      </c>
      <c r="R21" t="s">
        <v>87</v>
      </c>
      <c r="S21">
        <v>150000</v>
      </c>
      <c r="T21">
        <v>75000</v>
      </c>
      <c r="U21">
        <v>75000</v>
      </c>
    </row>
    <row r="22" spans="1:21" x14ac:dyDescent="0.25">
      <c r="A22">
        <v>100800</v>
      </c>
      <c r="B22" s="3">
        <v>0.22</v>
      </c>
      <c r="D22">
        <v>50400</v>
      </c>
      <c r="E22" s="3">
        <v>0.22</v>
      </c>
      <c r="G22">
        <v>67450</v>
      </c>
      <c r="H22" s="3">
        <v>0.22</v>
      </c>
      <c r="J22">
        <v>50400</v>
      </c>
      <c r="K22" s="3">
        <v>0.22</v>
      </c>
      <c r="M22" t="s">
        <v>78</v>
      </c>
      <c r="N22">
        <v>24150</v>
      </c>
    </row>
    <row r="23" spans="1:21" x14ac:dyDescent="0.25">
      <c r="A23">
        <v>211400</v>
      </c>
      <c r="B23" s="3">
        <v>0.24</v>
      </c>
      <c r="D23">
        <v>105700</v>
      </c>
      <c r="E23" s="3">
        <v>0.24</v>
      </c>
      <c r="G23">
        <v>105700</v>
      </c>
      <c r="H23" s="3">
        <v>0.24</v>
      </c>
      <c r="J23">
        <v>105700</v>
      </c>
      <c r="K23" s="3">
        <v>0.24</v>
      </c>
      <c r="M23" t="s">
        <v>79</v>
      </c>
      <c r="N23">
        <v>16100</v>
      </c>
    </row>
    <row r="24" spans="1:21" x14ac:dyDescent="0.25">
      <c r="A24">
        <v>403550</v>
      </c>
      <c r="B24" s="3">
        <v>0.32</v>
      </c>
      <c r="D24">
        <v>201775</v>
      </c>
      <c r="E24" s="3">
        <v>0.32</v>
      </c>
      <c r="G24">
        <v>201750</v>
      </c>
      <c r="H24" s="3">
        <v>0.32</v>
      </c>
      <c r="J24">
        <v>201775</v>
      </c>
      <c r="K24" s="3">
        <v>0.32</v>
      </c>
      <c r="N24" s="9"/>
    </row>
    <row r="25" spans="1:21" x14ac:dyDescent="0.25">
      <c r="A25">
        <v>512450</v>
      </c>
      <c r="B25" s="3">
        <v>0.35</v>
      </c>
      <c r="D25">
        <v>256225</v>
      </c>
      <c r="E25" s="3">
        <v>0.35</v>
      </c>
      <c r="G25">
        <v>256200</v>
      </c>
      <c r="H25" s="3">
        <v>0.35</v>
      </c>
      <c r="J25">
        <v>256225</v>
      </c>
      <c r="K25" s="3">
        <v>0.35</v>
      </c>
      <c r="N25" s="9"/>
    </row>
    <row r="26" spans="1:21" x14ac:dyDescent="0.25">
      <c r="A26">
        <v>768700</v>
      </c>
      <c r="B26" s="3">
        <v>0.37</v>
      </c>
      <c r="D26">
        <v>640600</v>
      </c>
      <c r="E26" s="3">
        <v>0.37</v>
      </c>
      <c r="G26">
        <v>640600</v>
      </c>
      <c r="H26" s="3">
        <v>0.37</v>
      </c>
      <c r="J26">
        <v>384350</v>
      </c>
      <c r="K26" s="3">
        <v>0.37</v>
      </c>
      <c r="N2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30</vt:i4>
      </vt:variant>
    </vt:vector>
  </HeadingPairs>
  <TitlesOfParts>
    <vt:vector size="34" baseType="lpstr">
      <vt:lpstr>READ ME</vt:lpstr>
      <vt:lpstr>General</vt:lpstr>
      <vt:lpstr>Simple</vt:lpstr>
      <vt:lpstr>TaxTables_etc</vt:lpstr>
      <vt:lpstr>Simple!adl_med_base</vt:lpstr>
      <vt:lpstr>adl_med_base</vt:lpstr>
      <vt:lpstr>Simple!FIT_diffs</vt:lpstr>
      <vt:lpstr>FIT_diffs</vt:lpstr>
      <vt:lpstr>Simple!FIT_thresh</vt:lpstr>
      <vt:lpstr>FIT_thresh</vt:lpstr>
      <vt:lpstr>Simple!QBI_po_size</vt:lpstr>
      <vt:lpstr>QBI_po_size</vt:lpstr>
      <vt:lpstr>Simple!QBI_po_start</vt:lpstr>
      <vt:lpstr>QBI_po_start</vt:lpstr>
      <vt:lpstr>Simple!SIT_diffs</vt:lpstr>
      <vt:lpstr>SIT_diffs</vt:lpstr>
      <vt:lpstr>Simple!SIT_thresh</vt:lpstr>
      <vt:lpstr>SIT_thresh</vt:lpstr>
      <vt:lpstr>Simple!SS_cap</vt:lpstr>
      <vt:lpstr>SS_cap</vt:lpstr>
      <vt:lpstr>Simple!st_creds</vt:lpstr>
      <vt:lpstr>st_creds</vt:lpstr>
      <vt:lpstr>Simple!st_ded_diff</vt:lpstr>
      <vt:lpstr>st_ded_diff</vt:lpstr>
      <vt:lpstr>Simple!st_ded_thresh</vt:lpstr>
      <vt:lpstr>st_ded_thresh</vt:lpstr>
      <vt:lpstr>Simple!st_pr_cap</vt:lpstr>
      <vt:lpstr>st_pr_cap</vt:lpstr>
      <vt:lpstr>Simple!st_pr_rate</vt:lpstr>
      <vt:lpstr>st_pr_rate</vt:lpstr>
      <vt:lpstr>Simple!st_start</vt:lpstr>
      <vt:lpstr>st_start</vt:lpstr>
      <vt:lpstr>Simple!standard_ded</vt:lpstr>
      <vt:lpstr>standard_ded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Starr</dc:creator>
  <cp:lastModifiedBy>Don Starr</cp:lastModifiedBy>
  <dcterms:created xsi:type="dcterms:W3CDTF">2025-08-31T12:43:51Z</dcterms:created>
  <dcterms:modified xsi:type="dcterms:W3CDTF">2025-10-31T18:48:51Z</dcterms:modified>
</cp:coreProperties>
</file>