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ezaputria/Documents/Semester-3/Statistika Regresi/Penugasan/Analisis Residual/"/>
    </mc:Choice>
  </mc:AlternateContent>
  <xr:revisionPtr revIDLastSave="0" documentId="8_{EBA53C17-F806-F547-AF8E-139D7B487086}" xr6:coauthVersionLast="47" xr6:coauthVersionMax="47" xr10:uidLastSave="{00000000-0000-0000-0000-000000000000}"/>
  <bookViews>
    <workbookView xWindow="0" yWindow="0" windowWidth="28800" windowHeight="18000" xr2:uid="{F9C7C545-C3A6-4152-9726-9E571451E09D}"/>
  </bookViews>
  <sheets>
    <sheet name="Topik Pembahasan" sheetId="7" r:id="rId1"/>
    <sheet name="Poin 1" sheetId="9" r:id="rId2"/>
    <sheet name="Poin 2" sheetId="2" r:id="rId3"/>
    <sheet name="Poin 3" sheetId="6" r:id="rId4"/>
    <sheet name="Poin 4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B79" i="9" l="1"/>
  <c r="B78" i="9"/>
  <c r="B61" i="9"/>
  <c r="B76" i="9"/>
  <c r="E73" i="9"/>
  <c r="E36" i="9"/>
  <c r="D8" i="9"/>
  <c r="E8" i="9"/>
  <c r="F8" i="9"/>
  <c r="D9" i="9"/>
  <c r="E9" i="9"/>
  <c r="F9" i="9"/>
  <c r="D10" i="9"/>
  <c r="E10" i="9"/>
  <c r="F10" i="9"/>
  <c r="D11" i="9"/>
  <c r="E11" i="9"/>
  <c r="F11" i="9"/>
  <c r="D12" i="9"/>
  <c r="E12" i="9"/>
  <c r="F12" i="9"/>
  <c r="D13" i="9"/>
  <c r="E13" i="9"/>
  <c r="F13" i="9"/>
  <c r="D14" i="9"/>
  <c r="E14" i="9"/>
  <c r="F14" i="9"/>
  <c r="D15" i="9"/>
  <c r="E15" i="9"/>
  <c r="F15" i="9"/>
  <c r="D16" i="9"/>
  <c r="E16" i="9"/>
  <c r="F16" i="9"/>
  <c r="D17" i="9"/>
  <c r="E17" i="9"/>
  <c r="F17" i="9"/>
  <c r="D18" i="9"/>
  <c r="E18" i="9"/>
  <c r="F18" i="9"/>
  <c r="D19" i="9"/>
  <c r="E19" i="9"/>
  <c r="F19" i="9"/>
  <c r="D20" i="9"/>
  <c r="E20" i="9"/>
  <c r="F20" i="9"/>
  <c r="D21" i="9"/>
  <c r="E21" i="9"/>
  <c r="F21" i="9"/>
  <c r="D22" i="9"/>
  <c r="E22" i="9"/>
  <c r="F22" i="9"/>
  <c r="D23" i="9"/>
  <c r="E23" i="9"/>
  <c r="F23" i="9"/>
  <c r="D24" i="9"/>
  <c r="E24" i="9"/>
  <c r="F24" i="9"/>
  <c r="B25" i="9"/>
  <c r="C25" i="9"/>
  <c r="D25" i="9"/>
  <c r="E25" i="9"/>
  <c r="F25" i="9"/>
  <c r="B26" i="9"/>
  <c r="C26" i="9"/>
  <c r="H23" i="3"/>
  <c r="C30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6" i="3"/>
  <c r="D23" i="6"/>
  <c r="F40" i="6"/>
  <c r="G40" i="6" s="1"/>
  <c r="F41" i="6"/>
  <c r="G41" i="6" s="1"/>
  <c r="F42" i="6"/>
  <c r="G42" i="6" s="1"/>
  <c r="F43" i="6"/>
  <c r="G43" i="6" s="1"/>
  <c r="F44" i="6"/>
  <c r="G44" i="6" s="1"/>
  <c r="F45" i="6"/>
  <c r="G45" i="6" s="1"/>
  <c r="F46" i="6"/>
  <c r="G46" i="6" s="1"/>
  <c r="F47" i="6"/>
  <c r="G47" i="6" s="1"/>
  <c r="F48" i="6"/>
  <c r="G48" i="6" s="1"/>
  <c r="F49" i="6"/>
  <c r="G49" i="6" s="1"/>
  <c r="F50" i="6"/>
  <c r="G50" i="6" s="1"/>
  <c r="F51" i="6"/>
  <c r="G51" i="6" s="1"/>
  <c r="F52" i="6"/>
  <c r="G52" i="6" s="1"/>
  <c r="F53" i="6"/>
  <c r="G53" i="6" s="1"/>
  <c r="F54" i="6"/>
  <c r="G54" i="6" s="1"/>
  <c r="F55" i="6"/>
  <c r="G55" i="6" s="1"/>
  <c r="F39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6" i="6"/>
  <c r="D30" i="6"/>
  <c r="C24" i="2" a="1"/>
  <c r="C24" i="2" s="1"/>
  <c r="E22" i="2"/>
  <c r="H15" i="2"/>
  <c r="H16" i="2" a="1"/>
  <c r="H16" i="2" s="1"/>
  <c r="B22" i="2"/>
  <c r="B23" i="2"/>
  <c r="C23" i="2"/>
  <c r="C26" i="2" s="1"/>
  <c r="D22" i="2"/>
  <c r="D23" i="2"/>
  <c r="E12" i="2"/>
  <c r="C25" i="2" s="1"/>
  <c r="E11" i="2"/>
  <c r="E10" i="2"/>
  <c r="E9" i="2"/>
  <c r="C11" i="2"/>
  <c r="D11" i="2" s="1"/>
  <c r="C12" i="2"/>
  <c r="D12" i="2" s="1"/>
  <c r="C10" i="2"/>
  <c r="D10" i="2" s="1"/>
  <c r="C9" i="2"/>
  <c r="D9" i="2" s="1"/>
  <c r="C8" i="2"/>
  <c r="D8" i="2" s="1"/>
  <c r="I8" i="9" l="1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G8" i="9"/>
  <c r="H8" i="9"/>
  <c r="G9" i="9"/>
  <c r="H9" i="9"/>
  <c r="G10" i="9"/>
  <c r="H10" i="9"/>
  <c r="G11" i="9"/>
  <c r="H11" i="9"/>
  <c r="G12" i="9"/>
  <c r="H12" i="9"/>
  <c r="G13" i="9"/>
  <c r="H13" i="9"/>
  <c r="G14" i="9"/>
  <c r="H14" i="9"/>
  <c r="G15" i="9"/>
  <c r="H15" i="9"/>
  <c r="G16" i="9"/>
  <c r="H16" i="9"/>
  <c r="G17" i="9"/>
  <c r="H17" i="9"/>
  <c r="G18" i="9"/>
  <c r="H18" i="9"/>
  <c r="G19" i="9"/>
  <c r="H19" i="9"/>
  <c r="G20" i="9"/>
  <c r="H20" i="9"/>
  <c r="G21" i="9"/>
  <c r="H21" i="9"/>
  <c r="G22" i="9"/>
  <c r="H22" i="9"/>
  <c r="G23" i="9"/>
  <c r="H23" i="9"/>
  <c r="G24" i="9"/>
  <c r="H24" i="9"/>
  <c r="F23" i="3"/>
  <c r="F56" i="6"/>
  <c r="E23" i="6"/>
  <c r="D64" i="6"/>
  <c r="G39" i="6"/>
  <c r="G56" i="6" s="1"/>
  <c r="B26" i="2"/>
  <c r="C13" i="2"/>
  <c r="D13" i="2"/>
  <c r="E13" i="2"/>
  <c r="E28" i="9" l="1"/>
  <c r="H25" i="9"/>
  <c r="G25" i="9"/>
  <c r="B59" i="9" s="1"/>
  <c r="I25" i="9"/>
  <c r="B25" i="2"/>
  <c r="B16" i="2"/>
  <c r="B29" i="9" l="1"/>
  <c r="B60" i="9" s="1"/>
  <c r="B50" i="9"/>
  <c r="E29" i="9"/>
  <c r="B17" i="2"/>
  <c r="H17" i="2" s="1"/>
  <c r="H18" i="2"/>
  <c r="B24" i="2"/>
  <c r="B48" i="9" l="1"/>
  <c r="E30" i="9"/>
  <c r="H28" i="9"/>
  <c r="B28" i="9"/>
  <c r="J9" i="9" l="1"/>
  <c r="K9" i="9" s="1"/>
  <c r="L9" i="9" s="1"/>
  <c r="J10" i="9"/>
  <c r="K10" i="9" s="1"/>
  <c r="L10" i="9" s="1"/>
  <c r="J11" i="9"/>
  <c r="K11" i="9" s="1"/>
  <c r="L11" i="9" s="1"/>
  <c r="J12" i="9"/>
  <c r="K12" i="9" s="1"/>
  <c r="L12" i="9" s="1"/>
  <c r="J13" i="9"/>
  <c r="K13" i="9" s="1"/>
  <c r="L13" i="9" s="1"/>
  <c r="J14" i="9"/>
  <c r="K14" i="9" s="1"/>
  <c r="L14" i="9" s="1"/>
  <c r="J15" i="9"/>
  <c r="K15" i="9" s="1"/>
  <c r="L15" i="9" s="1"/>
  <c r="J16" i="9"/>
  <c r="K16" i="9" s="1"/>
  <c r="L16" i="9" s="1"/>
  <c r="J17" i="9"/>
  <c r="K17" i="9" s="1"/>
  <c r="L17" i="9" s="1"/>
  <c r="J18" i="9"/>
  <c r="K18" i="9" s="1"/>
  <c r="L18" i="9" s="1"/>
  <c r="J19" i="9"/>
  <c r="K19" i="9" s="1"/>
  <c r="L19" i="9" s="1"/>
  <c r="J20" i="9"/>
  <c r="K20" i="9" s="1"/>
  <c r="L20" i="9" s="1"/>
  <c r="J21" i="9"/>
  <c r="K21" i="9" s="1"/>
  <c r="L21" i="9" s="1"/>
  <c r="J22" i="9"/>
  <c r="K22" i="9" s="1"/>
  <c r="L22" i="9" s="1"/>
  <c r="J23" i="9"/>
  <c r="K23" i="9" s="1"/>
  <c r="L23" i="9" s="1"/>
  <c r="J24" i="9"/>
  <c r="K24" i="9" s="1"/>
  <c r="L24" i="9" s="1"/>
  <c r="J8" i="9"/>
  <c r="H29" i="9"/>
  <c r="B38" i="9" s="1"/>
  <c r="E35" i="9" s="1"/>
  <c r="B39" i="9"/>
  <c r="B49" i="9" s="1"/>
  <c r="E48" i="9" s="1"/>
  <c r="E50" i="9" l="1"/>
  <c r="E51" i="9" s="1"/>
  <c r="E49" i="9"/>
  <c r="K8" i="9"/>
  <c r="J25" i="9"/>
  <c r="K25" i="9" l="1"/>
  <c r="L8" i="9"/>
  <c r="L25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<sst xmlns="http://schemas.openxmlformats.org/spreadsheetml/2006/main" count="195" uniqueCount="127">
  <si>
    <t>TUGAS ANALISIS RESIDUAL</t>
  </si>
  <si>
    <t>Studi Kasus :</t>
  </si>
  <si>
    <t xml:space="preserve">1. Menggunakan Data Example 4.8 Melakukan Analisis Regresi Linier Sederhana Dan Mencocokkan Model Prediksi Yang Di Peroleh
</t>
  </si>
  <si>
    <t>2. Melakukan Testing Lack Of Fit Dan Mencocokkan Hasilnya Dengan Tabel 4.4</t>
  </si>
  <si>
    <t xml:space="preserve">3. Melakukan Perhitungan Residual Terstandarisasi Dan Studentized Residual. </t>
  </si>
  <si>
    <t>4. Melakukan Nilai Press Statistic Dan Melakukan Perbandingan Antara R-Square Prediction Dengan R-Square Model</t>
  </si>
  <si>
    <t>Di Mana Penyelesaian Dari Masing-Masing Studi Kasus Tersebut Akan Di Bahas Pada Poin 1, Poin 2, Poin 3, Dan Poin 4.</t>
  </si>
  <si>
    <t>1. ANALISIS REGRESI LINIER SEDERHANA</t>
  </si>
  <si>
    <t>Model Regresi Linier</t>
  </si>
  <si>
    <t>Data ke-</t>
  </si>
  <si>
    <t>X</t>
  </si>
  <si>
    <t>Y</t>
  </si>
  <si>
    <t>XY</t>
  </si>
  <si>
    <t>Y topi</t>
  </si>
  <si>
    <t>E/Residual</t>
  </si>
  <si>
    <t>RUMUS</t>
  </si>
  <si>
    <t>Sxx</t>
  </si>
  <si>
    <t>Sxy</t>
  </si>
  <si>
    <t>B Topi 0</t>
  </si>
  <si>
    <t>B Topi 1</t>
  </si>
  <si>
    <t>Y (Model prediksi)</t>
  </si>
  <si>
    <t xml:space="preserve"> Y Topi</t>
  </si>
  <si>
    <t>Residual</t>
  </si>
  <si>
    <t>SST</t>
  </si>
  <si>
    <t>SSRes</t>
  </si>
  <si>
    <t>MSRes</t>
  </si>
  <si>
    <t>SSReg</t>
  </si>
  <si>
    <t>MSReg</t>
  </si>
  <si>
    <t>Jumlah</t>
  </si>
  <si>
    <t>Rata-rata</t>
  </si>
  <si>
    <t>Beta 0 Topi</t>
  </si>
  <si>
    <t xml:space="preserve">n </t>
  </si>
  <si>
    <t>Model Prediksi Data</t>
  </si>
  <si>
    <t>Beta 1 Topi</t>
  </si>
  <si>
    <t>k</t>
  </si>
  <si>
    <t>Uji F</t>
  </si>
  <si>
    <t>alpha</t>
  </si>
  <si>
    <t>0,05</t>
  </si>
  <si>
    <t>F-hitung</t>
  </si>
  <si>
    <t>F-tabel</t>
  </si>
  <si>
    <t>F-Hitung</t>
  </si>
  <si>
    <t>F-Tabel</t>
  </si>
  <si>
    <t>Kesimpulan</t>
  </si>
  <si>
    <t>H0 ditolak</t>
  </si>
  <si>
    <t>Interpretasi</t>
  </si>
  <si>
    <t xml:space="preserve">Jika F-hitung &gt; F-tabel, diperoleh hasil F-hitung = 14,2411 &gt; F-tabel = 4,5430 </t>
  </si>
  <si>
    <t>dapat disimpulkan H0 ditolak yang artinya terdapat satu variabel independen yang berpengaruh terhadap variabel dependen</t>
  </si>
  <si>
    <t>R - SQUARED</t>
  </si>
  <si>
    <t>R^2 (Adj)</t>
  </si>
  <si>
    <t>SSreg</t>
  </si>
  <si>
    <t>R^2 (Adj)(%)</t>
  </si>
  <si>
    <t>Sisa</t>
  </si>
  <si>
    <t>Sisa (%)</t>
  </si>
  <si>
    <t>Sebesar 48,702% variabel dependen dapat dijelaskan oleh variabel independennya</t>
  </si>
  <si>
    <t>Sisanya 51,297% dijelaskan oleh variabel independen yang tidak diketahui oleh model</t>
  </si>
  <si>
    <t>UJI T</t>
  </si>
  <si>
    <t>SE beta</t>
  </si>
  <si>
    <t>T-hitung</t>
  </si>
  <si>
    <t>SE Beta</t>
  </si>
  <si>
    <t>T-Hitung</t>
  </si>
  <si>
    <t>T-tabel</t>
  </si>
  <si>
    <t>Variabel X berpengaruh terhadap variabel Y</t>
  </si>
  <si>
    <t>CONFIDENCE INTERVAL</t>
  </si>
  <si>
    <t>Hasil dari Beta</t>
  </si>
  <si>
    <t>Standar Error Estimasi</t>
  </si>
  <si>
    <t>SEBeta/Beta 1</t>
  </si>
  <si>
    <t>Convidence Interval</t>
  </si>
  <si>
    <t>Batas Bawah</t>
  </si>
  <si>
    <t>Batas Atas</t>
  </si>
  <si>
    <t>Confidence Interval</t>
  </si>
  <si>
    <r>
      <rPr>
        <sz val="10"/>
        <color rgb="FF000000"/>
        <rFont val="Times New Roman"/>
        <family val="1"/>
      </rPr>
      <t xml:space="preserve">0,7247 </t>
    </r>
    <r>
      <rPr>
        <sz val="10"/>
        <color rgb="FF000000"/>
        <rFont val="Calibri"/>
        <family val="2"/>
      </rPr>
      <t>≤ Beta 1 Topi ≤ 3,5360</t>
    </r>
  </si>
  <si>
    <t>95% kita yakin bahwa Beta 1 topi dapat mewakili Beta 1 pada populasi</t>
  </si>
  <si>
    <t>INTERPRETASI</t>
  </si>
  <si>
    <t>Model Prediksi Data dari Sumber</t>
  </si>
  <si>
    <t>Model Prediksi Dta Perhitungan</t>
  </si>
  <si>
    <t>TESTING LACK OF FIT</t>
  </si>
  <si>
    <t>Tabel Perhitungan Testing Lack Of Fit</t>
  </si>
  <si>
    <t>Level of X</t>
  </si>
  <si>
    <t>Rata-Rata Y</t>
  </si>
  <si>
    <t>Degrees of Freedom</t>
  </si>
  <si>
    <t>Rumus</t>
  </si>
  <si>
    <t>SSpe</t>
  </si>
  <si>
    <t>SSlof</t>
  </si>
  <si>
    <t>Total</t>
  </si>
  <si>
    <t>Mslof</t>
  </si>
  <si>
    <t>Mspe</t>
  </si>
  <si>
    <t>F0</t>
  </si>
  <si>
    <t>n</t>
  </si>
  <si>
    <t>M</t>
  </si>
  <si>
    <t>MSlof</t>
  </si>
  <si>
    <t>MSpe</t>
  </si>
  <si>
    <t>Tabel Analysis Of Variance</t>
  </si>
  <si>
    <t>Analysis of Variance</t>
  </si>
  <si>
    <t>Source of 
Variation</t>
  </si>
  <si>
    <t>Sum of 
Squares</t>
  </si>
  <si>
    <t>Degrees of 
Freedom</t>
  </si>
  <si>
    <t xml:space="preserve">Mean 
Square </t>
  </si>
  <si>
    <t>Regresion</t>
  </si>
  <si>
    <t>(Lack of Fit)</t>
  </si>
  <si>
    <t>(Pure Error)</t>
  </si>
  <si>
    <t>Total (Regresion+Residual)</t>
  </si>
  <si>
    <t>-</t>
  </si>
  <si>
    <t>Tabel Testing Lack of Fit</t>
  </si>
  <si>
    <t>Tabel Perhitungan Testing Lack of Fit</t>
  </si>
  <si>
    <t>Tabel Analysis of Variance</t>
  </si>
  <si>
    <t>Tabel Perhitungan Analysis of Variance</t>
  </si>
  <si>
    <t>STANDARDISED RESIDUALS</t>
  </si>
  <si>
    <t>Standardised 
Residuals</t>
  </si>
  <si>
    <t>Rumus Standardised Residual</t>
  </si>
  <si>
    <t>Standardised Residuals</t>
  </si>
  <si>
    <t>Nilai Standardised Residuals</t>
  </si>
  <si>
    <t>Nilai residual dari data terbesar, terdapat pada data ke-8, yakni dengan nilai residual sebesar 7,425.</t>
  </si>
  <si>
    <t>Lalu, di karenakan nilai sebesar standardised residual sebesar 1,818 dan d8&lt;3, maka tidak terjadi outlier pada setiap observasi data.</t>
  </si>
  <si>
    <t>STUDENTIZED RESIDUALS</t>
  </si>
  <si>
    <t>(xi-x)^2</t>
  </si>
  <si>
    <t>Studentized residual</t>
  </si>
  <si>
    <t>Rumus Studentized Residual</t>
  </si>
  <si>
    <t>Studentized Residuals</t>
  </si>
  <si>
    <t>Nilai Studentized Residuals</t>
  </si>
  <si>
    <t>PRESS STATISTIC</t>
  </si>
  <si>
    <t>di</t>
  </si>
  <si>
    <t>hii</t>
  </si>
  <si>
    <t>PRess</t>
  </si>
  <si>
    <t>R^2 Prediction</t>
  </si>
  <si>
    <t>PRESS</t>
  </si>
  <si>
    <t xml:space="preserve">Interpretasi </t>
  </si>
  <si>
    <t>Dapat diketahui bahwa nilai R^2 Prediction memiliki nilai 0,275 yang berarti bahwa nilai R^2 Prediction menunjukkan hubungan model yang berkorelasi dengan nilai sebenarnya dan 
nilai R^2 Square 0,487 yang berarti bahwa R^2 Square menunjukkan variasi dependen dapat di jelaskan oleh model regresi.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</si>
</sst>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rgb="FF242424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444444"/>
      <name val="Calibri"/>
      <family val="2"/>
      <charset val="1"/>
    </font>
    <font>
      <sz val="9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444444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0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7" xfId="0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5" borderId="3" xfId="0" applyFont="1" applyFill="1" applyBorder="1"/>
    <xf numFmtId="0" fontId="0" fillId="0" borderId="3" xfId="0" applyBorder="1" applyAlignment="1">
      <alignment horizontal="center"/>
    </xf>
    <xf numFmtId="0" fontId="10" fillId="0" borderId="0" xfId="0" applyFont="1"/>
    <xf numFmtId="0" fontId="2" fillId="2" borderId="20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6" fillId="0" borderId="0" xfId="0" applyFont="1" applyAlignment="1">
      <alignment vertical="center"/>
    </xf>
    <xf numFmtId="0" fontId="0" fillId="0" borderId="11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/>
    <xf numFmtId="0" fontId="0" fillId="6" borderId="3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11" xfId="0" applyBorder="1"/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7" borderId="7" xfId="0" applyFill="1" applyBorder="1" applyAlignment="1">
      <alignment horizontal="center" vertical="center"/>
    </xf>
    <xf numFmtId="0" fontId="0" fillId="2" borderId="21" xfId="0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20" xfId="0" applyBorder="1"/>
    <xf numFmtId="0" fontId="0" fillId="0" borderId="9" xfId="0" applyBorder="1"/>
    <xf numFmtId="0" fontId="0" fillId="8" borderId="3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3" xfId="0" applyFill="1" applyBorder="1" applyAlignment="1">
      <alignment vertical="center"/>
    </xf>
    <xf numFmtId="0" fontId="0" fillId="8" borderId="20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0" borderId="31" xfId="0" applyBorder="1"/>
    <xf numFmtId="0" fontId="0" fillId="2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7" xfId="0" applyFill="1" applyBorder="1"/>
    <xf numFmtId="0" fontId="0" fillId="2" borderId="7" xfId="0" applyFill="1" applyBorder="1" applyAlignment="1">
      <alignment vertical="center"/>
    </xf>
    <xf numFmtId="0" fontId="0" fillId="8" borderId="7" xfId="0" applyFill="1" applyBorder="1" applyAlignment="1">
      <alignment vertical="center"/>
    </xf>
    <xf numFmtId="0" fontId="0" fillId="3" borderId="2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13" fillId="0" borderId="0" xfId="0" applyFont="1" applyAlignment="1">
      <alignment vertical="center"/>
    </xf>
    <xf numFmtId="0" fontId="0" fillId="10" borderId="3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10" borderId="3" xfId="0" applyFill="1" applyBorder="1"/>
    <xf numFmtId="0" fontId="0" fillId="0" borderId="0" xfId="0" applyAlignment="1">
      <alignment horizontal="center" vertical="center"/>
    </xf>
    <xf numFmtId="0" fontId="0" fillId="10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3" fillId="3" borderId="3" xfId="0" applyFont="1" applyFill="1" applyBorder="1"/>
    <xf numFmtId="0" fontId="8" fillId="0" borderId="0" xfId="0" applyFont="1"/>
    <xf numFmtId="0" fontId="8" fillId="0" borderId="12" xfId="0" applyFont="1" applyBorder="1"/>
    <xf numFmtId="0" fontId="0" fillId="0" borderId="12" xfId="0" applyBorder="1"/>
    <xf numFmtId="0" fontId="0" fillId="5" borderId="11" xfId="0" applyFill="1" applyBorder="1"/>
    <xf numFmtId="0" fontId="0" fillId="5" borderId="3" xfId="0" applyFill="1" applyBorder="1"/>
    <xf numFmtId="0" fontId="0" fillId="3" borderId="3" xfId="0" applyFill="1" applyBorder="1"/>
    <xf numFmtId="0" fontId="9" fillId="10" borderId="3" xfId="0" applyFont="1" applyFill="1" applyBorder="1"/>
    <xf numFmtId="0" fontId="2" fillId="0" borderId="11" xfId="0" applyFont="1" applyBorder="1" applyAlignment="1">
      <alignment horizontal="center"/>
    </xf>
    <xf numFmtId="0" fontId="7" fillId="5" borderId="21" xfId="0" applyFont="1" applyFill="1" applyBorder="1" applyAlignment="1">
      <alignment vertical="top" wrapText="1"/>
    </xf>
    <xf numFmtId="0" fontId="6" fillId="0" borderId="0" xfId="0" applyFont="1"/>
    <xf numFmtId="0" fontId="0" fillId="0" borderId="38" xfId="0" applyBorder="1"/>
    <xf numFmtId="0" fontId="0" fillId="0" borderId="7" xfId="0" applyBorder="1" applyAlignment="1">
      <alignment horizontal="center" wrapText="1"/>
    </xf>
    <xf numFmtId="0" fontId="5" fillId="0" borderId="0" xfId="0" applyFont="1"/>
    <xf numFmtId="0" fontId="3" fillId="6" borderId="7" xfId="0" applyFont="1" applyFill="1" applyBorder="1" applyAlignment="1">
      <alignment horizontal="center" vertical="center" wrapText="1"/>
    </xf>
    <xf numFmtId="0" fontId="13" fillId="0" borderId="44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41" xfId="0" applyFont="1" applyBorder="1" applyAlignment="1">
      <alignment horizontal="left" wrapText="1"/>
    </xf>
    <xf numFmtId="0" fontId="13" fillId="0" borderId="42" xfId="0" applyFont="1" applyBorder="1" applyAlignment="1">
      <alignment horizontal="left" wrapText="1"/>
    </xf>
    <xf numFmtId="0" fontId="13" fillId="0" borderId="43" xfId="0" applyFont="1" applyBorder="1" applyAlignment="1">
      <alignment horizontal="left" wrapText="1"/>
    </xf>
    <xf numFmtId="0" fontId="13" fillId="0" borderId="44" xfId="0" applyFont="1" applyBorder="1" applyAlignment="1">
      <alignment horizontal="left" wrapText="1"/>
    </xf>
    <xf numFmtId="0" fontId="13" fillId="0" borderId="0" xfId="0" applyFont="1" applyAlignment="1">
      <alignment horizontal="left" wrapText="1"/>
    </xf>
    <xf numFmtId="0" fontId="13" fillId="0" borderId="45" xfId="0" applyFont="1" applyBorder="1" applyAlignment="1">
      <alignment horizontal="left" wrapText="1"/>
    </xf>
    <xf numFmtId="0" fontId="11" fillId="7" borderId="47" xfId="0" applyFont="1" applyFill="1" applyBorder="1" applyAlignment="1">
      <alignment horizontal="center"/>
    </xf>
    <xf numFmtId="0" fontId="11" fillId="7" borderId="48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 vertical="center"/>
    </xf>
    <xf numFmtId="0" fontId="12" fillId="10" borderId="22" xfId="0" applyFont="1" applyFill="1" applyBorder="1" applyAlignment="1">
      <alignment horizontal="center" vertical="center"/>
    </xf>
    <xf numFmtId="0" fontId="12" fillId="10" borderId="23" xfId="0" applyFont="1" applyFill="1" applyBorder="1" applyAlignment="1">
      <alignment horizontal="center" vertical="center"/>
    </xf>
    <xf numFmtId="0" fontId="12" fillId="10" borderId="38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39" xfId="0" applyFont="1" applyFill="1" applyBorder="1" applyAlignment="1">
      <alignment horizontal="center" vertical="center"/>
    </xf>
    <xf numFmtId="0" fontId="12" fillId="10" borderId="24" xfId="0" applyFont="1" applyFill="1" applyBorder="1" applyAlignment="1">
      <alignment horizontal="center" vertical="center"/>
    </xf>
    <xf numFmtId="0" fontId="12" fillId="10" borderId="25" xfId="0" applyFont="1" applyFill="1" applyBorder="1" applyAlignment="1">
      <alignment horizontal="center" vertical="center"/>
    </xf>
    <xf numFmtId="0" fontId="12" fillId="10" borderId="26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3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14" fillId="0" borderId="27" xfId="0" applyFont="1" applyBorder="1" applyAlignment="1">
      <alignment horizontal="left"/>
    </xf>
    <xf numFmtId="0" fontId="14" fillId="0" borderId="28" xfId="0" applyFont="1" applyBorder="1" applyAlignment="1">
      <alignment horizontal="left"/>
    </xf>
    <xf numFmtId="0" fontId="14" fillId="0" borderId="46" xfId="0" applyFont="1" applyBorder="1" applyAlignment="1">
      <alignment horizontal="left"/>
    </xf>
    <xf numFmtId="0" fontId="0" fillId="5" borderId="21" xfId="0" applyFill="1" applyBorder="1" applyAlignment="1">
      <alignment horizontal="center" vertical="center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8" fillId="0" borderId="21" xfId="0" applyFont="1" applyBorder="1" applyAlignment="1">
      <alignment horizontal="left"/>
    </xf>
    <xf numFmtId="0" fontId="8" fillId="0" borderId="29" xfId="0" applyFont="1" applyBorder="1" applyAlignment="1">
      <alignment horizontal="left"/>
    </xf>
    <xf numFmtId="0" fontId="8" fillId="0" borderId="30" xfId="0" applyFont="1" applyBorder="1" applyAlignment="1">
      <alignment horizontal="left"/>
    </xf>
    <xf numFmtId="0" fontId="0" fillId="10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0" xfId="0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2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9" borderId="7" xfId="0" applyFill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0" fillId="11" borderId="7" xfId="0" applyFill="1" applyBorder="1" applyAlignment="1">
      <alignment horizontal="center"/>
    </xf>
    <xf numFmtId="0" fontId="0" fillId="0" borderId="7" xfId="0" applyBorder="1"/>
    <xf numFmtId="0" fontId="5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0" fillId="6" borderId="7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/>
    </xf>
    <xf numFmtId="0" fontId="11" fillId="0" borderId="0" xfId="0" applyFont="1" applyFill="1" applyBorder="1" applyAlignment="1"/>
    <xf numFmtId="0" fontId="0" fillId="0" borderId="0" xfId="0" applyFill="1" applyBorder="1"/>
    <xf numFmtId="0" fontId="1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3" Type="http://schemas.openxmlformats.org/officeDocument/2006/relationships/image" Target="../media/image21.png"/><Relationship Id="rId7" Type="http://schemas.openxmlformats.org/officeDocument/2006/relationships/image" Target="../media/image25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11" Type="http://schemas.openxmlformats.org/officeDocument/2006/relationships/image" Target="../media/image29.png"/><Relationship Id="rId5" Type="http://schemas.openxmlformats.org/officeDocument/2006/relationships/image" Target="../media/image23.png"/><Relationship Id="rId10" Type="http://schemas.openxmlformats.org/officeDocument/2006/relationships/image" Target="../media/image28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1.png"/><Relationship Id="rId1" Type="http://schemas.openxmlformats.org/officeDocument/2006/relationships/image" Target="../media/image3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4.png"/><Relationship Id="rId2" Type="http://schemas.openxmlformats.org/officeDocument/2006/relationships/image" Target="../media/image33.png"/><Relationship Id="rId1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34925</xdr:colOff>
      <xdr:row>6</xdr:row>
      <xdr:rowOff>1</xdr:rowOff>
    </xdr:from>
    <xdr:ext cx="758825" cy="2158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7A16AF-3F76-452E-BE4B-94FAD027612C}"/>
                </a:ext>
              </a:extLst>
            </xdr:cNvPr>
            <xdr:cNvSpPr txBox="1"/>
          </xdr:nvSpPr>
          <xdr:spPr>
            <a:xfrm>
              <a:off x="4092575" y="1136651"/>
              <a:ext cx="758825" cy="215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𝑆𝑥𝑥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𝑥𝑖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7A16AF-3F76-452E-BE4B-94FAD027612C}"/>
                </a:ext>
              </a:extLst>
            </xdr:cNvPr>
            <xdr:cNvSpPr txBox="1"/>
          </xdr:nvSpPr>
          <xdr:spPr>
            <a:xfrm>
              <a:off x="4092575" y="1136651"/>
              <a:ext cx="758825" cy="215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𝑆𝑥𝑥 (𝑥𝑖−𝑥 ̅)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7</xdr:col>
      <xdr:colOff>34925</xdr:colOff>
      <xdr:row>6</xdr:row>
      <xdr:rowOff>6351</xdr:rowOff>
    </xdr:from>
    <xdr:ext cx="765175" cy="1968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514349-ED23-41E0-88E7-9B67796DD991}"/>
                </a:ext>
              </a:extLst>
            </xdr:cNvPr>
            <xdr:cNvSpPr txBox="1"/>
          </xdr:nvSpPr>
          <xdr:spPr>
            <a:xfrm>
              <a:off x="4924425" y="1143001"/>
              <a:ext cx="765175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𝑆𝑥𝑦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𝑦𝑖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514349-ED23-41E0-88E7-9B67796DD991}"/>
                </a:ext>
              </a:extLst>
            </xdr:cNvPr>
            <xdr:cNvSpPr txBox="1"/>
          </xdr:nvSpPr>
          <xdr:spPr>
            <a:xfrm>
              <a:off x="4924425" y="1143001"/>
              <a:ext cx="765175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𝑆𝑥𝑦 (𝑦𝑖−𝑦 ̅)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8</xdr:col>
      <xdr:colOff>104775</xdr:colOff>
      <xdr:row>6</xdr:row>
      <xdr:rowOff>6350</xdr:rowOff>
    </xdr:from>
    <xdr:ext cx="60516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E8F8561-15C3-412C-B23E-1B5C7F44E87B}"/>
                </a:ext>
              </a:extLst>
            </xdr:cNvPr>
            <xdr:cNvSpPr txBox="1"/>
          </xdr:nvSpPr>
          <xdr:spPr>
            <a:xfrm>
              <a:off x="5826125" y="1143000"/>
              <a:ext cx="6051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E8F8561-15C3-412C-B23E-1B5C7F44E87B}"/>
                </a:ext>
              </a:extLst>
            </xdr:cNvPr>
            <xdr:cNvSpPr txBox="1"/>
          </xdr:nvSpPr>
          <xdr:spPr>
            <a:xfrm>
              <a:off x="5826125" y="1143000"/>
              <a:ext cx="6051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D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(𝑌𝑖−𝑌)</a:t>
              </a:r>
              <a:r>
                <a:rPr lang="en-ID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4</xdr:col>
      <xdr:colOff>263525</xdr:colOff>
      <xdr:row>6</xdr:row>
      <xdr:rowOff>31750</xdr:rowOff>
    </xdr:from>
    <xdr:ext cx="19505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C1D7F77-DB28-4C88-BADD-0524192FE509}"/>
                </a:ext>
              </a:extLst>
            </xdr:cNvPr>
            <xdr:cNvSpPr txBox="1"/>
          </xdr:nvSpPr>
          <xdr:spPr>
            <a:xfrm>
              <a:off x="3063875" y="1168400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C1D7F77-DB28-4C88-BADD-0524192FE509}"/>
                </a:ext>
              </a:extLst>
            </xdr:cNvPr>
            <xdr:cNvSpPr txBox="1"/>
          </xdr:nvSpPr>
          <xdr:spPr>
            <a:xfrm>
              <a:off x="3063875" y="1168400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en-ID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5</xdr:col>
      <xdr:colOff>238125</xdr:colOff>
      <xdr:row>6</xdr:row>
      <xdr:rowOff>25400</xdr:rowOff>
    </xdr:from>
    <xdr:ext cx="18819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095D9BF-4EA9-4225-8F0E-1C230AEB6F27}"/>
                </a:ext>
              </a:extLst>
            </xdr:cNvPr>
            <xdr:cNvSpPr txBox="1"/>
          </xdr:nvSpPr>
          <xdr:spPr>
            <a:xfrm>
              <a:off x="3686175" y="1162050"/>
              <a:ext cx="18819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095D9BF-4EA9-4225-8F0E-1C230AEB6F27}"/>
                </a:ext>
              </a:extLst>
            </xdr:cNvPr>
            <xdr:cNvSpPr txBox="1"/>
          </xdr:nvSpPr>
          <xdr:spPr>
            <a:xfrm>
              <a:off x="3686175" y="1162050"/>
              <a:ext cx="18819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𝑌</a:t>
              </a:r>
              <a:r>
                <a:rPr lang="en-ID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11</xdr:col>
      <xdr:colOff>212725</xdr:colOff>
      <xdr:row>6</xdr:row>
      <xdr:rowOff>6350</xdr:rowOff>
    </xdr:from>
    <xdr:ext cx="19088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6">
              <a:extLst>
                <a:ext uri="{FF2B5EF4-FFF2-40B4-BE49-F238E27FC236}">
                  <a16:creationId xmlns:a16="http://schemas.microsoft.com/office/drawing/2014/main" id="{6F53163F-1240-D53D-3DBA-36D4C855A845}"/>
                </a:ext>
              </a:extLst>
            </xdr:cNvPr>
            <xdr:cNvSpPr txBox="1"/>
          </xdr:nvSpPr>
          <xdr:spPr>
            <a:xfrm>
              <a:off x="7553325" y="1136650"/>
              <a:ext cx="19088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F53163F-1240-D53D-3DBA-36D4C855A845}"/>
                </a:ext>
              </a:extLst>
            </xdr:cNvPr>
            <xdr:cNvSpPr txBox="1"/>
          </xdr:nvSpPr>
          <xdr:spPr>
            <a:xfrm>
              <a:off x="7553325" y="1136650"/>
              <a:ext cx="19088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𝐸</a:t>
              </a:r>
              <a:r>
                <a:rPr lang="en-ID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ID" sz="1100"/>
            </a:p>
          </xdr:txBody>
        </xdr:sp>
      </mc:Fallback>
    </mc:AlternateContent>
    <xdr:clientData/>
  </xdr:oneCellAnchor>
  <xdr:twoCellAnchor editAs="oneCell">
    <xdr:from>
      <xdr:col>13</xdr:col>
      <xdr:colOff>280851</xdr:colOff>
      <xdr:row>10</xdr:row>
      <xdr:rowOff>50487</xdr:rowOff>
    </xdr:from>
    <xdr:to>
      <xdr:col>14</xdr:col>
      <xdr:colOff>407851</xdr:colOff>
      <xdr:row>12</xdr:row>
      <xdr:rowOff>147186</xdr:rowOff>
    </xdr:to>
    <xdr:pic>
      <xdr:nvPicPr>
        <xdr:cNvPr id="19" name="Gambar 10">
          <a:extLst>
            <a:ext uri="{FF2B5EF4-FFF2-40B4-BE49-F238E27FC236}">
              <a16:creationId xmlns:a16="http://schemas.microsoft.com/office/drawing/2014/main" id="{54299FF9-61AD-4AD7-929C-6452EA4B6B33}"/>
            </a:ext>
            <a:ext uri="{147F2762-F138-4A5C-976F-8EAC2B608ADB}">
              <a16:predDERef xmlns:a16="http://schemas.microsoft.com/office/drawing/2014/main" pred="{64C9E2CA-6157-4A38-A8DD-FF3A19B42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48701" y="4133537"/>
          <a:ext cx="812800" cy="477699"/>
        </a:xfrm>
        <a:prstGeom prst="rect">
          <a:avLst/>
        </a:prstGeom>
      </xdr:spPr>
    </xdr:pic>
    <xdr:clientData/>
  </xdr:twoCellAnchor>
  <xdr:twoCellAnchor editAs="oneCell">
    <xdr:from>
      <xdr:col>15</xdr:col>
      <xdr:colOff>282224</xdr:colOff>
      <xdr:row>10</xdr:row>
      <xdr:rowOff>156789</xdr:rowOff>
    </xdr:from>
    <xdr:to>
      <xdr:col>16</xdr:col>
      <xdr:colOff>509961</xdr:colOff>
      <xdr:row>13</xdr:row>
      <xdr:rowOff>49626</xdr:rowOff>
    </xdr:to>
    <xdr:pic>
      <xdr:nvPicPr>
        <xdr:cNvPr id="20" name="Gambar 108">
          <a:extLst>
            <a:ext uri="{FF2B5EF4-FFF2-40B4-BE49-F238E27FC236}">
              <a16:creationId xmlns:a16="http://schemas.microsoft.com/office/drawing/2014/main" id="{7414B661-B321-4E20-AD5E-2EC7024F7148}"/>
            </a:ext>
            <a:ext uri="{147F2762-F138-4A5C-976F-8EAC2B608ADB}">
              <a16:predDERef xmlns:a16="http://schemas.microsoft.com/office/drawing/2014/main" pred="{433E8FC0-0C4E-4C77-9A96-DBFA59CA7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69274" y="4239839"/>
          <a:ext cx="837337" cy="464337"/>
        </a:xfrm>
        <a:prstGeom prst="rect">
          <a:avLst/>
        </a:prstGeom>
      </xdr:spPr>
    </xdr:pic>
    <xdr:clientData/>
  </xdr:twoCellAnchor>
  <xdr:twoCellAnchor editAs="oneCell">
    <xdr:from>
      <xdr:col>17</xdr:col>
      <xdr:colOff>85725</xdr:colOff>
      <xdr:row>10</xdr:row>
      <xdr:rowOff>95250</xdr:rowOff>
    </xdr:from>
    <xdr:to>
      <xdr:col>18</xdr:col>
      <xdr:colOff>523875</xdr:colOff>
      <xdr:row>12</xdr:row>
      <xdr:rowOff>85725</xdr:rowOff>
    </xdr:to>
    <xdr:pic>
      <xdr:nvPicPr>
        <xdr:cNvPr id="29" name="Gambar 8">
          <a:extLst>
            <a:ext uri="{FF2B5EF4-FFF2-40B4-BE49-F238E27FC236}">
              <a16:creationId xmlns:a16="http://schemas.microsoft.com/office/drawing/2014/main" id="{75A3B9BF-242A-4A86-BD49-3820FDC6E884}"/>
            </a:ext>
            <a:ext uri="{147F2762-F138-4A5C-976F-8EAC2B608ADB}">
              <a16:predDERef xmlns:a16="http://schemas.microsoft.com/office/drawing/2014/main" pred="{29F8D5FF-3AC4-24DA-F751-1B72162FE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96675" y="1962150"/>
          <a:ext cx="1047750" cy="371475"/>
        </a:xfrm>
        <a:prstGeom prst="rect">
          <a:avLst/>
        </a:prstGeom>
      </xdr:spPr>
    </xdr:pic>
    <xdr:clientData/>
  </xdr:twoCellAnchor>
  <xdr:twoCellAnchor editAs="oneCell">
    <xdr:from>
      <xdr:col>19</xdr:col>
      <xdr:colOff>352425</xdr:colOff>
      <xdr:row>10</xdr:row>
      <xdr:rowOff>91369</xdr:rowOff>
    </xdr:from>
    <xdr:to>
      <xdr:col>20</xdr:col>
      <xdr:colOff>390055</xdr:colOff>
      <xdr:row>12</xdr:row>
      <xdr:rowOff>102736</xdr:rowOff>
    </xdr:to>
    <xdr:pic>
      <xdr:nvPicPr>
        <xdr:cNvPr id="27" name="Picture 29">
          <a:extLst>
            <a:ext uri="{FF2B5EF4-FFF2-40B4-BE49-F238E27FC236}">
              <a16:creationId xmlns:a16="http://schemas.microsoft.com/office/drawing/2014/main" id="{8B8C5ECA-C539-4F9C-B7FD-72701CDA57E8}"/>
            </a:ext>
            <a:ext uri="{147F2762-F138-4A5C-976F-8EAC2B608ADB}">
              <a16:predDERef xmlns:a16="http://schemas.microsoft.com/office/drawing/2014/main" pred="{AD1C2549-94DF-73EC-A5A9-8F180924F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39475" y="3437819"/>
          <a:ext cx="647230" cy="392367"/>
        </a:xfrm>
        <a:prstGeom prst="rect">
          <a:avLst/>
        </a:prstGeom>
      </xdr:spPr>
    </xdr:pic>
    <xdr:clientData/>
  </xdr:twoCellAnchor>
  <xdr:twoCellAnchor editAs="oneCell">
    <xdr:from>
      <xdr:col>13</xdr:col>
      <xdr:colOff>133350</xdr:colOff>
      <xdr:row>15</xdr:row>
      <xdr:rowOff>76200</xdr:rowOff>
    </xdr:from>
    <xdr:to>
      <xdr:col>14</xdr:col>
      <xdr:colOff>390525</xdr:colOff>
      <xdr:row>17</xdr:row>
      <xdr:rowOff>85725</xdr:rowOff>
    </xdr:to>
    <xdr:pic>
      <xdr:nvPicPr>
        <xdr:cNvPr id="30" name="Picture 6">
          <a:extLst>
            <a:ext uri="{FF2B5EF4-FFF2-40B4-BE49-F238E27FC236}">
              <a16:creationId xmlns:a16="http://schemas.microsoft.com/office/drawing/2014/main" id="{F0A1D6A6-377C-42B2-8058-C09D59C02D1B}"/>
            </a:ext>
            <a:ext uri="{147F2762-F138-4A5C-976F-8EAC2B608ADB}">
              <a16:predDERef xmlns:a16="http://schemas.microsoft.com/office/drawing/2014/main" pred="{14FBBAAF-3202-2D31-EF12-89A3F2278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30100" y="3422650"/>
          <a:ext cx="942975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85725</xdr:colOff>
      <xdr:row>15</xdr:row>
      <xdr:rowOff>47625</xdr:rowOff>
    </xdr:from>
    <xdr:to>
      <xdr:col>16</xdr:col>
      <xdr:colOff>504825</xdr:colOff>
      <xdr:row>17</xdr:row>
      <xdr:rowOff>85725</xdr:rowOff>
    </xdr:to>
    <xdr:pic>
      <xdr:nvPicPr>
        <xdr:cNvPr id="31" name="Gambar 105">
          <a:extLst>
            <a:ext uri="{FF2B5EF4-FFF2-40B4-BE49-F238E27FC236}">
              <a16:creationId xmlns:a16="http://schemas.microsoft.com/office/drawing/2014/main" id="{5BA25778-B610-4E07-BC8A-2D69FB1F51A7}"/>
            </a:ext>
            <a:ext uri="{147F2762-F138-4A5C-976F-8EAC2B608ADB}">
              <a16:predDERef xmlns:a16="http://schemas.microsoft.com/office/drawing/2014/main" pred="{F6A46C2B-AA62-480D-B332-51D0270AD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01675" y="3394075"/>
          <a:ext cx="1028700" cy="419100"/>
        </a:xfrm>
        <a:prstGeom prst="rect">
          <a:avLst/>
        </a:prstGeom>
      </xdr:spPr>
    </xdr:pic>
    <xdr:clientData/>
  </xdr:twoCellAnchor>
  <xdr:twoCellAnchor editAs="oneCell">
    <xdr:from>
      <xdr:col>17</xdr:col>
      <xdr:colOff>146168</xdr:colOff>
      <xdr:row>15</xdr:row>
      <xdr:rowOff>124528</xdr:rowOff>
    </xdr:from>
    <xdr:to>
      <xdr:col>18</xdr:col>
      <xdr:colOff>452849</xdr:colOff>
      <xdr:row>17</xdr:row>
      <xdr:rowOff>31121</xdr:rowOff>
    </xdr:to>
    <xdr:pic>
      <xdr:nvPicPr>
        <xdr:cNvPr id="33" name="Picture 26">
          <a:extLst>
            <a:ext uri="{FF2B5EF4-FFF2-40B4-BE49-F238E27FC236}">
              <a16:creationId xmlns:a16="http://schemas.microsoft.com/office/drawing/2014/main" id="{E3B7FD4D-21F7-4B18-9951-3026EF306DC1}"/>
            </a:ext>
            <a:ext uri="{147F2762-F138-4A5C-976F-8EAC2B608ADB}">
              <a16:predDERef xmlns:a16="http://schemas.microsoft.com/office/drawing/2014/main" pred="{6B255A81-EAF9-46E0-A173-F1DA6A972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557118" y="2912178"/>
          <a:ext cx="916281" cy="287593"/>
        </a:xfrm>
        <a:prstGeom prst="rect">
          <a:avLst/>
        </a:prstGeom>
      </xdr:spPr>
    </xdr:pic>
    <xdr:clientData/>
  </xdr:twoCellAnchor>
  <xdr:twoCellAnchor editAs="oneCell">
    <xdr:from>
      <xdr:col>19</xdr:col>
      <xdr:colOff>66675</xdr:colOff>
      <xdr:row>15</xdr:row>
      <xdr:rowOff>57150</xdr:rowOff>
    </xdr:from>
    <xdr:to>
      <xdr:col>20</xdr:col>
      <xdr:colOff>476250</xdr:colOff>
      <xdr:row>17</xdr:row>
      <xdr:rowOff>95250</xdr:rowOff>
    </xdr:to>
    <xdr:pic>
      <xdr:nvPicPr>
        <xdr:cNvPr id="34" name="Gambar 37">
          <a:extLst>
            <a:ext uri="{FF2B5EF4-FFF2-40B4-BE49-F238E27FC236}">
              <a16:creationId xmlns:a16="http://schemas.microsoft.com/office/drawing/2014/main" id="{B7A39DD1-A644-44BE-9DD8-41FFD8D1E862}"/>
            </a:ext>
            <a:ext uri="{147F2762-F138-4A5C-976F-8EAC2B608ADB}">
              <a16:predDERef xmlns:a16="http://schemas.microsoft.com/office/drawing/2014/main" pred="{51B51385-5E47-0F5E-A129-D6FDB55E0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534525" y="5060950"/>
          <a:ext cx="1019175" cy="419100"/>
        </a:xfrm>
        <a:prstGeom prst="rect">
          <a:avLst/>
        </a:prstGeom>
      </xdr:spPr>
    </xdr:pic>
    <xdr:clientData/>
  </xdr:twoCellAnchor>
  <xdr:twoCellAnchor editAs="oneCell">
    <xdr:from>
      <xdr:col>13</xdr:col>
      <xdr:colOff>55033</xdr:colOff>
      <xdr:row>19</xdr:row>
      <xdr:rowOff>110929</xdr:rowOff>
    </xdr:from>
    <xdr:to>
      <xdr:col>14</xdr:col>
      <xdr:colOff>454993</xdr:colOff>
      <xdr:row>21</xdr:row>
      <xdr:rowOff>25400</xdr:rowOff>
    </xdr:to>
    <xdr:pic>
      <xdr:nvPicPr>
        <xdr:cNvPr id="37" name="Gambar 39">
          <a:extLst>
            <a:ext uri="{FF2B5EF4-FFF2-40B4-BE49-F238E27FC236}">
              <a16:creationId xmlns:a16="http://schemas.microsoft.com/office/drawing/2014/main" id="{6D8CDBB8-0C86-466D-9D87-F861B762F2F8}"/>
            </a:ext>
            <a:ext uri="{147F2762-F138-4A5C-976F-8EAC2B608ADB}">
              <a16:predDERef xmlns:a16="http://schemas.microsoft.com/office/drawing/2014/main" pred="{7313F08C-DA11-C6BD-C7AC-261494CCD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27583" y="3635179"/>
          <a:ext cx="1085760" cy="295471"/>
        </a:xfrm>
        <a:prstGeom prst="rect">
          <a:avLst/>
        </a:prstGeom>
      </xdr:spPr>
    </xdr:pic>
    <xdr:clientData/>
  </xdr:twoCellAnchor>
  <xdr:twoCellAnchor editAs="oneCell">
    <xdr:from>
      <xdr:col>15</xdr:col>
      <xdr:colOff>114300</xdr:colOff>
      <xdr:row>19</xdr:row>
      <xdr:rowOff>114300</xdr:rowOff>
    </xdr:from>
    <xdr:to>
      <xdr:col>16</xdr:col>
      <xdr:colOff>438150</xdr:colOff>
      <xdr:row>21</xdr:row>
      <xdr:rowOff>104775</xdr:rowOff>
    </xdr:to>
    <xdr:pic>
      <xdr:nvPicPr>
        <xdr:cNvPr id="36" name="Gambar 40">
          <a:extLst>
            <a:ext uri="{FF2B5EF4-FFF2-40B4-BE49-F238E27FC236}">
              <a16:creationId xmlns:a16="http://schemas.microsoft.com/office/drawing/2014/main" id="{3B58AE16-4251-40B9-A29F-28F86A80DAFC}"/>
            </a:ext>
            <a:ext uri="{147F2762-F138-4A5C-976F-8EAC2B608ADB}">
              <a16:predDERef xmlns:a16="http://schemas.microsoft.com/office/drawing/2014/main" pred="{0FDC9985-00B6-D95F-863A-B9887BCB5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211050" y="5118100"/>
          <a:ext cx="933450" cy="371475"/>
        </a:xfrm>
        <a:prstGeom prst="rect">
          <a:avLst/>
        </a:prstGeom>
      </xdr:spPr>
    </xdr:pic>
    <xdr:clientData/>
  </xdr:twoCellAnchor>
  <xdr:twoCellAnchor editAs="oneCell">
    <xdr:from>
      <xdr:col>17</xdr:col>
      <xdr:colOff>196850</xdr:colOff>
      <xdr:row>19</xdr:row>
      <xdr:rowOff>92226</xdr:rowOff>
    </xdr:from>
    <xdr:to>
      <xdr:col>18</xdr:col>
      <xdr:colOff>368300</xdr:colOff>
      <xdr:row>21</xdr:row>
      <xdr:rowOff>50813</xdr:rowOff>
    </xdr:to>
    <xdr:pic>
      <xdr:nvPicPr>
        <xdr:cNvPr id="43" name="Picture 33">
          <a:extLst>
            <a:ext uri="{FF2B5EF4-FFF2-40B4-BE49-F238E27FC236}">
              <a16:creationId xmlns:a16="http://schemas.microsoft.com/office/drawing/2014/main" id="{3A4ABE9A-C4EA-9553-5F74-C4A298683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823700" y="3616476"/>
          <a:ext cx="781050" cy="339587"/>
        </a:xfrm>
        <a:prstGeom prst="rect">
          <a:avLst/>
        </a:prstGeom>
      </xdr:spPr>
    </xdr:pic>
    <xdr:clientData/>
  </xdr:twoCellAnchor>
  <xdr:oneCellAnchor>
    <xdr:from>
      <xdr:col>19</xdr:col>
      <xdr:colOff>69850</xdr:colOff>
      <xdr:row>19</xdr:row>
      <xdr:rowOff>101600</xdr:rowOff>
    </xdr:from>
    <xdr:ext cx="1066289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36">
              <a:extLst>
                <a:ext uri="{FF2B5EF4-FFF2-40B4-BE49-F238E27FC236}">
                  <a16:creationId xmlns:a16="http://schemas.microsoft.com/office/drawing/2014/main" id="{83440A6F-EA48-7158-1538-3D00201AA2AE}"/>
                </a:ext>
              </a:extLst>
            </xdr:cNvPr>
            <xdr:cNvSpPr txBox="1"/>
          </xdr:nvSpPr>
          <xdr:spPr>
            <a:xfrm>
              <a:off x="12915900" y="3625850"/>
              <a:ext cx="1066289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𝑀𝑆𝑅𝑒𝑔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𝑆𝑆𝑅𝑒𝑔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den>
                    </m:f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83440A6F-EA48-7158-1538-3D00201AA2AE}"/>
                </a:ext>
              </a:extLst>
            </xdr:cNvPr>
            <xdr:cNvSpPr txBox="1"/>
          </xdr:nvSpPr>
          <xdr:spPr>
            <a:xfrm>
              <a:off x="12915900" y="3625850"/>
              <a:ext cx="1066289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𝑀𝑆𝑅𝑒𝑔=𝑆𝑆𝑅𝑒𝑔/𝑘</a:t>
              </a:r>
              <a:endParaRPr lang="en-ID" sz="1100"/>
            </a:p>
          </xdr:txBody>
        </xdr:sp>
      </mc:Fallback>
    </mc:AlternateContent>
    <xdr:clientData/>
  </xdr:oneCellAnchor>
  <xdr:twoCellAnchor editAs="oneCell">
    <xdr:from>
      <xdr:col>7</xdr:col>
      <xdr:colOff>298451</xdr:colOff>
      <xdr:row>36</xdr:row>
      <xdr:rowOff>44451</xdr:rowOff>
    </xdr:from>
    <xdr:to>
      <xdr:col>8</xdr:col>
      <xdr:colOff>559011</xdr:colOff>
      <xdr:row>38</xdr:row>
      <xdr:rowOff>165100</xdr:rowOff>
    </xdr:to>
    <xdr:pic>
      <xdr:nvPicPr>
        <xdr:cNvPr id="99" name="Picture 38">
          <a:extLst>
            <a:ext uri="{FF2B5EF4-FFF2-40B4-BE49-F238E27FC236}">
              <a16:creationId xmlns:a16="http://schemas.microsoft.com/office/drawing/2014/main" id="{083F31E0-5D8B-DA7B-CDBD-F513B46D6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965701" y="6711951"/>
          <a:ext cx="1070185" cy="501649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37</xdr:row>
      <xdr:rowOff>9525</xdr:rowOff>
    </xdr:from>
    <xdr:to>
      <xdr:col>10</xdr:col>
      <xdr:colOff>654050</xdr:colOff>
      <xdr:row>37</xdr:row>
      <xdr:rowOff>142875</xdr:rowOff>
    </xdr:to>
    <xdr:pic>
      <xdr:nvPicPr>
        <xdr:cNvPr id="204" name="Picture 41">
          <a:extLst>
            <a:ext uri="{FF2B5EF4-FFF2-40B4-BE49-F238E27FC236}">
              <a16:creationId xmlns:a16="http://schemas.microsoft.com/office/drawing/2014/main" id="{F99C885E-E568-276E-0882-9E25C0508990}"/>
            </a:ext>
            <a:ext uri="{147F2762-F138-4A5C-976F-8EAC2B608ADB}">
              <a16:predDERef xmlns:a16="http://schemas.microsoft.com/office/drawing/2014/main" pred="{083F31E0-5D8B-DA7B-CDBD-F513B46D6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81750" y="7058025"/>
          <a:ext cx="1247775" cy="133350"/>
        </a:xfrm>
        <a:prstGeom prst="rect">
          <a:avLst/>
        </a:prstGeom>
      </xdr:spPr>
    </xdr:pic>
    <xdr:clientData/>
  </xdr:twoCellAnchor>
  <xdr:twoCellAnchor editAs="oneCell">
    <xdr:from>
      <xdr:col>7</xdr:col>
      <xdr:colOff>215900</xdr:colOff>
      <xdr:row>49</xdr:row>
      <xdr:rowOff>50800</xdr:rowOff>
    </xdr:from>
    <xdr:to>
      <xdr:col>8</xdr:col>
      <xdr:colOff>625803</xdr:colOff>
      <xdr:row>50</xdr:row>
      <xdr:rowOff>158750</xdr:rowOff>
    </xdr:to>
    <xdr:pic>
      <xdr:nvPicPr>
        <xdr:cNvPr id="171" name="Picture 42">
          <a:extLst>
            <a:ext uri="{FF2B5EF4-FFF2-40B4-BE49-F238E27FC236}">
              <a16:creationId xmlns:a16="http://schemas.microsoft.com/office/drawing/2014/main" id="{074D186A-C654-ACF4-BFAA-E04CD8005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41900" y="9124950"/>
          <a:ext cx="1219528" cy="298450"/>
        </a:xfrm>
        <a:prstGeom prst="rect">
          <a:avLst/>
        </a:prstGeom>
      </xdr:spPr>
    </xdr:pic>
    <xdr:clientData/>
  </xdr:twoCellAnchor>
  <xdr:oneCellAnchor>
    <xdr:from>
      <xdr:col>9</xdr:col>
      <xdr:colOff>339725</xdr:colOff>
      <xdr:row>49</xdr:row>
      <xdr:rowOff>107950</xdr:rowOff>
    </xdr:from>
    <xdr:ext cx="88780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8" name="TextBox 43">
              <a:extLst>
                <a:ext uri="{FF2B5EF4-FFF2-40B4-BE49-F238E27FC236}">
                  <a16:creationId xmlns:a16="http://schemas.microsoft.com/office/drawing/2014/main" id="{2A60D6CC-2261-BF10-857D-28A74B42ED3F}"/>
                </a:ext>
              </a:extLst>
            </xdr:cNvPr>
            <xdr:cNvSpPr txBox="1"/>
          </xdr:nvSpPr>
          <xdr:spPr>
            <a:xfrm>
              <a:off x="6765925" y="9182100"/>
              <a:ext cx="8878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𝑆𝑖𝑠𝑎</m:t>
                  </m:r>
                  <m:r>
                    <a:rPr lang="en-US" sz="1100" b="0" i="0">
                      <a:latin typeface="Cambria Math" panose="02040503050406030204" pitchFamily="18" charset="0"/>
                    </a:rPr>
                    <m:t>=1−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n-ID" sz="1100"/>
                <a:t> </a:t>
              </a:r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2A60D6CC-2261-BF10-857D-28A74B42ED3F}"/>
                </a:ext>
              </a:extLst>
            </xdr:cNvPr>
            <xdr:cNvSpPr txBox="1"/>
          </xdr:nvSpPr>
          <xdr:spPr>
            <a:xfrm>
              <a:off x="6765925" y="9182100"/>
              <a:ext cx="8878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𝑆𝑖𝑠𝑎=1−𝑅^2</a:t>
              </a:r>
              <a:r>
                <a:rPr lang="en-ID" sz="1100"/>
                <a:t> </a:t>
              </a:r>
            </a:p>
          </xdr:txBody>
        </xdr:sp>
      </mc:Fallback>
    </mc:AlternateContent>
    <xdr:clientData/>
  </xdr:oneCellAnchor>
  <xdr:twoCellAnchor editAs="oneCell">
    <xdr:from>
      <xdr:col>5</xdr:col>
      <xdr:colOff>438151</xdr:colOff>
      <xdr:row>60</xdr:row>
      <xdr:rowOff>69851</xdr:rowOff>
    </xdr:from>
    <xdr:to>
      <xdr:col>6</xdr:col>
      <xdr:colOff>438151</xdr:colOff>
      <xdr:row>62</xdr:row>
      <xdr:rowOff>134490</xdr:rowOff>
    </xdr:to>
    <xdr:pic>
      <xdr:nvPicPr>
        <xdr:cNvPr id="193" name="Picture 44">
          <a:extLst>
            <a:ext uri="{FF2B5EF4-FFF2-40B4-BE49-F238E27FC236}">
              <a16:creationId xmlns:a16="http://schemas.microsoft.com/office/drawing/2014/main" id="{3B9727C8-A9B2-8579-3B51-C197EE902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790951" y="11182351"/>
          <a:ext cx="609600" cy="445639"/>
        </a:xfrm>
        <a:prstGeom prst="rect">
          <a:avLst/>
        </a:prstGeom>
      </xdr:spPr>
    </xdr:pic>
    <xdr:clientData/>
  </xdr:twoCellAnchor>
  <xdr:twoCellAnchor editAs="oneCell">
    <xdr:from>
      <xdr:col>3</xdr:col>
      <xdr:colOff>69851</xdr:colOff>
      <xdr:row>61</xdr:row>
      <xdr:rowOff>1</xdr:rowOff>
    </xdr:from>
    <xdr:to>
      <xdr:col>4</xdr:col>
      <xdr:colOff>574676</xdr:colOff>
      <xdr:row>61</xdr:row>
      <xdr:rowOff>177663</xdr:rowOff>
    </xdr:to>
    <xdr:pic>
      <xdr:nvPicPr>
        <xdr:cNvPr id="196" name="Picture 45">
          <a:extLst>
            <a:ext uri="{FF2B5EF4-FFF2-40B4-BE49-F238E27FC236}">
              <a16:creationId xmlns:a16="http://schemas.microsoft.com/office/drawing/2014/main" id="{8E421A6E-8AF8-6AF5-A3A9-28DDE8093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4701" y="11296651"/>
          <a:ext cx="1238250" cy="177662"/>
        </a:xfrm>
        <a:prstGeom prst="rect">
          <a:avLst/>
        </a:prstGeom>
      </xdr:spPr>
    </xdr:pic>
    <xdr:clientData/>
  </xdr:twoCellAnchor>
  <xdr:twoCellAnchor editAs="oneCell">
    <xdr:from>
      <xdr:col>3</xdr:col>
      <xdr:colOff>234950</xdr:colOff>
      <xdr:row>76</xdr:row>
      <xdr:rowOff>88900</xdr:rowOff>
    </xdr:from>
    <xdr:to>
      <xdr:col>5</xdr:col>
      <xdr:colOff>323850</xdr:colOff>
      <xdr:row>78</xdr:row>
      <xdr:rowOff>66586</xdr:rowOff>
    </xdr:to>
    <xdr:pic>
      <xdr:nvPicPr>
        <xdr:cNvPr id="201" name="Gambar 27">
          <a:extLst>
            <a:ext uri="{FF2B5EF4-FFF2-40B4-BE49-F238E27FC236}">
              <a16:creationId xmlns:a16="http://schemas.microsoft.com/office/drawing/2014/main" id="{A654F981-543B-4CA8-9886-7ECCA2B83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60600" y="14084300"/>
          <a:ext cx="1466850" cy="345986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88</xdr:row>
      <xdr:rowOff>114300</xdr:rowOff>
    </xdr:from>
    <xdr:to>
      <xdr:col>2</xdr:col>
      <xdr:colOff>476250</xdr:colOff>
      <xdr:row>90</xdr:row>
      <xdr:rowOff>9525</xdr:rowOff>
    </xdr:to>
    <xdr:pic>
      <xdr:nvPicPr>
        <xdr:cNvPr id="202" name="Gambar 201">
          <a:extLst>
            <a:ext uri="{FF2B5EF4-FFF2-40B4-BE49-F238E27FC236}">
              <a16:creationId xmlns:a16="http://schemas.microsoft.com/office/drawing/2014/main" id="{F5721296-EF8F-D9E5-9E57-418B924B0A8D}"/>
            </a:ext>
            <a:ext uri="{147F2762-F138-4A5C-976F-8EAC2B608ADB}">
              <a16:predDERef xmlns:a16="http://schemas.microsoft.com/office/drawing/2014/main" pred="{A654F981-543B-4CA8-9886-7ECCA2B83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7150" y="17068800"/>
          <a:ext cx="1800225" cy="276225"/>
        </a:xfrm>
        <a:prstGeom prst="rect">
          <a:avLst/>
        </a:prstGeom>
      </xdr:spPr>
    </xdr:pic>
    <xdr:clientData/>
  </xdr:twoCellAnchor>
  <xdr:oneCellAnchor>
    <xdr:from>
      <xdr:col>12</xdr:col>
      <xdr:colOff>66675</xdr:colOff>
      <xdr:row>28</xdr:row>
      <xdr:rowOff>6350</xdr:rowOff>
    </xdr:from>
    <xdr:ext cx="136171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75524D5-6251-5F3C-AF24-96F83CBE92B4}"/>
                </a:ext>
              </a:extLst>
            </xdr:cNvPr>
            <xdr:cNvSpPr txBox="1"/>
          </xdr:nvSpPr>
          <xdr:spPr>
            <a:xfrm>
              <a:off x="8645525" y="5162550"/>
              <a:ext cx="13617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ID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ID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=13,214+2,130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75524D5-6251-5F3C-AF24-96F83CBE92B4}"/>
                </a:ext>
              </a:extLst>
            </xdr:cNvPr>
            <xdr:cNvSpPr txBox="1"/>
          </xdr:nvSpPr>
          <xdr:spPr>
            <a:xfrm>
              <a:off x="8645525" y="5162550"/>
              <a:ext cx="13617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100" i="0">
                  <a:latin typeface="Cambria Math" panose="02040503050406030204" pitchFamily="18" charset="0"/>
                </a:rPr>
                <a:t>𝑦</a:t>
              </a:r>
              <a:r>
                <a:rPr lang="en-ID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en-US" sz="1100" b="0" i="0">
                  <a:latin typeface="Cambria Math" panose="02040503050406030204" pitchFamily="18" charset="0"/>
                </a:rPr>
                <a:t>=13,214+2,130𝑥_1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3</xdr:col>
      <xdr:colOff>22225</xdr:colOff>
      <xdr:row>88</xdr:row>
      <xdr:rowOff>139700</xdr:rowOff>
    </xdr:from>
    <xdr:ext cx="2003425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19C5693-8ED9-4C66-A253-FDE306D0CE19}"/>
                </a:ext>
              </a:extLst>
            </xdr:cNvPr>
            <xdr:cNvSpPr txBox="1"/>
          </xdr:nvSpPr>
          <xdr:spPr>
            <a:xfrm>
              <a:off x="2047875" y="16516350"/>
              <a:ext cx="200342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ID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ID" sz="16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n-US" sz="1600" b="0" i="1">
                        <a:latin typeface="Cambria Math" panose="02040503050406030204" pitchFamily="18" charset="0"/>
                      </a:rPr>
                      <m:t>=13,214+2,130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ID" sz="16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19C5693-8ED9-4C66-A253-FDE306D0CE19}"/>
                </a:ext>
              </a:extLst>
            </xdr:cNvPr>
            <xdr:cNvSpPr txBox="1"/>
          </xdr:nvSpPr>
          <xdr:spPr>
            <a:xfrm>
              <a:off x="2047875" y="16516350"/>
              <a:ext cx="200342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D" sz="1600" i="0">
                  <a:latin typeface="Cambria Math" panose="02040503050406030204" pitchFamily="18" charset="0"/>
                </a:rPr>
                <a:t>𝑦</a:t>
              </a:r>
              <a:r>
                <a:rPr lang="en-ID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en-US" sz="1600" b="0" i="0">
                  <a:latin typeface="Cambria Math" panose="02040503050406030204" pitchFamily="18" charset="0"/>
                </a:rPr>
                <a:t>=13,214+2,130𝑥_1</a:t>
              </a:r>
              <a:endParaRPr lang="en-ID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530225</xdr:colOff>
      <xdr:row>31</xdr:row>
      <xdr:rowOff>168275</xdr:rowOff>
    </xdr:from>
    <xdr:to>
      <xdr:col>3</xdr:col>
      <xdr:colOff>250825</xdr:colOff>
      <xdr:row>38</xdr:row>
      <xdr:rowOff>177800</xdr:rowOff>
    </xdr:to>
    <xdr:pic>
      <xdr:nvPicPr>
        <xdr:cNvPr id="25" name="Gambar 3">
          <a:extLst>
            <a:ext uri="{FF2B5EF4-FFF2-40B4-BE49-F238E27FC236}">
              <a16:creationId xmlns:a16="http://schemas.microsoft.com/office/drawing/2014/main" id="{35476082-91FA-467F-9A54-DE86539BABC4}"/>
            </a:ext>
            <a:ext uri="{147F2762-F138-4A5C-976F-8EAC2B608ADB}">
              <a16:predDERef xmlns:a16="http://schemas.microsoft.com/office/drawing/2014/main" pred="{FEBF2154-C6D8-4B14-914D-069DDD19D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225" y="6238875"/>
          <a:ext cx="2819400" cy="1298575"/>
        </a:xfrm>
        <a:prstGeom prst="rect">
          <a:avLst/>
        </a:prstGeom>
      </xdr:spPr>
    </xdr:pic>
    <xdr:clientData/>
  </xdr:twoCellAnchor>
  <xdr:oneCellAnchor>
    <xdr:from>
      <xdr:col>3</xdr:col>
      <xdr:colOff>158750</xdr:colOff>
      <xdr:row>6</xdr:row>
      <xdr:rowOff>19050</xdr:rowOff>
    </xdr:from>
    <xdr:ext cx="381000" cy="136635"/>
    <xdr:pic>
      <xdr:nvPicPr>
        <xdr:cNvPr id="11" name="Picture 9">
          <a:extLst>
            <a:ext uri="{FF2B5EF4-FFF2-40B4-BE49-F238E27FC236}">
              <a16:creationId xmlns:a16="http://schemas.microsoft.com/office/drawing/2014/main" id="{991C84A8-BEB9-28B0-0640-245E80753328}"/>
            </a:ext>
            <a:ext uri="{147F2762-F138-4A5C-976F-8EAC2B608ADB}">
              <a16:predDERef xmlns:a16="http://schemas.microsoft.com/office/drawing/2014/main" pred="{35476082-91FA-467F-9A54-DE86539BA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7550" y="1123950"/>
          <a:ext cx="381000" cy="136635"/>
        </a:xfrm>
        <a:prstGeom prst="rect">
          <a:avLst/>
        </a:prstGeom>
      </xdr:spPr>
    </xdr:pic>
    <xdr:clientData/>
  </xdr:oneCellAnchor>
  <xdr:twoCellAnchor editAs="oneCell">
    <xdr:from>
      <xdr:col>0</xdr:col>
      <xdr:colOff>88900</xdr:colOff>
      <xdr:row>43</xdr:row>
      <xdr:rowOff>12701</xdr:rowOff>
    </xdr:from>
    <xdr:to>
      <xdr:col>3</xdr:col>
      <xdr:colOff>617472</xdr:colOff>
      <xdr:row>48</xdr:row>
      <xdr:rowOff>6351</xdr:rowOff>
    </xdr:to>
    <xdr:pic>
      <xdr:nvPicPr>
        <xdr:cNvPr id="26" name="Gambar 54">
          <a:extLst>
            <a:ext uri="{FF2B5EF4-FFF2-40B4-BE49-F238E27FC236}">
              <a16:creationId xmlns:a16="http://schemas.microsoft.com/office/drawing/2014/main" id="{180EFB2E-972A-155B-A52B-B5F41773F7E6}"/>
            </a:ext>
            <a:ext uri="{147F2762-F138-4A5C-976F-8EAC2B608ADB}">
              <a16:predDERef xmlns:a16="http://schemas.microsoft.com/office/drawing/2014/main" pred="{8D1C76A7-379C-7365-8DF3-104A19247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00" y="8293101"/>
          <a:ext cx="3627372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32</xdr:row>
      <xdr:rowOff>50800</xdr:rowOff>
    </xdr:from>
    <xdr:to>
      <xdr:col>7</xdr:col>
      <xdr:colOff>552450</xdr:colOff>
      <xdr:row>38</xdr:row>
      <xdr:rowOff>139772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880011A-22C4-9C2E-FF76-ADC22941E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0" y="6305550"/>
          <a:ext cx="2940050" cy="1193872"/>
        </a:xfrm>
        <a:prstGeom prst="rect">
          <a:avLst/>
        </a:prstGeom>
      </xdr:spPr>
    </xdr:pic>
    <xdr:clientData/>
  </xdr:twoCellAnchor>
  <xdr:twoCellAnchor editAs="oneCell">
    <xdr:from>
      <xdr:col>4</xdr:col>
      <xdr:colOff>50801</xdr:colOff>
      <xdr:row>43</xdr:row>
      <xdr:rowOff>82905</xdr:rowOff>
    </xdr:from>
    <xdr:to>
      <xdr:col>7</xdr:col>
      <xdr:colOff>577851</xdr:colOff>
      <xdr:row>47</xdr:row>
      <xdr:rowOff>127001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39A32E3-48D9-026E-FD9C-E3B97B7B4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98901" y="8363305"/>
          <a:ext cx="2971800" cy="780696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9</xdr:row>
      <xdr:rowOff>76201</xdr:rowOff>
    </xdr:from>
    <xdr:to>
      <xdr:col>10</xdr:col>
      <xdr:colOff>536393</xdr:colOff>
      <xdr:row>11</xdr:row>
      <xdr:rowOff>82551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38463D-D123-2D76-B902-DEAF040FA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50150" y="1733551"/>
          <a:ext cx="1107893" cy="374650"/>
        </a:xfrm>
        <a:prstGeom prst="rect">
          <a:avLst/>
        </a:prstGeom>
      </xdr:spPr>
    </xdr:pic>
    <xdr:clientData/>
  </xdr:twoCellAnchor>
  <xdr:twoCellAnchor editAs="oneCell">
    <xdr:from>
      <xdr:col>13</xdr:col>
      <xdr:colOff>12700</xdr:colOff>
      <xdr:row>9</xdr:row>
      <xdr:rowOff>139701</xdr:rowOff>
    </xdr:from>
    <xdr:to>
      <xdr:col>15</xdr:col>
      <xdr:colOff>0</xdr:colOff>
      <xdr:row>11</xdr:row>
      <xdr:rowOff>6351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1362D9-6398-9A1F-0EFE-C3ECD3AC6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63150" y="1797051"/>
          <a:ext cx="1206500" cy="234950"/>
        </a:xfrm>
        <a:prstGeom prst="rect">
          <a:avLst/>
        </a:prstGeom>
      </xdr:spPr>
    </xdr:pic>
    <xdr:clientData/>
  </xdr:twoCellAnchor>
  <xdr:twoCellAnchor editAs="oneCell">
    <xdr:from>
      <xdr:col>11</xdr:col>
      <xdr:colOff>44451</xdr:colOff>
      <xdr:row>9</xdr:row>
      <xdr:rowOff>139700</xdr:rowOff>
    </xdr:from>
    <xdr:to>
      <xdr:col>12</xdr:col>
      <xdr:colOff>596901</xdr:colOff>
      <xdr:row>11</xdr:row>
      <xdr:rowOff>68669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BAA354-727B-86F7-A448-F846D704B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75701" y="1797050"/>
          <a:ext cx="1162050" cy="297269"/>
        </a:xfrm>
        <a:prstGeom prst="rect">
          <a:avLst/>
        </a:prstGeom>
      </xdr:spPr>
    </xdr:pic>
    <xdr:clientData/>
  </xdr:twoCellAnchor>
  <xdr:twoCellAnchor editAs="oneCell">
    <xdr:from>
      <xdr:col>9</xdr:col>
      <xdr:colOff>82550</xdr:colOff>
      <xdr:row>13</xdr:row>
      <xdr:rowOff>107950</xdr:rowOff>
    </xdr:from>
    <xdr:to>
      <xdr:col>10</xdr:col>
      <xdr:colOff>508000</xdr:colOff>
      <xdr:row>15</xdr:row>
      <xdr:rowOff>2520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A507FF-6A51-E234-C528-19BC1AADA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94600" y="2501900"/>
          <a:ext cx="1035050" cy="26287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13</xdr:row>
      <xdr:rowOff>152401</xdr:rowOff>
    </xdr:from>
    <xdr:to>
      <xdr:col>12</xdr:col>
      <xdr:colOff>521405</xdr:colOff>
      <xdr:row>15</xdr:row>
      <xdr:rowOff>31751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D685DC-4B55-8B70-08C7-D439B9427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807450" y="2546351"/>
          <a:ext cx="1054805" cy="247650"/>
        </a:xfrm>
        <a:prstGeom prst="rect">
          <a:avLst/>
        </a:prstGeom>
      </xdr:spPr>
    </xdr:pic>
    <xdr:clientData/>
  </xdr:twoCellAnchor>
  <xdr:twoCellAnchor editAs="oneCell">
    <xdr:from>
      <xdr:col>13</xdr:col>
      <xdr:colOff>330201</xdr:colOff>
      <xdr:row>13</xdr:row>
      <xdr:rowOff>44450</xdr:rowOff>
    </xdr:from>
    <xdr:to>
      <xdr:col>14</xdr:col>
      <xdr:colOff>255845</xdr:colOff>
      <xdr:row>15</xdr:row>
      <xdr:rowOff>171450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7E0C2CF-70D9-9E74-C9ED-8547A6A91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280651" y="2438400"/>
          <a:ext cx="535244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120650</xdr:colOff>
      <xdr:row>64</xdr:row>
      <xdr:rowOff>15875</xdr:rowOff>
    </xdr:from>
    <xdr:ext cx="5273431" cy="4930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2">
              <a:extLst>
                <a:ext uri="{FF2B5EF4-FFF2-40B4-BE49-F238E27FC236}">
                  <a16:creationId xmlns:a16="http://schemas.microsoft.com/office/drawing/2014/main" id="{9D7E50EF-E984-4010-40D3-C5D98932F198}"/>
                </a:ext>
              </a:extLst>
            </xdr:cNvPr>
            <xdr:cNvSpPr txBox="1"/>
          </xdr:nvSpPr>
          <xdr:spPr>
            <a:xfrm>
              <a:off x="5664200" y="12646025"/>
              <a:ext cx="5273431" cy="4930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𝑑𝑓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=(1−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0,05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2.17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;17−2,489−1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0,976;13,511</m:t>
                        </m:r>
                      </m:e>
                    </m:d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maka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hasil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dari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t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tabel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adalah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 2,489</m:t>
                    </m:r>
                  </m:oMath>
                </m:oMathPara>
              </a14:m>
              <a:endParaRPr lang="en-US" sz="1100" b="0"/>
            </a:p>
            <a:p>
              <a:endParaRPr lang="en-ID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D7E50EF-E984-4010-40D3-C5D98932F198}"/>
                </a:ext>
              </a:extLst>
            </xdr:cNvPr>
            <xdr:cNvSpPr txBox="1"/>
          </xdr:nvSpPr>
          <xdr:spPr>
            <a:xfrm>
              <a:off x="4924425" y="12071350"/>
              <a:ext cx="5273431" cy="4930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𝑑𝑓=(1−0,05/2.17;17−2,489−1=(0,976;13,511)" maka hasil dari t tabel adalah 2,489</a:t>
              </a:r>
              <a:r>
                <a:rPr lang="en-ID" sz="1100" b="0" i="0">
                  <a:latin typeface="Cambria Math" panose="02040503050406030204" pitchFamily="18" charset="0"/>
                </a:rPr>
                <a:t>"</a:t>
              </a:r>
              <a:endParaRPr lang="en-US" sz="1100" b="0"/>
            </a:p>
            <a:p>
              <a:endParaRPr lang="en-ID" sz="1100"/>
            </a:p>
          </xdr:txBody>
        </xdr:sp>
      </mc:Fallback>
    </mc:AlternateContent>
    <xdr:clientData/>
  </xdr:oneCellAnchor>
  <xdr:twoCellAnchor editAs="oneCell">
    <xdr:from>
      <xdr:col>8</xdr:col>
      <xdr:colOff>63500</xdr:colOff>
      <xdr:row>40</xdr:row>
      <xdr:rowOff>88901</xdr:rowOff>
    </xdr:from>
    <xdr:to>
      <xdr:col>12</xdr:col>
      <xdr:colOff>3171</xdr:colOff>
      <xdr:row>44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2CB9EB-0ACC-E5B0-6293-8101409AC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9100" y="7677151"/>
          <a:ext cx="3314696" cy="736599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9</xdr:row>
      <xdr:rowOff>152400</xdr:rowOff>
    </xdr:from>
    <xdr:to>
      <xdr:col>9</xdr:col>
      <xdr:colOff>545709</xdr:colOff>
      <xdr:row>15</xdr:row>
      <xdr:rowOff>76071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43C5E2-E5DB-3F3F-088E-87D03C5AB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37100" y="2012950"/>
          <a:ext cx="3123809" cy="10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190500</xdr:colOff>
      <xdr:row>8</xdr:row>
      <xdr:rowOff>104775</xdr:rowOff>
    </xdr:from>
    <xdr:to>
      <xdr:col>16</xdr:col>
      <xdr:colOff>390525</xdr:colOff>
      <xdr:row>10</xdr:row>
      <xdr:rowOff>142875</xdr:rowOff>
    </xdr:to>
    <xdr:pic>
      <xdr:nvPicPr>
        <xdr:cNvPr id="14" name="Gambar 1">
          <a:extLst>
            <a:ext uri="{FF2B5EF4-FFF2-40B4-BE49-F238E27FC236}">
              <a16:creationId xmlns:a16="http://schemas.microsoft.com/office/drawing/2014/main" id="{17CD304B-8BD8-2876-F507-02F7B6740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44050" y="1647825"/>
          <a:ext cx="809625" cy="419100"/>
        </a:xfrm>
        <a:prstGeom prst="rect">
          <a:avLst/>
        </a:prstGeom>
      </xdr:spPr>
    </xdr:pic>
    <xdr:clientData/>
  </xdr:twoCellAnchor>
  <xdr:oneCellAnchor>
    <xdr:from>
      <xdr:col>0</xdr:col>
      <xdr:colOff>372131</xdr:colOff>
      <xdr:row>30</xdr:row>
      <xdr:rowOff>8102</xdr:rowOff>
    </xdr:from>
    <xdr:ext cx="48705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9">
              <a:extLst>
                <a:ext uri="{FF2B5EF4-FFF2-40B4-BE49-F238E27FC236}">
                  <a16:creationId xmlns:a16="http://schemas.microsoft.com/office/drawing/2014/main" id="{1F3249A8-0BA8-2D86-6AE8-CC8A0D4D1C9D}"/>
                </a:ext>
              </a:extLst>
            </xdr:cNvPr>
            <xdr:cNvSpPr txBox="1"/>
          </xdr:nvSpPr>
          <xdr:spPr>
            <a:xfrm>
              <a:off x="372131" y="5766895"/>
              <a:ext cx="48705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ID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2 </m:t>
                      </m:r>
                    </m:sup>
                  </m:sSup>
                  <m:r>
                    <a:rPr lang="en-US" sz="1100" b="0" i="0">
                      <a:latin typeface="Cambria Math" panose="02040503050406030204" pitchFamily="18" charset="0"/>
                    </a:rPr>
                    <m:t>(</m:t>
                  </m:r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</a:rPr>
                    <m:t>Adj</m:t>
                  </m:r>
                </m:oMath>
              </a14:m>
              <a:r>
                <a:rPr lang="en-ID" sz="1100"/>
                <a:t>)</a:t>
              </a: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1F3249A8-0BA8-2D86-6AE8-CC8A0D4D1C9D}"/>
                </a:ext>
              </a:extLst>
            </xdr:cNvPr>
            <xdr:cNvSpPr txBox="1"/>
          </xdr:nvSpPr>
          <xdr:spPr>
            <a:xfrm>
              <a:off x="372131" y="5766895"/>
              <a:ext cx="48705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ID" sz="1100" b="0" i="0">
                  <a:latin typeface="Cambria Math" panose="02040503050406030204" pitchFamily="18" charset="0"/>
                </a:rPr>
                <a:t>^(</a:t>
              </a:r>
              <a:r>
                <a:rPr lang="en-US" sz="1100" b="0" i="0">
                  <a:latin typeface="Cambria Math" panose="02040503050406030204" pitchFamily="18" charset="0"/>
                </a:rPr>
                <a:t>2 </a:t>
              </a:r>
              <a:r>
                <a:rPr lang="en-ID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 (Adj</a:t>
              </a:r>
              <a:r>
                <a:rPr lang="en-ID" sz="1100"/>
                <a:t>)</a:t>
              </a:r>
            </a:p>
          </xdr:txBody>
        </xdr:sp>
      </mc:Fallback>
    </mc:AlternateContent>
    <xdr:clientData/>
  </xdr:oneCellAnchor>
  <xdr:oneCellAnchor>
    <xdr:from>
      <xdr:col>0</xdr:col>
      <xdr:colOff>273597</xdr:colOff>
      <xdr:row>29</xdr:row>
      <xdr:rowOff>2627</xdr:rowOff>
    </xdr:from>
    <xdr:ext cx="76867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9">
              <a:extLst>
                <a:ext uri="{FF2B5EF4-FFF2-40B4-BE49-F238E27FC236}">
                  <a16:creationId xmlns:a16="http://schemas.microsoft.com/office/drawing/2014/main" id="{AD1D60D3-F472-44F1-91D3-F6F5C366E229}"/>
                </a:ext>
                <a:ext uri="{147F2762-F138-4A5C-976F-8EAC2B608ADB}">
                  <a16:predDERef xmlns:a16="http://schemas.microsoft.com/office/drawing/2014/main" pred="{1F3249A8-0BA8-2D86-6AE8-CC8A0D4D1C9D}"/>
                </a:ext>
              </a:extLst>
            </xdr:cNvPr>
            <xdr:cNvSpPr txBox="1"/>
          </xdr:nvSpPr>
          <xdr:spPr>
            <a:xfrm>
              <a:off x="273597" y="5575299"/>
              <a:ext cx="7686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ID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2 </m:t>
                      </m:r>
                    </m:sup>
                  </m:sSup>
                </m:oMath>
              </a14:m>
              <a:r>
                <a:rPr lang="en-ID" sz="1100"/>
                <a:t>Prediction</a:t>
              </a:r>
            </a:p>
          </xdr:txBody>
        </xdr:sp>
      </mc:Choice>
      <mc:Fallback xmlns="">
        <xdr:sp macro="" textlink="">
          <xdr:nvSpPr>
            <xdr:cNvPr id="2" name="TextBox 9">
              <a:extLst>
                <a:ext uri="{FF2B5EF4-FFF2-40B4-BE49-F238E27FC236}">
                  <a16:creationId xmlns:a16="http://schemas.microsoft.com/office/drawing/2014/main" id="{AD1D60D3-F472-44F1-91D3-F6F5C366E229}"/>
                </a:ext>
                <a:ext uri="{147F2762-F138-4A5C-976F-8EAC2B608ADB}">
                  <a16:predDERef xmlns:a16="http://schemas.microsoft.com/office/drawing/2014/main" pred="{1F3249A8-0BA8-2D86-6AE8-CC8A0D4D1C9D}"/>
                </a:ext>
              </a:extLst>
            </xdr:cNvPr>
            <xdr:cNvSpPr txBox="1"/>
          </xdr:nvSpPr>
          <xdr:spPr>
            <a:xfrm>
              <a:off x="273597" y="5575299"/>
              <a:ext cx="7686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ID" sz="1100" b="0" i="0">
                  <a:latin typeface="Cambria Math" panose="02040503050406030204" pitchFamily="18" charset="0"/>
                </a:rPr>
                <a:t>^(</a:t>
              </a:r>
              <a:r>
                <a:rPr lang="en-US" sz="1100" b="0" i="0">
                  <a:latin typeface="Cambria Math" panose="02040503050406030204" pitchFamily="18" charset="0"/>
                </a:rPr>
                <a:t>2 </a:t>
              </a:r>
              <a:r>
                <a:rPr lang="en-ID" sz="1100" b="0" i="0">
                  <a:latin typeface="Cambria Math" panose="02040503050406030204" pitchFamily="18" charset="0"/>
                </a:rPr>
                <a:t>)</a:t>
              </a:r>
              <a:r>
                <a:rPr lang="en-ID" sz="1100"/>
                <a:t>Prediction</a:t>
              </a:r>
            </a:p>
          </xdr:txBody>
        </xdr:sp>
      </mc:Fallback>
    </mc:AlternateContent>
    <xdr:clientData/>
  </xdr:oneCellAnchor>
  <xdr:twoCellAnchor editAs="oneCell">
    <xdr:from>
      <xdr:col>13</xdr:col>
      <xdr:colOff>57150</xdr:colOff>
      <xdr:row>8</xdr:row>
      <xdr:rowOff>171450</xdr:rowOff>
    </xdr:from>
    <xdr:to>
      <xdr:col>14</xdr:col>
      <xdr:colOff>581025</xdr:colOff>
      <xdr:row>11</xdr:row>
      <xdr:rowOff>9525</xdr:rowOff>
    </xdr:to>
    <xdr:pic>
      <xdr:nvPicPr>
        <xdr:cNvPr id="8" name="Gambar 10">
          <a:extLst>
            <a:ext uri="{FF2B5EF4-FFF2-40B4-BE49-F238E27FC236}">
              <a16:creationId xmlns:a16="http://schemas.microsoft.com/office/drawing/2014/main" id="{55AF9F05-3646-4EC2-B9C0-FCA8DB7B8628}"/>
            </a:ext>
            <a:ext uri="{147F2762-F138-4A5C-976F-8EAC2B608ADB}">
              <a16:predDERef xmlns:a16="http://schemas.microsoft.com/office/drawing/2014/main" pred="{AD1D60D3-F472-44F1-91D3-F6F5C366E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1500" y="1704975"/>
          <a:ext cx="1133475" cy="409575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</xdr:colOff>
      <xdr:row>8</xdr:row>
      <xdr:rowOff>152400</xdr:rowOff>
    </xdr:from>
    <xdr:to>
      <xdr:col>18</xdr:col>
      <xdr:colOff>561975</xdr:colOff>
      <xdr:row>10</xdr:row>
      <xdr:rowOff>133350</xdr:rowOff>
    </xdr:to>
    <xdr:pic>
      <xdr:nvPicPr>
        <xdr:cNvPr id="38" name="Gambar 11">
          <a:extLst>
            <a:ext uri="{FF2B5EF4-FFF2-40B4-BE49-F238E27FC236}">
              <a16:creationId xmlns:a16="http://schemas.microsoft.com/office/drawing/2014/main" id="{DF088C86-1FDE-4E83-8524-2DFF5F37AA34}"/>
            </a:ext>
            <a:ext uri="{147F2762-F138-4A5C-976F-8EAC2B608ADB}">
              <a16:predDERef xmlns:a16="http://schemas.microsoft.com/office/drawing/2014/main" pred="{55AF9F05-3646-4EC2-B9C0-FCA8DB7B8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01325" y="1685925"/>
          <a:ext cx="1143000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F216E45-F157-438A-8C8B-90A0A5DE4D7E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1054B37A-7678-4251-BFE6-70E4B0F1FD67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9A9A-5834-41DD-9DC0-B46830CBE8B0}">
  <dimension ref="A3:O35"/>
  <sheetViews>
    <sheetView tabSelected="1" workbookViewId="0">
      <selection activeCell="J34" sqref="J34"/>
    </sheetView>
  </sheetViews>
  <sheetFormatPr baseColWidth="10" defaultColWidth="8.83203125" defaultRowHeight="15" x14ac:dyDescent="0.2"/>
  <sheetData>
    <row r="3" spans="1:7" x14ac:dyDescent="0.2">
      <c r="B3" s="102" t="s">
        <v>0</v>
      </c>
      <c r="C3" s="103"/>
      <c r="D3" s="103"/>
      <c r="E3" s="103"/>
      <c r="F3" s="103"/>
      <c r="G3" s="104"/>
    </row>
    <row r="4" spans="1:7" x14ac:dyDescent="0.2">
      <c r="B4" s="105"/>
      <c r="C4" s="106"/>
      <c r="D4" s="106"/>
      <c r="E4" s="106"/>
      <c r="F4" s="106"/>
      <c r="G4" s="107"/>
    </row>
    <row r="5" spans="1:7" x14ac:dyDescent="0.2">
      <c r="B5" s="108"/>
      <c r="C5" s="109"/>
      <c r="D5" s="109"/>
      <c r="E5" s="109"/>
      <c r="F5" s="109"/>
      <c r="G5" s="110"/>
    </row>
    <row r="8" spans="1:7" x14ac:dyDescent="0.2">
      <c r="A8" s="202"/>
      <c r="B8" s="202"/>
      <c r="C8" s="203"/>
      <c r="D8" s="203"/>
    </row>
    <row r="9" spans="1:7" x14ac:dyDescent="0.2">
      <c r="A9" s="204"/>
      <c r="B9" s="204"/>
      <c r="C9" s="204"/>
      <c r="D9" s="204"/>
    </row>
    <row r="10" spans="1:7" x14ac:dyDescent="0.2">
      <c r="A10" s="204"/>
      <c r="B10" s="204"/>
      <c r="C10" s="204"/>
      <c r="D10" s="204"/>
    </row>
    <row r="11" spans="1:7" x14ac:dyDescent="0.2">
      <c r="A11" s="204"/>
      <c r="B11" s="204"/>
      <c r="C11" s="204"/>
      <c r="D11" s="204"/>
    </row>
    <row r="12" spans="1:7" x14ac:dyDescent="0.2">
      <c r="A12" s="204"/>
      <c r="B12" s="204"/>
      <c r="C12" s="204"/>
      <c r="D12" s="204"/>
    </row>
    <row r="16" spans="1:7" x14ac:dyDescent="0.2">
      <c r="A16" s="100" t="s">
        <v>1</v>
      </c>
      <c r="B16" s="101"/>
    </row>
    <row r="17" spans="1:15" ht="18.75" customHeight="1" x14ac:dyDescent="0.2">
      <c r="A17" s="94" t="s">
        <v>2</v>
      </c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6"/>
    </row>
    <row r="18" spans="1:15" x14ac:dyDescent="0.2">
      <c r="A18" s="97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9"/>
    </row>
    <row r="19" spans="1:15" x14ac:dyDescent="0.2">
      <c r="A19" s="97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9"/>
    </row>
    <row r="20" spans="1:15" x14ac:dyDescent="0.2">
      <c r="A20" s="82" t="s">
        <v>3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4"/>
    </row>
    <row r="21" spans="1:15" x14ac:dyDescent="0.2">
      <c r="A21" s="82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4"/>
    </row>
    <row r="22" spans="1:15" x14ac:dyDescent="0.2">
      <c r="A22" s="82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4"/>
    </row>
    <row r="23" spans="1:15" x14ac:dyDescent="0.2">
      <c r="A23" s="82" t="s">
        <v>4</v>
      </c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4"/>
    </row>
    <row r="24" spans="1:15" x14ac:dyDescent="0.2">
      <c r="A24" s="82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4"/>
    </row>
    <row r="25" spans="1:15" x14ac:dyDescent="0.2">
      <c r="A25" s="82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4"/>
    </row>
    <row r="26" spans="1:15" x14ac:dyDescent="0.2">
      <c r="A26" s="82" t="s">
        <v>5</v>
      </c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4"/>
    </row>
    <row r="27" spans="1:15" x14ac:dyDescent="0.2">
      <c r="A27" s="82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4"/>
    </row>
    <row r="28" spans="1:15" x14ac:dyDescent="0.2">
      <c r="A28" s="85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7"/>
    </row>
    <row r="32" spans="1:15" x14ac:dyDescent="0.2">
      <c r="A32" s="88" t="s">
        <v>6</v>
      </c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90"/>
    </row>
    <row r="33" spans="1:12" x14ac:dyDescent="0.2">
      <c r="A33" s="91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3"/>
    </row>
    <row r="34" spans="1:12" x14ac:dyDescent="0.2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</row>
    <row r="35" spans="1:12" x14ac:dyDescent="0.2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</row>
  </sheetData>
  <mergeCells count="7">
    <mergeCell ref="B3:G5"/>
    <mergeCell ref="A26:O28"/>
    <mergeCell ref="A32:L33"/>
    <mergeCell ref="A17:O19"/>
    <mergeCell ref="A16:B16"/>
    <mergeCell ref="A20:O22"/>
    <mergeCell ref="A23:O25"/>
  </mergeCell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1054B37A-7678-4251-BFE6-70E4B0F1FD67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45A4-EFEA-42B6-9259-95971FDE043A}">
  <dimension ref="A2:U91"/>
  <sheetViews>
    <sheetView topLeftCell="A13" zoomScale="110" workbookViewId="0">
      <selection activeCell="G8" sqref="G8"/>
    </sheetView>
  </sheetViews>
  <sheetFormatPr baseColWidth="10" defaultColWidth="8.83203125" defaultRowHeight="15" x14ac:dyDescent="0.2"/>
  <cols>
    <col min="1" max="1" width="11.5" customWidth="1"/>
    <col min="4" max="4" width="11" customWidth="1"/>
    <col min="7" max="7" width="12.5" customWidth="1"/>
    <col min="8" max="8" width="12.1640625" customWidth="1"/>
    <col min="9" max="9" width="10.6640625" customWidth="1"/>
    <col min="10" max="10" width="9.6640625" customWidth="1"/>
    <col min="11" max="11" width="11.5" customWidth="1"/>
    <col min="13" max="14" width="10.33203125" customWidth="1"/>
  </cols>
  <sheetData>
    <row r="2" spans="1:21" x14ac:dyDescent="0.2">
      <c r="B2" s="152" t="s">
        <v>7</v>
      </c>
      <c r="C2" s="153"/>
      <c r="D2" s="153"/>
      <c r="E2" s="153"/>
      <c r="F2" s="153"/>
      <c r="G2" s="153"/>
      <c r="H2" s="153"/>
      <c r="I2" s="153"/>
      <c r="J2" s="154"/>
    </row>
    <row r="3" spans="1:21" x14ac:dyDescent="0.2">
      <c r="B3" s="155"/>
      <c r="C3" s="156"/>
      <c r="D3" s="156"/>
      <c r="E3" s="156"/>
      <c r="F3" s="156"/>
      <c r="G3" s="156"/>
      <c r="H3" s="156"/>
      <c r="I3" s="156"/>
      <c r="J3" s="157"/>
    </row>
    <row r="5" spans="1:21" x14ac:dyDescent="0.2">
      <c r="D5" s="158" t="s">
        <v>8</v>
      </c>
      <c r="E5" s="159"/>
      <c r="F5" s="159"/>
      <c r="G5" s="160"/>
    </row>
    <row r="7" spans="1:21" x14ac:dyDescent="0.2">
      <c r="A7" s="6" t="s">
        <v>9</v>
      </c>
      <c r="B7" s="6" t="s">
        <v>10</v>
      </c>
      <c r="C7" s="6" t="s">
        <v>11</v>
      </c>
      <c r="D7" s="6" t="s">
        <v>12</v>
      </c>
      <c r="E7" s="6"/>
      <c r="F7" s="6"/>
      <c r="G7" s="6"/>
      <c r="H7" s="13"/>
      <c r="I7" s="58"/>
      <c r="J7" s="54" t="s">
        <v>13</v>
      </c>
      <c r="K7" s="54" t="s">
        <v>14</v>
      </c>
      <c r="L7" s="54"/>
    </row>
    <row r="8" spans="1:21" x14ac:dyDescent="0.2">
      <c r="A8" s="5">
        <v>1</v>
      </c>
      <c r="B8" s="5">
        <v>1</v>
      </c>
      <c r="C8" s="5">
        <v>10.84</v>
      </c>
      <c r="D8" s="5">
        <f t="shared" ref="D8:D24" si="0">B8*C8</f>
        <v>10.84</v>
      </c>
      <c r="E8" s="5">
        <f t="shared" ref="E8:E24" si="1">B8^2</f>
        <v>1</v>
      </c>
      <c r="F8" s="5">
        <f t="shared" ref="F8:F24" si="2">C8^2</f>
        <v>117.5056</v>
      </c>
      <c r="G8" s="5">
        <f t="shared" ref="G8:G24" si="3">(B8-$B$26)^2</f>
        <v>11.440311418685123</v>
      </c>
      <c r="H8" s="5">
        <f t="shared" ref="H8:H24" si="4">(B8-$B$26)*(C8-$C$26)</f>
        <v>39.607352941176465</v>
      </c>
      <c r="I8" s="55">
        <f t="shared" ref="I8:I24" si="5">(C8-$C$26)^2</f>
        <v>137.12409999999994</v>
      </c>
      <c r="J8" s="5">
        <f t="shared" ref="J8:J24" si="6">$B$28+($B$29*B8)</f>
        <v>15.344271067542042</v>
      </c>
      <c r="K8" s="5">
        <f t="shared" ref="K8:K24" si="7">C8-J8</f>
        <v>-4.5042710675420423</v>
      </c>
      <c r="L8" s="5">
        <f t="shared" ref="L8:L24" si="8">K8^2</f>
        <v>20.288457849896329</v>
      </c>
    </row>
    <row r="9" spans="1:21" x14ac:dyDescent="0.2">
      <c r="A9" s="5">
        <v>2</v>
      </c>
      <c r="B9" s="5">
        <v>1</v>
      </c>
      <c r="C9" s="5">
        <v>9.3000000000000007</v>
      </c>
      <c r="D9" s="5">
        <f t="shared" si="0"/>
        <v>9.3000000000000007</v>
      </c>
      <c r="E9" s="5">
        <f t="shared" si="1"/>
        <v>1</v>
      </c>
      <c r="F9" s="5">
        <f t="shared" si="2"/>
        <v>86.490000000000009</v>
      </c>
      <c r="G9" s="5">
        <f t="shared" si="3"/>
        <v>11.440311418685123</v>
      </c>
      <c r="H9" s="5">
        <f t="shared" si="4"/>
        <v>44.816176470588232</v>
      </c>
      <c r="I9" s="14">
        <f t="shared" si="5"/>
        <v>175.56249999999991</v>
      </c>
      <c r="J9" s="5">
        <f t="shared" si="6"/>
        <v>15.344271067542042</v>
      </c>
      <c r="K9" s="5">
        <f t="shared" si="7"/>
        <v>-6.0442710675420415</v>
      </c>
      <c r="L9" s="5">
        <f t="shared" si="8"/>
        <v>36.533212737925808</v>
      </c>
      <c r="N9" s="118" t="s">
        <v>15</v>
      </c>
      <c r="O9" s="118"/>
      <c r="P9" s="118"/>
      <c r="Q9" s="118"/>
      <c r="R9" s="118"/>
      <c r="S9" s="118"/>
      <c r="T9" s="118"/>
      <c r="U9" s="118"/>
    </row>
    <row r="10" spans="1:21" x14ac:dyDescent="0.2">
      <c r="A10" s="5">
        <v>3</v>
      </c>
      <c r="B10" s="5">
        <v>2</v>
      </c>
      <c r="C10" s="5">
        <v>16.350000000000001</v>
      </c>
      <c r="D10" s="5">
        <f t="shared" si="0"/>
        <v>32.700000000000003</v>
      </c>
      <c r="E10" s="5">
        <f t="shared" si="1"/>
        <v>4</v>
      </c>
      <c r="F10" s="5">
        <f t="shared" si="2"/>
        <v>267.32250000000005</v>
      </c>
      <c r="G10" s="5">
        <f t="shared" si="3"/>
        <v>5.6756055363321822</v>
      </c>
      <c r="H10" s="5">
        <f t="shared" si="4"/>
        <v>14.77058823529411</v>
      </c>
      <c r="I10" s="14">
        <f t="shared" si="5"/>
        <v>38.439999999999948</v>
      </c>
      <c r="J10" s="5">
        <f t="shared" si="6"/>
        <v>17.474660491051353</v>
      </c>
      <c r="K10" s="5">
        <f t="shared" si="7"/>
        <v>-1.1246604910513511</v>
      </c>
      <c r="L10" s="5">
        <f t="shared" si="8"/>
        <v>1.2648612201318663</v>
      </c>
      <c r="N10" s="139" t="s">
        <v>16</v>
      </c>
      <c r="O10" s="139"/>
      <c r="P10" s="139" t="s">
        <v>17</v>
      </c>
      <c r="Q10" s="139"/>
      <c r="R10" s="151" t="s">
        <v>18</v>
      </c>
      <c r="S10" s="151"/>
      <c r="T10" s="151" t="s">
        <v>19</v>
      </c>
      <c r="U10" s="151"/>
    </row>
    <row r="11" spans="1:21" x14ac:dyDescent="0.2">
      <c r="A11" s="5">
        <v>4</v>
      </c>
      <c r="B11" s="5">
        <v>3.3</v>
      </c>
      <c r="C11" s="5">
        <v>22.88</v>
      </c>
      <c r="D11" s="5">
        <f t="shared" si="0"/>
        <v>75.503999999999991</v>
      </c>
      <c r="E11" s="5">
        <f t="shared" si="1"/>
        <v>10.889999999999999</v>
      </c>
      <c r="F11" s="5">
        <f t="shared" si="2"/>
        <v>523.49439999999993</v>
      </c>
      <c r="G11" s="5">
        <f t="shared" si="3"/>
        <v>1.1714878892733578</v>
      </c>
      <c r="H11" s="5">
        <f t="shared" si="4"/>
        <v>-0.35717647058823748</v>
      </c>
      <c r="I11" s="14">
        <f t="shared" si="5"/>
        <v>0.10890000000000122</v>
      </c>
      <c r="J11" s="5">
        <f t="shared" si="6"/>
        <v>20.244166741613451</v>
      </c>
      <c r="K11" s="5">
        <f t="shared" si="7"/>
        <v>2.6358332583865476</v>
      </c>
      <c r="L11" s="5">
        <f t="shared" si="8"/>
        <v>6.9476169660166445</v>
      </c>
      <c r="N11" s="146"/>
      <c r="O11" s="147"/>
      <c r="P11" s="146"/>
      <c r="Q11" s="149"/>
      <c r="R11" s="113"/>
      <c r="S11" s="113"/>
      <c r="T11" s="113"/>
      <c r="U11" s="113"/>
    </row>
    <row r="12" spans="1:21" x14ac:dyDescent="0.2">
      <c r="A12" s="5">
        <v>5</v>
      </c>
      <c r="B12" s="5">
        <v>3.3</v>
      </c>
      <c r="C12" s="5">
        <v>24.35</v>
      </c>
      <c r="D12" s="5">
        <f t="shared" si="0"/>
        <v>80.355000000000004</v>
      </c>
      <c r="E12" s="5">
        <f t="shared" si="1"/>
        <v>10.889999999999999</v>
      </c>
      <c r="F12" s="5">
        <f t="shared" si="2"/>
        <v>592.92250000000001</v>
      </c>
      <c r="G12" s="5">
        <f t="shared" si="3"/>
        <v>1.1714878892733578</v>
      </c>
      <c r="H12" s="5">
        <f t="shared" si="4"/>
        <v>-1.9482352941176528</v>
      </c>
      <c r="I12" s="14">
        <f t="shared" si="5"/>
        <v>3.2400000000000153</v>
      </c>
      <c r="J12" s="5">
        <f t="shared" si="6"/>
        <v>20.244166741613451</v>
      </c>
      <c r="K12" s="5">
        <f t="shared" si="7"/>
        <v>4.10583325838655</v>
      </c>
      <c r="L12" s="5">
        <f t="shared" si="8"/>
        <v>16.857866745673114</v>
      </c>
      <c r="N12" s="146"/>
      <c r="O12" s="147"/>
      <c r="P12" s="146"/>
      <c r="Q12" s="149"/>
      <c r="R12" s="113"/>
      <c r="S12" s="113"/>
      <c r="T12" s="113"/>
      <c r="U12" s="113"/>
    </row>
    <row r="13" spans="1:21" x14ac:dyDescent="0.2">
      <c r="A13" s="5">
        <v>6</v>
      </c>
      <c r="B13" s="5">
        <v>4</v>
      </c>
      <c r="C13" s="5">
        <v>24.56</v>
      </c>
      <c r="D13" s="5">
        <f t="shared" si="0"/>
        <v>98.24</v>
      </c>
      <c r="E13" s="5">
        <f t="shared" si="1"/>
        <v>16</v>
      </c>
      <c r="F13" s="5">
        <f t="shared" si="2"/>
        <v>603.19359999999995</v>
      </c>
      <c r="G13" s="5">
        <f t="shared" si="3"/>
        <v>0.1461937716262979</v>
      </c>
      <c r="H13" s="5">
        <f t="shared" si="4"/>
        <v>-0.76852941176470735</v>
      </c>
      <c r="I13" s="14">
        <f t="shared" si="5"/>
        <v>4.040100000000006</v>
      </c>
      <c r="J13" s="5">
        <f t="shared" si="6"/>
        <v>21.735439338069966</v>
      </c>
      <c r="K13" s="5">
        <f t="shared" si="7"/>
        <v>2.8245606619300325</v>
      </c>
      <c r="L13" s="5">
        <f t="shared" si="8"/>
        <v>7.9781429329226237</v>
      </c>
      <c r="N13" s="146"/>
      <c r="O13" s="147"/>
      <c r="P13" s="146"/>
      <c r="Q13" s="149"/>
      <c r="R13" s="113"/>
      <c r="S13" s="113"/>
      <c r="T13" s="113"/>
      <c r="U13" s="113"/>
    </row>
    <row r="14" spans="1:21" x14ac:dyDescent="0.2">
      <c r="A14" s="5">
        <v>7</v>
      </c>
      <c r="B14" s="5">
        <v>4</v>
      </c>
      <c r="C14" s="5">
        <v>25.86</v>
      </c>
      <c r="D14" s="5">
        <f t="shared" si="0"/>
        <v>103.44</v>
      </c>
      <c r="E14" s="5">
        <f t="shared" si="1"/>
        <v>16</v>
      </c>
      <c r="F14" s="5">
        <f t="shared" si="2"/>
        <v>668.7396</v>
      </c>
      <c r="G14" s="5">
        <f t="shared" si="3"/>
        <v>0.1461937716262979</v>
      </c>
      <c r="H14" s="5">
        <f t="shared" si="4"/>
        <v>-1.2655882352941199</v>
      </c>
      <c r="I14" s="14">
        <f t="shared" si="5"/>
        <v>10.956100000000015</v>
      </c>
      <c r="J14" s="5">
        <f t="shared" si="6"/>
        <v>21.735439338069966</v>
      </c>
      <c r="K14" s="5">
        <f t="shared" si="7"/>
        <v>4.1245606619300332</v>
      </c>
      <c r="L14" s="5">
        <f t="shared" si="8"/>
        <v>17.012000653940714</v>
      </c>
      <c r="N14" s="142"/>
      <c r="O14" s="148"/>
      <c r="P14" s="142"/>
      <c r="Q14" s="150"/>
      <c r="R14" s="113"/>
      <c r="S14" s="113"/>
      <c r="T14" s="113"/>
      <c r="U14" s="113"/>
    </row>
    <row r="15" spans="1:21" x14ac:dyDescent="0.2">
      <c r="A15" s="5">
        <v>8</v>
      </c>
      <c r="B15" s="5">
        <v>4</v>
      </c>
      <c r="C15" s="5">
        <v>29.16</v>
      </c>
      <c r="D15" s="5">
        <f t="shared" si="0"/>
        <v>116.64</v>
      </c>
      <c r="E15" s="5">
        <f t="shared" si="1"/>
        <v>16</v>
      </c>
      <c r="F15" s="5">
        <f t="shared" si="2"/>
        <v>850.30560000000003</v>
      </c>
      <c r="G15" s="5">
        <f t="shared" si="3"/>
        <v>0.1461937716262979</v>
      </c>
      <c r="H15" s="5">
        <f t="shared" si="4"/>
        <v>-2.5273529411764746</v>
      </c>
      <c r="I15" s="14">
        <f t="shared" si="5"/>
        <v>43.692100000000039</v>
      </c>
      <c r="J15" s="5">
        <f t="shared" si="6"/>
        <v>21.735439338069966</v>
      </c>
      <c r="K15" s="5">
        <f t="shared" si="7"/>
        <v>7.4245606619300339</v>
      </c>
      <c r="L15" s="5">
        <f t="shared" si="8"/>
        <v>55.124101022678943</v>
      </c>
      <c r="N15" s="120" t="s">
        <v>20</v>
      </c>
      <c r="O15" s="120"/>
      <c r="P15" s="120" t="s">
        <v>21</v>
      </c>
      <c r="Q15" s="120"/>
      <c r="R15" s="137" t="s">
        <v>22</v>
      </c>
      <c r="S15" s="137"/>
      <c r="T15" s="139" t="s">
        <v>23</v>
      </c>
      <c r="U15" s="139"/>
    </row>
    <row r="16" spans="1:21" x14ac:dyDescent="0.2">
      <c r="A16" s="5">
        <v>9</v>
      </c>
      <c r="B16" s="5">
        <v>4.7</v>
      </c>
      <c r="C16" s="5">
        <v>24.59</v>
      </c>
      <c r="D16" s="5">
        <f t="shared" si="0"/>
        <v>115.57300000000001</v>
      </c>
      <c r="E16" s="5">
        <f t="shared" si="1"/>
        <v>22.090000000000003</v>
      </c>
      <c r="F16" s="5">
        <f t="shared" si="2"/>
        <v>604.66809999999998</v>
      </c>
      <c r="G16" s="5">
        <f t="shared" si="3"/>
        <v>0.1008996539792386</v>
      </c>
      <c r="H16" s="5">
        <f t="shared" si="4"/>
        <v>0.64800000000000035</v>
      </c>
      <c r="I16" s="14">
        <f t="shared" si="5"/>
        <v>4.1616000000000106</v>
      </c>
      <c r="J16" s="5">
        <f t="shared" si="6"/>
        <v>23.226711934526485</v>
      </c>
      <c r="K16" s="5">
        <f t="shared" si="7"/>
        <v>1.3632880654735153</v>
      </c>
      <c r="L16" s="5">
        <f t="shared" si="8"/>
        <v>1.8585543494625199</v>
      </c>
      <c r="N16" s="113"/>
      <c r="O16" s="113"/>
      <c r="P16" s="113"/>
      <c r="Q16" s="143"/>
      <c r="R16" s="113"/>
      <c r="S16" s="113"/>
      <c r="T16" s="113"/>
      <c r="U16" s="113"/>
    </row>
    <row r="17" spans="1:21" x14ac:dyDescent="0.2">
      <c r="A17" s="5">
        <v>10</v>
      </c>
      <c r="B17" s="5">
        <v>5</v>
      </c>
      <c r="C17" s="5">
        <v>22.25</v>
      </c>
      <c r="D17" s="5">
        <f t="shared" si="0"/>
        <v>111.25</v>
      </c>
      <c r="E17" s="5">
        <f t="shared" si="1"/>
        <v>25</v>
      </c>
      <c r="F17" s="5">
        <f t="shared" si="2"/>
        <v>495.0625</v>
      </c>
      <c r="G17" s="5">
        <f t="shared" si="3"/>
        <v>0.38148788927335586</v>
      </c>
      <c r="H17" s="5">
        <f t="shared" si="4"/>
        <v>-0.18529411764705694</v>
      </c>
      <c r="I17" s="14">
        <f t="shared" si="5"/>
        <v>8.999999999999829E-2</v>
      </c>
      <c r="J17" s="5">
        <f t="shared" si="6"/>
        <v>23.865828761579273</v>
      </c>
      <c r="K17" s="5">
        <f t="shared" si="7"/>
        <v>-1.615828761579273</v>
      </c>
      <c r="L17" s="5">
        <f t="shared" si="8"/>
        <v>2.610902586746807</v>
      </c>
      <c r="N17" s="113"/>
      <c r="O17" s="113"/>
      <c r="P17" s="113"/>
      <c r="Q17" s="143"/>
      <c r="R17" s="113"/>
      <c r="S17" s="113"/>
      <c r="T17" s="113"/>
      <c r="U17" s="113"/>
    </row>
    <row r="18" spans="1:21" x14ac:dyDescent="0.2">
      <c r="A18" s="5">
        <v>11</v>
      </c>
      <c r="B18" s="5">
        <v>5.6</v>
      </c>
      <c r="C18" s="5">
        <v>25.9</v>
      </c>
      <c r="D18" s="5">
        <f t="shared" si="0"/>
        <v>145.04</v>
      </c>
      <c r="E18" s="5">
        <f t="shared" si="1"/>
        <v>31.359999999999996</v>
      </c>
      <c r="F18" s="5">
        <f t="shared" si="2"/>
        <v>670.81</v>
      </c>
      <c r="G18" s="5">
        <f t="shared" si="3"/>
        <v>1.4826643598615898</v>
      </c>
      <c r="H18" s="5">
        <f t="shared" si="4"/>
        <v>4.0791176470588226</v>
      </c>
      <c r="I18" s="14">
        <f t="shared" si="5"/>
        <v>11.222500000000009</v>
      </c>
      <c r="J18" s="5">
        <f t="shared" si="6"/>
        <v>25.144062415684857</v>
      </c>
      <c r="K18" s="5">
        <f t="shared" si="7"/>
        <v>0.75593758431514146</v>
      </c>
      <c r="L18" s="5">
        <f t="shared" si="8"/>
        <v>0.57144163138021165</v>
      </c>
      <c r="N18" s="113"/>
      <c r="O18" s="113"/>
      <c r="P18" s="113"/>
      <c r="Q18" s="143"/>
      <c r="R18" s="138"/>
      <c r="S18" s="138"/>
      <c r="T18" s="138"/>
      <c r="U18" s="138"/>
    </row>
    <row r="19" spans="1:21" x14ac:dyDescent="0.2">
      <c r="A19" s="5">
        <v>12</v>
      </c>
      <c r="B19" s="5">
        <v>5.6</v>
      </c>
      <c r="C19" s="5">
        <v>27.2</v>
      </c>
      <c r="D19" s="5">
        <f t="shared" si="0"/>
        <v>152.32</v>
      </c>
      <c r="E19" s="5">
        <f t="shared" si="1"/>
        <v>31.359999999999996</v>
      </c>
      <c r="F19" s="5">
        <f t="shared" si="2"/>
        <v>739.83999999999992</v>
      </c>
      <c r="G19" s="5">
        <f t="shared" si="3"/>
        <v>1.4826643598615898</v>
      </c>
      <c r="H19" s="5">
        <f t="shared" si="4"/>
        <v>5.6620588235294109</v>
      </c>
      <c r="I19" s="14">
        <f t="shared" si="5"/>
        <v>21.62250000000002</v>
      </c>
      <c r="J19" s="5">
        <f t="shared" si="6"/>
        <v>25.144062415684857</v>
      </c>
      <c r="K19" s="5">
        <f t="shared" si="7"/>
        <v>2.0559375843151422</v>
      </c>
      <c r="L19" s="5">
        <f t="shared" si="8"/>
        <v>4.2268793505995825</v>
      </c>
      <c r="N19" s="139" t="s">
        <v>24</v>
      </c>
      <c r="O19" s="139"/>
      <c r="P19" s="139" t="s">
        <v>25</v>
      </c>
      <c r="Q19" s="140"/>
      <c r="R19" s="120" t="s">
        <v>26</v>
      </c>
      <c r="S19" s="120"/>
      <c r="T19" s="120" t="s">
        <v>27</v>
      </c>
      <c r="U19" s="120"/>
    </row>
    <row r="20" spans="1:21" x14ac:dyDescent="0.2">
      <c r="A20" s="5">
        <v>13</v>
      </c>
      <c r="B20" s="5">
        <v>5.6</v>
      </c>
      <c r="C20" s="5">
        <v>25.61</v>
      </c>
      <c r="D20" s="5">
        <f t="shared" si="0"/>
        <v>143.416</v>
      </c>
      <c r="E20" s="5">
        <f t="shared" si="1"/>
        <v>31.359999999999996</v>
      </c>
      <c r="F20" s="5">
        <f t="shared" si="2"/>
        <v>655.87209999999993</v>
      </c>
      <c r="G20" s="5">
        <f t="shared" si="3"/>
        <v>1.4826643598615898</v>
      </c>
      <c r="H20" s="5">
        <f t="shared" si="4"/>
        <v>3.7260000000000004</v>
      </c>
      <c r="I20" s="14">
        <f t="shared" si="5"/>
        <v>9.3636000000000141</v>
      </c>
      <c r="J20" s="5">
        <f t="shared" si="6"/>
        <v>25.144062415684857</v>
      </c>
      <c r="K20" s="5">
        <f t="shared" si="7"/>
        <v>0.46593758431514232</v>
      </c>
      <c r="L20" s="5">
        <f t="shared" si="8"/>
        <v>0.21709783247743036</v>
      </c>
      <c r="N20" s="113"/>
      <c r="O20" s="113"/>
      <c r="P20" s="141"/>
      <c r="Q20" s="142"/>
      <c r="R20" s="113"/>
      <c r="S20" s="113"/>
      <c r="T20" s="113"/>
      <c r="U20" s="113"/>
    </row>
    <row r="21" spans="1:21" x14ac:dyDescent="0.2">
      <c r="A21" s="5">
        <v>14</v>
      </c>
      <c r="B21" s="5">
        <v>6</v>
      </c>
      <c r="C21" s="5">
        <v>25.45</v>
      </c>
      <c r="D21" s="5">
        <f t="shared" si="0"/>
        <v>152.69999999999999</v>
      </c>
      <c r="E21" s="5">
        <f t="shared" si="1"/>
        <v>36</v>
      </c>
      <c r="F21" s="5">
        <f t="shared" si="2"/>
        <v>647.70249999999999</v>
      </c>
      <c r="G21" s="5">
        <f t="shared" si="3"/>
        <v>2.6167820069204137</v>
      </c>
      <c r="H21" s="5">
        <f t="shared" si="4"/>
        <v>4.6911764705882373</v>
      </c>
      <c r="I21" s="14">
        <f t="shared" si="5"/>
        <v>8.4100000000000126</v>
      </c>
      <c r="J21" s="5">
        <f t="shared" si="6"/>
        <v>25.99621818508858</v>
      </c>
      <c r="K21" s="5">
        <f t="shared" si="7"/>
        <v>-0.54621818508858055</v>
      </c>
      <c r="L21" s="5">
        <f t="shared" si="8"/>
        <v>0.29835430572146282</v>
      </c>
      <c r="N21" s="113"/>
      <c r="O21" s="113"/>
      <c r="P21" s="113"/>
      <c r="Q21" s="143"/>
      <c r="R21" s="113"/>
      <c r="S21" s="113"/>
      <c r="T21" s="113"/>
      <c r="U21" s="113"/>
    </row>
    <row r="22" spans="1:21" x14ac:dyDescent="0.2">
      <c r="A22" s="5">
        <v>15</v>
      </c>
      <c r="B22" s="5">
        <v>6</v>
      </c>
      <c r="C22" s="5">
        <v>26.56</v>
      </c>
      <c r="D22" s="5">
        <f t="shared" si="0"/>
        <v>159.35999999999999</v>
      </c>
      <c r="E22" s="5">
        <f t="shared" si="1"/>
        <v>36</v>
      </c>
      <c r="F22" s="5">
        <f t="shared" si="2"/>
        <v>705.43359999999996</v>
      </c>
      <c r="G22" s="5">
        <f t="shared" si="3"/>
        <v>2.6167820069204137</v>
      </c>
      <c r="H22" s="5">
        <f t="shared" si="4"/>
        <v>6.4867647058823534</v>
      </c>
      <c r="I22" s="14">
        <f t="shared" si="5"/>
        <v>16.080100000000012</v>
      </c>
      <c r="J22" s="5">
        <f t="shared" si="6"/>
        <v>25.99621818508858</v>
      </c>
      <c r="K22" s="5">
        <f t="shared" si="7"/>
        <v>0.56378181491141888</v>
      </c>
      <c r="L22" s="5">
        <f t="shared" si="8"/>
        <v>0.31784993482481338</v>
      </c>
      <c r="N22" s="113"/>
      <c r="O22" s="113"/>
      <c r="P22" s="113"/>
      <c r="Q22" s="143"/>
      <c r="R22" s="113"/>
      <c r="S22" s="113"/>
      <c r="T22" s="113"/>
      <c r="U22" s="113"/>
    </row>
    <row r="23" spans="1:21" x14ac:dyDescent="0.2">
      <c r="A23" s="5">
        <v>16</v>
      </c>
      <c r="B23" s="5">
        <v>6.5</v>
      </c>
      <c r="C23" s="5">
        <v>21.03</v>
      </c>
      <c r="D23" s="5">
        <f t="shared" si="0"/>
        <v>136.69499999999999</v>
      </c>
      <c r="E23" s="5">
        <f t="shared" si="1"/>
        <v>42.25</v>
      </c>
      <c r="F23" s="5">
        <f t="shared" si="2"/>
        <v>442.26090000000005</v>
      </c>
      <c r="G23" s="5">
        <f t="shared" si="3"/>
        <v>4.4844290657439432</v>
      </c>
      <c r="H23" s="5">
        <f t="shared" si="4"/>
        <v>-3.2188235294117558</v>
      </c>
      <c r="I23" s="14">
        <f t="shared" si="5"/>
        <v>2.310399999999988</v>
      </c>
      <c r="J23" s="5">
        <f t="shared" si="6"/>
        <v>27.061412896843237</v>
      </c>
      <c r="K23" s="5">
        <f t="shared" si="7"/>
        <v>-6.0314128968432357</v>
      </c>
      <c r="L23" s="5">
        <f t="shared" si="8"/>
        <v>36.377941532206911</v>
      </c>
    </row>
    <row r="24" spans="1:21" x14ac:dyDescent="0.2">
      <c r="A24" s="5">
        <v>17</v>
      </c>
      <c r="B24" s="5">
        <v>6.9</v>
      </c>
      <c r="C24" s="5">
        <v>21.46</v>
      </c>
      <c r="D24" s="5">
        <f t="shared" si="0"/>
        <v>148.07400000000001</v>
      </c>
      <c r="E24" s="5">
        <f t="shared" si="1"/>
        <v>47.610000000000007</v>
      </c>
      <c r="F24" s="5">
        <f t="shared" si="2"/>
        <v>460.53160000000003</v>
      </c>
      <c r="G24" s="5">
        <f t="shared" si="3"/>
        <v>6.3385467128027679</v>
      </c>
      <c r="H24" s="5">
        <f t="shared" si="4"/>
        <v>-2.7442352941176376</v>
      </c>
      <c r="I24" s="14">
        <f t="shared" si="5"/>
        <v>1.1880999999999919</v>
      </c>
      <c r="J24" s="5">
        <f t="shared" si="6"/>
        <v>27.91356866624696</v>
      </c>
      <c r="K24" s="5">
        <f t="shared" si="7"/>
        <v>-6.4535686662469587</v>
      </c>
      <c r="L24" s="5">
        <f t="shared" si="8"/>
        <v>41.64854852996455</v>
      </c>
    </row>
    <row r="25" spans="1:21" x14ac:dyDescent="0.2">
      <c r="A25" s="7" t="s">
        <v>28</v>
      </c>
      <c r="B25" s="44">
        <f t="shared" ref="B25:L25" si="9">SUM(B8:B24)</f>
        <v>74.5</v>
      </c>
      <c r="C25" s="44">
        <f t="shared" si="9"/>
        <v>383.34999999999997</v>
      </c>
      <c r="D25" s="44">
        <f t="shared" si="9"/>
        <v>1791.4469999999999</v>
      </c>
      <c r="E25" s="44">
        <f t="shared" si="9"/>
        <v>378.80999999999995</v>
      </c>
      <c r="F25" s="44">
        <f t="shared" si="9"/>
        <v>9132.1550999999999</v>
      </c>
      <c r="G25" s="44">
        <f t="shared" si="9"/>
        <v>52.324705882352937</v>
      </c>
      <c r="H25" s="44">
        <f t="shared" si="9"/>
        <v>111.47199999999997</v>
      </c>
      <c r="I25" s="43">
        <f t="shared" si="9"/>
        <v>487.61259999999999</v>
      </c>
      <c r="J25" s="5">
        <f t="shared" si="9"/>
        <v>383.34999999999991</v>
      </c>
      <c r="K25" s="5">
        <f t="shared" si="9"/>
        <v>7.460698725481052E-14</v>
      </c>
      <c r="L25" s="5">
        <f t="shared" si="9"/>
        <v>250.13383018257034</v>
      </c>
      <c r="N25" s="60"/>
    </row>
    <row r="26" spans="1:21" x14ac:dyDescent="0.2">
      <c r="A26" s="7" t="s">
        <v>29</v>
      </c>
      <c r="B26" s="44">
        <f>AVERAGE(B8:B24)</f>
        <v>4.382352941176471</v>
      </c>
      <c r="C26" s="44">
        <f>AVERAGE(C8:C24)</f>
        <v>22.549999999999997</v>
      </c>
      <c r="D26" s="5"/>
      <c r="E26" s="5"/>
      <c r="F26" s="5"/>
      <c r="G26" s="5"/>
      <c r="H26" s="5"/>
      <c r="I26" s="14"/>
      <c r="J26" s="5"/>
      <c r="K26" s="5"/>
      <c r="L26" s="5"/>
    </row>
    <row r="28" spans="1:21" x14ac:dyDescent="0.2">
      <c r="A28" s="59" t="s">
        <v>30</v>
      </c>
      <c r="B28" s="18">
        <f>C26-B29*B26</f>
        <v>13.213881644032735</v>
      </c>
      <c r="D28" s="59" t="s">
        <v>23</v>
      </c>
      <c r="E28" s="18">
        <f>SUM(I8:I24)</f>
        <v>487.61259999999999</v>
      </c>
      <c r="G28" s="59" t="s">
        <v>26</v>
      </c>
      <c r="H28" s="18">
        <f>B29*H25</f>
        <v>237.47876981742948</v>
      </c>
      <c r="J28" s="66" t="s">
        <v>31</v>
      </c>
      <c r="K28" s="18">
        <v>17</v>
      </c>
      <c r="M28" s="144" t="s">
        <v>32</v>
      </c>
      <c r="N28" s="144"/>
    </row>
    <row r="29" spans="1:21" x14ac:dyDescent="0.2">
      <c r="A29" s="59" t="s">
        <v>33</v>
      </c>
      <c r="B29" s="18">
        <f>H25/G25</f>
        <v>2.1303894235093077</v>
      </c>
      <c r="D29" s="59" t="s">
        <v>24</v>
      </c>
      <c r="E29" s="18">
        <f>E28-(B29*H25)</f>
        <v>250.13383018257051</v>
      </c>
      <c r="G29" s="59" t="s">
        <v>27</v>
      </c>
      <c r="H29" s="18">
        <f>H28/K29</f>
        <v>237.47876981742948</v>
      </c>
      <c r="J29" s="66" t="s">
        <v>34</v>
      </c>
      <c r="K29" s="18">
        <v>1</v>
      </c>
      <c r="M29" s="145"/>
      <c r="N29" s="145"/>
    </row>
    <row r="30" spans="1:21" x14ac:dyDescent="0.2">
      <c r="D30" s="59" t="s">
        <v>25</v>
      </c>
      <c r="E30" s="18">
        <f>E29/(K28-2)</f>
        <v>16.675588678838032</v>
      </c>
    </row>
    <row r="33" spans="1:16" x14ac:dyDescent="0.2">
      <c r="D33" s="115" t="s">
        <v>35</v>
      </c>
      <c r="E33" s="116"/>
      <c r="F33" s="116"/>
      <c r="G33" s="117"/>
    </row>
    <row r="35" spans="1:16" x14ac:dyDescent="0.2">
      <c r="A35" s="64" t="s">
        <v>36</v>
      </c>
      <c r="B35" s="63" t="s">
        <v>37</v>
      </c>
      <c r="D35" s="67" t="s">
        <v>38</v>
      </c>
      <c r="E35" s="18">
        <f>B38/B37</f>
        <v>14.241102631585008</v>
      </c>
      <c r="H35" s="121" t="s">
        <v>15</v>
      </c>
      <c r="I35" s="122"/>
      <c r="J35" s="122"/>
      <c r="K35" s="122"/>
    </row>
    <row r="36" spans="1:16" x14ac:dyDescent="0.2">
      <c r="A36" s="64" t="s">
        <v>34</v>
      </c>
      <c r="B36" s="53">
        <v>1</v>
      </c>
      <c r="D36" s="67" t="s">
        <v>39</v>
      </c>
      <c r="E36" s="18">
        <f>_xlfn.F.INV.RT(B35,B36,15)</f>
        <v>4.5430771652669701</v>
      </c>
      <c r="H36" s="119" t="s">
        <v>40</v>
      </c>
      <c r="I36" s="119"/>
      <c r="J36" s="119" t="s">
        <v>41</v>
      </c>
      <c r="K36" s="119"/>
    </row>
    <row r="37" spans="1:16" x14ac:dyDescent="0.2">
      <c r="A37" s="65" t="s">
        <v>25</v>
      </c>
      <c r="B37" s="75">
        <v>16.675588678838032</v>
      </c>
      <c r="H37" s="113"/>
      <c r="I37" s="113"/>
      <c r="J37" s="113"/>
      <c r="K37" s="113"/>
    </row>
    <row r="38" spans="1:16" x14ac:dyDescent="0.2">
      <c r="A38" s="61" t="s">
        <v>27</v>
      </c>
      <c r="B38" s="16">
        <f>H29</f>
        <v>237.47876981742948</v>
      </c>
      <c r="H38" s="113"/>
      <c r="I38" s="113"/>
      <c r="J38" s="113"/>
      <c r="K38" s="113"/>
    </row>
    <row r="39" spans="1:16" x14ac:dyDescent="0.2">
      <c r="A39" s="57" t="s">
        <v>26</v>
      </c>
      <c r="B39" s="11">
        <f>H28</f>
        <v>237.47876981742948</v>
      </c>
      <c r="H39" s="113"/>
      <c r="I39" s="113"/>
      <c r="J39" s="113"/>
      <c r="K39" s="113"/>
    </row>
    <row r="40" spans="1:16" x14ac:dyDescent="0.2">
      <c r="A40" s="1"/>
      <c r="B40" s="1"/>
    </row>
    <row r="41" spans="1:16" x14ac:dyDescent="0.2">
      <c r="A41" s="62" t="s">
        <v>42</v>
      </c>
      <c r="B41" s="131" t="s">
        <v>43</v>
      </c>
      <c r="C41" s="132"/>
      <c r="D41" s="132"/>
      <c r="E41" s="132"/>
      <c r="F41" s="132"/>
      <c r="G41" s="132"/>
      <c r="H41" s="132"/>
      <c r="I41" s="132"/>
      <c r="J41" s="132"/>
      <c r="K41" s="132"/>
      <c r="L41" s="133"/>
    </row>
    <row r="42" spans="1:16" x14ac:dyDescent="0.2">
      <c r="A42" s="130" t="s">
        <v>44</v>
      </c>
      <c r="B42" s="134" t="s">
        <v>45</v>
      </c>
      <c r="C42" s="135"/>
      <c r="D42" s="135"/>
      <c r="E42" s="135"/>
      <c r="F42" s="135"/>
      <c r="G42" s="135"/>
      <c r="H42" s="135"/>
      <c r="I42" s="135"/>
      <c r="J42" s="135"/>
      <c r="K42" s="135"/>
      <c r="L42" s="136"/>
    </row>
    <row r="43" spans="1:16" x14ac:dyDescent="0.2">
      <c r="A43" s="130"/>
      <c r="B43" s="69" t="s">
        <v>46</v>
      </c>
      <c r="C43" s="70"/>
      <c r="D43" s="70"/>
      <c r="E43" s="70"/>
      <c r="F43" s="70"/>
      <c r="G43" s="70"/>
      <c r="H43" s="70"/>
      <c r="I43" s="69"/>
      <c r="J43" s="70"/>
      <c r="K43" s="70"/>
      <c r="L43" s="70"/>
      <c r="P43" s="68"/>
    </row>
    <row r="46" spans="1:16" x14ac:dyDescent="0.2">
      <c r="D46" s="115" t="s">
        <v>47</v>
      </c>
      <c r="E46" s="116"/>
      <c r="F46" s="116"/>
      <c r="G46" s="117"/>
    </row>
    <row r="48" spans="1:16" x14ac:dyDescent="0.2">
      <c r="A48" s="59" t="s">
        <v>24</v>
      </c>
      <c r="B48" s="18">
        <f>E29</f>
        <v>250.13383018257051</v>
      </c>
      <c r="D48" s="59" t="s">
        <v>48</v>
      </c>
      <c r="E48" s="18">
        <f>B49/B50</f>
        <v>0.48702344815829102</v>
      </c>
      <c r="H48" s="118" t="s">
        <v>15</v>
      </c>
      <c r="I48" s="118"/>
      <c r="J48" s="118"/>
      <c r="K48" s="118"/>
    </row>
    <row r="49" spans="1:11" x14ac:dyDescent="0.2">
      <c r="A49" s="59" t="s">
        <v>49</v>
      </c>
      <c r="B49" s="18">
        <f>B39</f>
        <v>237.47876981742948</v>
      </c>
      <c r="D49" s="59" t="s">
        <v>50</v>
      </c>
      <c r="E49" s="18">
        <f>E48*100</f>
        <v>48.7023448158291</v>
      </c>
      <c r="H49" s="119" t="s">
        <v>48</v>
      </c>
      <c r="I49" s="119"/>
      <c r="J49" s="119" t="s">
        <v>51</v>
      </c>
      <c r="K49" s="119"/>
    </row>
    <row r="50" spans="1:11" x14ac:dyDescent="0.2">
      <c r="A50" s="59" t="s">
        <v>23</v>
      </c>
      <c r="B50" s="18">
        <f>E28</f>
        <v>487.61259999999999</v>
      </c>
      <c r="D50" s="59" t="s">
        <v>51</v>
      </c>
      <c r="E50" s="18">
        <f>1-E48</f>
        <v>0.51297655184170898</v>
      </c>
      <c r="H50" s="113"/>
      <c r="I50" s="113"/>
      <c r="J50" s="113"/>
      <c r="K50" s="113"/>
    </row>
    <row r="51" spans="1:11" x14ac:dyDescent="0.2">
      <c r="D51" s="59" t="s">
        <v>52</v>
      </c>
      <c r="E51" s="18">
        <f>E50*100</f>
        <v>51.2976551841709</v>
      </c>
      <c r="H51" s="113"/>
      <c r="I51" s="113"/>
      <c r="J51" s="113"/>
      <c r="K51" s="113"/>
    </row>
    <row r="53" spans="1:11" x14ac:dyDescent="0.2">
      <c r="A53" s="123" t="s">
        <v>44</v>
      </c>
      <c r="B53" s="124" t="s">
        <v>53</v>
      </c>
      <c r="C53" s="125"/>
      <c r="D53" s="125"/>
      <c r="E53" s="125"/>
      <c r="F53" s="125"/>
      <c r="G53" s="125"/>
      <c r="H53" s="125"/>
      <c r="I53" s="126"/>
    </row>
    <row r="54" spans="1:11" x14ac:dyDescent="0.2">
      <c r="A54" s="123"/>
      <c r="B54" s="127" t="s">
        <v>54</v>
      </c>
      <c r="C54" s="128"/>
      <c r="D54" s="128"/>
      <c r="E54" s="128"/>
      <c r="F54" s="128"/>
      <c r="G54" s="128"/>
      <c r="H54" s="128"/>
      <c r="I54" s="129"/>
    </row>
    <row r="57" spans="1:11" x14ac:dyDescent="0.2">
      <c r="D57" s="115" t="s">
        <v>55</v>
      </c>
      <c r="E57" s="116"/>
      <c r="F57" s="116"/>
      <c r="G57" s="117"/>
    </row>
    <row r="59" spans="1:11" x14ac:dyDescent="0.2">
      <c r="A59" s="59" t="s">
        <v>56</v>
      </c>
      <c r="B59" s="18">
        <f>SQRT(B37/G25)</f>
        <v>0.56453021220022559</v>
      </c>
      <c r="D59" s="118" t="s">
        <v>15</v>
      </c>
      <c r="E59" s="118"/>
      <c r="F59" s="118"/>
      <c r="G59" s="118"/>
    </row>
    <row r="60" spans="1:11" x14ac:dyDescent="0.2">
      <c r="A60" s="59" t="s">
        <v>57</v>
      </c>
      <c r="B60" s="18">
        <f>B29/B59</f>
        <v>3.7737385483873958</v>
      </c>
      <c r="D60" s="119" t="s">
        <v>58</v>
      </c>
      <c r="E60" s="119"/>
      <c r="F60" s="119" t="s">
        <v>59</v>
      </c>
      <c r="G60" s="119"/>
    </row>
    <row r="61" spans="1:11" x14ac:dyDescent="0.2">
      <c r="A61" s="59" t="s">
        <v>60</v>
      </c>
      <c r="B61" s="18">
        <f>_xlfn.T.INV.2T(0.025,15)</f>
        <v>2.4898797034798905</v>
      </c>
      <c r="D61" s="113"/>
      <c r="E61" s="113"/>
      <c r="F61" s="113"/>
      <c r="G61" s="113"/>
    </row>
    <row r="62" spans="1:11" x14ac:dyDescent="0.2">
      <c r="D62" s="113"/>
      <c r="E62" s="113"/>
      <c r="F62" s="113"/>
      <c r="G62" s="113"/>
    </row>
    <row r="63" spans="1:11" x14ac:dyDescent="0.2">
      <c r="D63" s="113"/>
      <c r="E63" s="113"/>
      <c r="F63" s="113"/>
      <c r="G63" s="113"/>
    </row>
    <row r="65" spans="1:7" x14ac:dyDescent="0.2">
      <c r="A65" s="71" t="s">
        <v>42</v>
      </c>
      <c r="B65" s="163" t="s">
        <v>43</v>
      </c>
      <c r="C65" s="163"/>
      <c r="D65" s="163"/>
      <c r="E65" s="163"/>
    </row>
    <row r="66" spans="1:7" x14ac:dyDescent="0.2">
      <c r="A66" s="72" t="s">
        <v>44</v>
      </c>
      <c r="B66" s="145" t="s">
        <v>61</v>
      </c>
      <c r="C66" s="145"/>
      <c r="D66" s="145"/>
      <c r="E66" s="145"/>
    </row>
    <row r="69" spans="1:7" x14ac:dyDescent="0.2">
      <c r="D69" s="115" t="s">
        <v>62</v>
      </c>
      <c r="E69" s="116"/>
      <c r="F69" s="116"/>
      <c r="G69" s="117"/>
    </row>
    <row r="71" spans="1:7" x14ac:dyDescent="0.2">
      <c r="A71" s="164" t="s">
        <v>63</v>
      </c>
      <c r="B71" s="164"/>
      <c r="D71" s="139" t="s">
        <v>64</v>
      </c>
      <c r="E71" s="139"/>
    </row>
    <row r="72" spans="1:7" x14ac:dyDescent="0.2">
      <c r="A72" s="161"/>
      <c r="B72" s="162"/>
      <c r="D72" s="161"/>
      <c r="E72" s="162"/>
    </row>
    <row r="73" spans="1:7" x14ac:dyDescent="0.2">
      <c r="A73" s="59" t="s">
        <v>33</v>
      </c>
      <c r="B73" s="18">
        <v>2.1303894235093077</v>
      </c>
      <c r="D73" s="74" t="s">
        <v>65</v>
      </c>
      <c r="E73" s="18">
        <f>B59</f>
        <v>0.56453021220022559</v>
      </c>
    </row>
    <row r="74" spans="1:7" x14ac:dyDescent="0.2">
      <c r="A74" s="59" t="s">
        <v>30</v>
      </c>
      <c r="B74" s="18">
        <v>13.213881644032735</v>
      </c>
    </row>
    <row r="75" spans="1:7" x14ac:dyDescent="0.2">
      <c r="D75" s="118" t="s">
        <v>15</v>
      </c>
      <c r="E75" s="118"/>
      <c r="F75" s="118"/>
    </row>
    <row r="76" spans="1:7" x14ac:dyDescent="0.2">
      <c r="A76" s="73" t="s">
        <v>60</v>
      </c>
      <c r="B76" s="18">
        <f>_xlfn.T.INV.2T(0.025,15)</f>
        <v>2.4898797034798905</v>
      </c>
      <c r="D76" s="113" t="s">
        <v>66</v>
      </c>
      <c r="E76" s="113"/>
      <c r="F76" s="113"/>
    </row>
    <row r="77" spans="1:7" x14ac:dyDescent="0.2">
      <c r="D77" s="113"/>
      <c r="E77" s="113"/>
      <c r="F77" s="113"/>
    </row>
    <row r="78" spans="1:7" x14ac:dyDescent="0.2">
      <c r="A78" s="73" t="s">
        <v>67</v>
      </c>
      <c r="B78" s="18">
        <f>B73-(B76*E73)</f>
        <v>0.7247771061507704</v>
      </c>
      <c r="D78" s="113"/>
      <c r="E78" s="113"/>
      <c r="F78" s="113"/>
    </row>
    <row r="79" spans="1:7" x14ac:dyDescent="0.2">
      <c r="A79" s="73" t="s">
        <v>68</v>
      </c>
      <c r="B79" s="18">
        <f>B73+(B76*E73)</f>
        <v>3.536001740867845</v>
      </c>
      <c r="D79" s="113"/>
      <c r="E79" s="113"/>
      <c r="F79" s="113"/>
    </row>
    <row r="81" spans="1:8" ht="30" x14ac:dyDescent="0.2">
      <c r="A81" s="76" t="s">
        <v>69</v>
      </c>
      <c r="B81" s="111" t="s">
        <v>70</v>
      </c>
      <c r="C81" s="111"/>
      <c r="D81" s="111"/>
    </row>
    <row r="83" spans="1:8" x14ac:dyDescent="0.2">
      <c r="A83" s="10" t="s">
        <v>44</v>
      </c>
      <c r="B83" s="114" t="s">
        <v>71</v>
      </c>
      <c r="C83" s="114"/>
      <c r="D83" s="114"/>
      <c r="E83" s="114"/>
      <c r="F83" s="114"/>
      <c r="G83" s="114"/>
      <c r="H83" s="114"/>
    </row>
    <row r="86" spans="1:8" x14ac:dyDescent="0.2">
      <c r="C86" s="77"/>
      <c r="F86" s="2"/>
      <c r="G86" s="2"/>
    </row>
    <row r="87" spans="1:8" x14ac:dyDescent="0.2">
      <c r="A87" s="112" t="s">
        <v>72</v>
      </c>
      <c r="B87" s="112"/>
      <c r="C87" s="112"/>
      <c r="D87" s="112"/>
      <c r="E87" s="112"/>
      <c r="F87" s="112"/>
    </row>
    <row r="88" spans="1:8" x14ac:dyDescent="0.2">
      <c r="A88" s="112" t="s">
        <v>73</v>
      </c>
      <c r="B88" s="112"/>
      <c r="C88" s="112"/>
      <c r="D88" s="112" t="s">
        <v>74</v>
      </c>
      <c r="E88" s="112"/>
      <c r="F88" s="112"/>
    </row>
    <row r="89" spans="1:8" x14ac:dyDescent="0.2">
      <c r="A89" s="113"/>
      <c r="B89" s="113"/>
      <c r="C89" s="113"/>
      <c r="D89" s="113"/>
      <c r="E89" s="113"/>
      <c r="F89" s="113"/>
    </row>
    <row r="90" spans="1:8" x14ac:dyDescent="0.2">
      <c r="A90" s="113"/>
      <c r="B90" s="113"/>
      <c r="C90" s="113"/>
      <c r="D90" s="113"/>
      <c r="E90" s="113"/>
      <c r="F90" s="113"/>
    </row>
    <row r="91" spans="1:8" x14ac:dyDescent="0.2">
      <c r="A91" s="113"/>
      <c r="B91" s="113"/>
      <c r="C91" s="113"/>
      <c r="D91" s="113"/>
      <c r="E91" s="113"/>
      <c r="F91" s="113"/>
    </row>
  </sheetData>
  <mergeCells count="70">
    <mergeCell ref="D59:G59"/>
    <mergeCell ref="D77:F79"/>
    <mergeCell ref="D76:F76"/>
    <mergeCell ref="D75:F75"/>
    <mergeCell ref="D60:E60"/>
    <mergeCell ref="F60:G60"/>
    <mergeCell ref="D61:E63"/>
    <mergeCell ref="F61:G63"/>
    <mergeCell ref="D71:E71"/>
    <mergeCell ref="D72:E72"/>
    <mergeCell ref="B65:E65"/>
    <mergeCell ref="B66:E66"/>
    <mergeCell ref="D69:G69"/>
    <mergeCell ref="A71:B71"/>
    <mergeCell ref="A72:B72"/>
    <mergeCell ref="B2:J3"/>
    <mergeCell ref="D5:G5"/>
    <mergeCell ref="N9:U9"/>
    <mergeCell ref="N10:O10"/>
    <mergeCell ref="P10:Q10"/>
    <mergeCell ref="R10:S10"/>
    <mergeCell ref="N11:O14"/>
    <mergeCell ref="P11:Q14"/>
    <mergeCell ref="R11:S14"/>
    <mergeCell ref="T10:U10"/>
    <mergeCell ref="T11:U14"/>
    <mergeCell ref="D33:G33"/>
    <mergeCell ref="R15:S15"/>
    <mergeCell ref="R16:S18"/>
    <mergeCell ref="T15:U15"/>
    <mergeCell ref="T16:U18"/>
    <mergeCell ref="N19:O19"/>
    <mergeCell ref="P19:Q19"/>
    <mergeCell ref="N20:O22"/>
    <mergeCell ref="P20:Q22"/>
    <mergeCell ref="N15:O15"/>
    <mergeCell ref="P15:Q15"/>
    <mergeCell ref="N16:O18"/>
    <mergeCell ref="P16:Q18"/>
    <mergeCell ref="M28:N28"/>
    <mergeCell ref="M29:N29"/>
    <mergeCell ref="R19:S19"/>
    <mergeCell ref="T19:U19"/>
    <mergeCell ref="R20:S22"/>
    <mergeCell ref="T20:U22"/>
    <mergeCell ref="H35:K35"/>
    <mergeCell ref="A53:A54"/>
    <mergeCell ref="B53:I53"/>
    <mergeCell ref="B54:I54"/>
    <mergeCell ref="H50:I51"/>
    <mergeCell ref="J36:K36"/>
    <mergeCell ref="H37:I39"/>
    <mergeCell ref="J37:K39"/>
    <mergeCell ref="A42:A43"/>
    <mergeCell ref="B41:L41"/>
    <mergeCell ref="B42:L42"/>
    <mergeCell ref="H36:I36"/>
    <mergeCell ref="J50:K51"/>
    <mergeCell ref="D57:G57"/>
    <mergeCell ref="D46:G46"/>
    <mergeCell ref="H48:K48"/>
    <mergeCell ref="H49:I49"/>
    <mergeCell ref="J49:K49"/>
    <mergeCell ref="B81:D81"/>
    <mergeCell ref="A88:C88"/>
    <mergeCell ref="A89:C91"/>
    <mergeCell ref="B83:H83"/>
    <mergeCell ref="D88:F88"/>
    <mergeCell ref="D89:F91"/>
    <mergeCell ref="A87:F8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D711-8601-43C8-ACAA-8B6D6D2D4493}">
  <dimension ref="A1:R50"/>
  <sheetViews>
    <sheetView topLeftCell="C3" workbookViewId="0">
      <selection activeCell="G7" sqref="G7"/>
    </sheetView>
  </sheetViews>
  <sheetFormatPr baseColWidth="10" defaultColWidth="8.83203125" defaultRowHeight="15" x14ac:dyDescent="0.2"/>
  <cols>
    <col min="1" max="1" width="25.5" customWidth="1"/>
    <col min="3" max="3" width="10.33203125" customWidth="1"/>
    <col min="4" max="4" width="10.6640625" customWidth="1"/>
    <col min="5" max="5" width="17.5" customWidth="1"/>
  </cols>
  <sheetData>
    <row r="1" spans="1:18" x14ac:dyDescent="0.2">
      <c r="D1" s="165" t="s">
        <v>75</v>
      </c>
      <c r="E1" s="165"/>
      <c r="F1" s="165"/>
      <c r="G1" s="165"/>
    </row>
    <row r="3" spans="1:18" x14ac:dyDescent="0.2">
      <c r="A3" s="7" t="s">
        <v>10</v>
      </c>
      <c r="B3" s="9">
        <v>1</v>
      </c>
      <c r="C3" s="5">
        <v>1</v>
      </c>
      <c r="D3" s="5">
        <v>2</v>
      </c>
      <c r="E3" s="5">
        <v>3.3</v>
      </c>
      <c r="F3" s="5">
        <v>3.3</v>
      </c>
      <c r="G3" s="5">
        <v>4</v>
      </c>
      <c r="H3" s="5">
        <v>4</v>
      </c>
      <c r="I3" s="5">
        <v>4</v>
      </c>
      <c r="J3" s="5">
        <v>4.7</v>
      </c>
      <c r="K3" s="5">
        <v>5</v>
      </c>
      <c r="L3" s="5">
        <v>5.6</v>
      </c>
      <c r="M3" s="5">
        <v>5.6</v>
      </c>
      <c r="N3" s="5">
        <v>5.6</v>
      </c>
      <c r="O3" s="5">
        <v>6</v>
      </c>
      <c r="P3" s="5">
        <v>6</v>
      </c>
      <c r="Q3" s="5">
        <v>6.5</v>
      </c>
      <c r="R3" s="5">
        <v>6.9</v>
      </c>
    </row>
    <row r="4" spans="1:18" x14ac:dyDescent="0.2">
      <c r="A4" s="7" t="s">
        <v>11</v>
      </c>
      <c r="B4" s="9">
        <v>10.84</v>
      </c>
      <c r="C4" s="5">
        <v>9.3000000000000007</v>
      </c>
      <c r="D4" s="5">
        <v>16.350000000000001</v>
      </c>
      <c r="E4" s="5">
        <v>22.88</v>
      </c>
      <c r="F4" s="5">
        <v>24.35</v>
      </c>
      <c r="G4" s="5">
        <v>24.56</v>
      </c>
      <c r="H4" s="5">
        <v>25.86</v>
      </c>
      <c r="I4" s="5">
        <v>29.16</v>
      </c>
      <c r="J4" s="5">
        <v>24.59</v>
      </c>
      <c r="K4" s="5">
        <v>22.25</v>
      </c>
      <c r="L4" s="5">
        <v>25.9</v>
      </c>
      <c r="M4" s="5">
        <v>27.2</v>
      </c>
      <c r="N4" s="5">
        <v>25.61</v>
      </c>
      <c r="O4" s="5">
        <v>25.45</v>
      </c>
      <c r="P4" s="5">
        <v>26.56</v>
      </c>
      <c r="Q4" s="5">
        <v>21.03</v>
      </c>
      <c r="R4" s="5">
        <v>21.46</v>
      </c>
    </row>
    <row r="5" spans="1:18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78"/>
      <c r="B6" s="113" t="s">
        <v>76</v>
      </c>
      <c r="C6" s="113"/>
      <c r="D6" s="113"/>
      <c r="E6" s="113"/>
    </row>
    <row r="7" spans="1:18" x14ac:dyDescent="0.2">
      <c r="B7" s="7" t="s">
        <v>77</v>
      </c>
      <c r="C7" s="7" t="s">
        <v>78</v>
      </c>
      <c r="D7" s="7"/>
      <c r="E7" s="7" t="s">
        <v>79</v>
      </c>
    </row>
    <row r="8" spans="1:18" x14ac:dyDescent="0.2">
      <c r="B8" s="5">
        <v>1</v>
      </c>
      <c r="C8" s="5">
        <f>(B4+C4)/2</f>
        <v>10.07</v>
      </c>
      <c r="D8" s="5">
        <f>(B4-C8)^2+(C4-C8)^2</f>
        <v>1.1857999999999986</v>
      </c>
      <c r="E8" s="5">
        <f>COUNT(B3:C3)-1</f>
        <v>1</v>
      </c>
      <c r="J8" s="119" t="s">
        <v>80</v>
      </c>
      <c r="K8" s="119"/>
      <c r="L8" s="119"/>
      <c r="M8" s="119"/>
      <c r="N8" s="119"/>
      <c r="O8" s="119"/>
    </row>
    <row r="9" spans="1:18" x14ac:dyDescent="0.2">
      <c r="B9" s="5">
        <v>3.3</v>
      </c>
      <c r="C9" s="5">
        <f>(E4+F4)/2</f>
        <v>23.615000000000002</v>
      </c>
      <c r="D9" s="5">
        <f>(E4-C9)^2 + (F4-C9)^2</f>
        <v>1.0804500000000035</v>
      </c>
      <c r="E9" s="5">
        <f>COUNT(E3:F3)-1</f>
        <v>1</v>
      </c>
      <c r="J9" s="167" t="s">
        <v>81</v>
      </c>
      <c r="K9" s="167"/>
      <c r="L9" s="167" t="s">
        <v>82</v>
      </c>
      <c r="M9" s="167"/>
      <c r="N9" s="167" t="s">
        <v>24</v>
      </c>
      <c r="O9" s="167"/>
    </row>
    <row r="10" spans="1:18" x14ac:dyDescent="0.2">
      <c r="B10" s="5">
        <v>4</v>
      </c>
      <c r="C10" s="5">
        <f>AVERAGE(G4:I4)</f>
        <v>26.526666666666667</v>
      </c>
      <c r="D10" s="5">
        <f>(G4-C10)^2 + (H4-C10)^2 + (I4-C10)^2</f>
        <v>11.246666666666673</v>
      </c>
      <c r="E10" s="5">
        <f>COUNT(G3:H3:I3)-1</f>
        <v>2</v>
      </c>
      <c r="J10" s="113"/>
      <c r="K10" s="113"/>
      <c r="L10" s="113"/>
      <c r="M10" s="113"/>
      <c r="N10" s="113"/>
      <c r="O10" s="113"/>
    </row>
    <row r="11" spans="1:18" x14ac:dyDescent="0.2">
      <c r="B11" s="5">
        <v>5.6</v>
      </c>
      <c r="C11" s="5">
        <f>AVERAGE(L4:N4)</f>
        <v>26.236666666666665</v>
      </c>
      <c r="D11" s="5">
        <f>(L4-C11)^2+(M4-C11)^2+(N4-C11)^2</f>
        <v>1.434066666666667</v>
      </c>
      <c r="E11" s="5">
        <f>COUNT(L3:M3:N3)-1</f>
        <v>2</v>
      </c>
      <c r="J11" s="113"/>
      <c r="K11" s="113"/>
      <c r="L11" s="113"/>
      <c r="M11" s="113"/>
      <c r="N11" s="113"/>
      <c r="O11" s="113"/>
    </row>
    <row r="12" spans="1:18" x14ac:dyDescent="0.2">
      <c r="B12" s="5">
        <v>6</v>
      </c>
      <c r="C12" s="5">
        <f>AVERAGE(O4:P4)</f>
        <v>26.004999999999999</v>
      </c>
      <c r="D12" s="5">
        <f>(O4-C12)^2 + (P4-C12)^2</f>
        <v>0.61604999999999932</v>
      </c>
      <c r="E12" s="5">
        <f>COUNT(O3:P3)-1</f>
        <v>1</v>
      </c>
      <c r="J12" s="113"/>
      <c r="K12" s="113"/>
      <c r="L12" s="113"/>
      <c r="M12" s="113"/>
      <c r="N12" s="113"/>
      <c r="O12" s="113"/>
    </row>
    <row r="13" spans="1:18" x14ac:dyDescent="0.2">
      <c r="B13" s="5" t="s">
        <v>83</v>
      </c>
      <c r="C13" s="44">
        <f>SUM(C8:C12)</f>
        <v>112.45333333333333</v>
      </c>
      <c r="D13" s="44">
        <f>SUM(D8:D12)</f>
        <v>15.563033333333342</v>
      </c>
      <c r="E13" s="44">
        <f>SUM(E8:E12)</f>
        <v>7</v>
      </c>
      <c r="J13" s="167" t="s">
        <v>84</v>
      </c>
      <c r="K13" s="167"/>
      <c r="L13" s="167" t="s">
        <v>85</v>
      </c>
      <c r="M13" s="167"/>
      <c r="N13" s="167" t="s">
        <v>86</v>
      </c>
      <c r="O13" s="167"/>
    </row>
    <row r="14" spans="1:18" x14ac:dyDescent="0.2">
      <c r="J14" s="113"/>
      <c r="K14" s="113"/>
      <c r="L14" s="113"/>
      <c r="M14" s="113"/>
      <c r="N14" s="113"/>
      <c r="O14" s="113"/>
    </row>
    <row r="15" spans="1:18" x14ac:dyDescent="0.2">
      <c r="A15" s="8" t="s">
        <v>24</v>
      </c>
      <c r="B15" s="5">
        <v>250.13383018257051</v>
      </c>
      <c r="D15" s="8" t="s">
        <v>26</v>
      </c>
      <c r="E15" s="5">
        <v>237.47876981742948</v>
      </c>
      <c r="G15" s="8" t="s">
        <v>87</v>
      </c>
      <c r="H15" s="5">
        <f>COUNT(B3:R3)</f>
        <v>17</v>
      </c>
      <c r="J15" s="113"/>
      <c r="K15" s="113"/>
      <c r="L15" s="113"/>
      <c r="M15" s="113"/>
      <c r="N15" s="113"/>
      <c r="O15" s="113"/>
    </row>
    <row r="16" spans="1:18" x14ac:dyDescent="0.2">
      <c r="A16" s="8" t="s">
        <v>81</v>
      </c>
      <c r="B16" s="5">
        <f>D13</f>
        <v>15.563033333333342</v>
      </c>
      <c r="D16" s="8" t="s">
        <v>25</v>
      </c>
      <c r="E16" s="5">
        <v>16.675588678838032</v>
      </c>
      <c r="G16" s="8" t="s">
        <v>88</v>
      </c>
      <c r="H16" s="5" cm="1">
        <f t="array" ref="H16">(SUM(1/COUNTIF(B3:C3,B3:C3))+COUNT(D3)+SUM(1/COUNTIF(E3:F3,E3:F3))+SUM(1/COUNTIF(G3:I3,G3:I3))+COUNT(J3)+COUNT(K3)+SUM(1/COUNTIF(L3:N3,L3:N3))+SUM(1/COUNTIF(O3:P3,O3:P3))+COUNT(Q3)+COUNT(R3))</f>
        <v>10</v>
      </c>
      <c r="J16" s="113"/>
      <c r="K16" s="113"/>
      <c r="L16" s="113"/>
      <c r="M16" s="113"/>
      <c r="N16" s="113"/>
      <c r="O16" s="113"/>
    </row>
    <row r="17" spans="1:10" x14ac:dyDescent="0.2">
      <c r="A17" s="8" t="s">
        <v>82</v>
      </c>
      <c r="B17" s="5">
        <f>B15-B16</f>
        <v>234.57079684923715</v>
      </c>
      <c r="D17" s="8" t="s">
        <v>27</v>
      </c>
      <c r="E17" s="5">
        <v>237.47876981742948</v>
      </c>
      <c r="G17" s="8" t="s">
        <v>89</v>
      </c>
      <c r="H17" s="5">
        <f>B17/(10-2)</f>
        <v>29.321349606154644</v>
      </c>
    </row>
    <row r="18" spans="1:10" x14ac:dyDescent="0.2">
      <c r="A18" s="1"/>
      <c r="B18" s="1"/>
      <c r="D18" s="1"/>
      <c r="E18" s="1"/>
      <c r="G18" s="8" t="s">
        <v>90</v>
      </c>
      <c r="H18" s="5">
        <f>B16/(H15-H16)</f>
        <v>2.2232904761904773</v>
      </c>
    </row>
    <row r="19" spans="1:10" x14ac:dyDescent="0.2">
      <c r="A19" s="165" t="s">
        <v>91</v>
      </c>
      <c r="B19" s="165"/>
      <c r="C19" s="165"/>
      <c r="D19" s="165"/>
      <c r="E19" s="165"/>
    </row>
    <row r="20" spans="1:10" ht="28.5" customHeight="1" x14ac:dyDescent="0.2">
      <c r="A20" s="168" t="s">
        <v>92</v>
      </c>
      <c r="B20" s="168"/>
      <c r="C20" s="168"/>
      <c r="D20" s="168"/>
      <c r="E20" s="168"/>
      <c r="F20" s="12"/>
    </row>
    <row r="21" spans="1:10" ht="32" x14ac:dyDescent="0.2">
      <c r="A21" s="79" t="s">
        <v>93</v>
      </c>
      <c r="B21" s="79" t="s">
        <v>94</v>
      </c>
      <c r="C21" s="79" t="s">
        <v>95</v>
      </c>
      <c r="D21" s="79" t="s">
        <v>96</v>
      </c>
      <c r="E21" s="5" t="s">
        <v>86</v>
      </c>
    </row>
    <row r="22" spans="1:10" ht="16" x14ac:dyDescent="0.2">
      <c r="A22" s="79" t="s">
        <v>97</v>
      </c>
      <c r="B22" s="5">
        <f>E15</f>
        <v>237.47876981742948</v>
      </c>
      <c r="C22" s="5">
        <v>1</v>
      </c>
      <c r="D22" s="5">
        <f>E17</f>
        <v>237.47876981742948</v>
      </c>
      <c r="E22" s="166">
        <f>D24/D25</f>
        <v>13.18826753416209</v>
      </c>
    </row>
    <row r="23" spans="1:10" x14ac:dyDescent="0.2">
      <c r="A23" s="5" t="s">
        <v>22</v>
      </c>
      <c r="B23" s="5">
        <f>B15</f>
        <v>250.13383018257051</v>
      </c>
      <c r="C23" s="5">
        <f>17-2</f>
        <v>15</v>
      </c>
      <c r="D23" s="5">
        <f>E16</f>
        <v>16.675588678838032</v>
      </c>
      <c r="E23" s="166"/>
    </row>
    <row r="24" spans="1:10" x14ac:dyDescent="0.2">
      <c r="A24" s="5" t="s">
        <v>98</v>
      </c>
      <c r="B24" s="5">
        <f>B17</f>
        <v>234.57079684923715</v>
      </c>
      <c r="C24" s="5" cm="1">
        <f t="array" ref="C24">(SUM(1/COUNTIF(B3:C3,B3:C3))+COUNT(D3)+SUM(1/COUNTIF(E3:F3,E3:F3))+SUM(1/COUNTIF(G3:I3,G3:I3))+COUNT(J3)+COUNT(K3)+SUM(1/COUNTIF(L3:N3,L3:N3))+SUM(1/COUNTIF(O3:P3,O3:P3))+COUNT(Q3)+COUNT(R3))-2</f>
        <v>8</v>
      </c>
      <c r="D24" s="5">
        <v>29.321349606154644</v>
      </c>
      <c r="E24" s="166"/>
    </row>
    <row r="25" spans="1:10" x14ac:dyDescent="0.2">
      <c r="A25" s="5" t="s">
        <v>99</v>
      </c>
      <c r="B25" s="5">
        <f>D13</f>
        <v>15.563033333333342</v>
      </c>
      <c r="C25" s="5">
        <f>SUM(E8:E12)</f>
        <v>7</v>
      </c>
      <c r="D25" s="5">
        <v>2.2232904761904773</v>
      </c>
      <c r="E25" s="166"/>
    </row>
    <row r="26" spans="1:10" x14ac:dyDescent="0.2">
      <c r="A26" s="5" t="s">
        <v>100</v>
      </c>
      <c r="B26" s="44">
        <f>SUM(B22,B23)</f>
        <v>487.61259999999999</v>
      </c>
      <c r="C26" s="44">
        <f>SUM(C22:C23)</f>
        <v>16</v>
      </c>
      <c r="D26" s="44" t="s">
        <v>101</v>
      </c>
      <c r="E26" s="166"/>
    </row>
    <row r="27" spans="1:10" x14ac:dyDescent="0.2">
      <c r="A27" s="1"/>
    </row>
    <row r="30" spans="1:10" x14ac:dyDescent="0.2">
      <c r="A30" s="171" t="s">
        <v>72</v>
      </c>
      <c r="B30" s="171"/>
      <c r="C30" s="171"/>
      <c r="D30" s="171"/>
      <c r="E30" s="171"/>
      <c r="F30" s="171"/>
      <c r="G30" s="171"/>
      <c r="H30" s="171"/>
      <c r="I30" s="80"/>
      <c r="J30" s="80"/>
    </row>
    <row r="31" spans="1:10" x14ac:dyDescent="0.2">
      <c r="A31" s="169" t="s">
        <v>102</v>
      </c>
      <c r="B31" s="169"/>
      <c r="C31" s="169"/>
      <c r="D31" s="169"/>
      <c r="E31" s="169" t="s">
        <v>103</v>
      </c>
      <c r="F31" s="169"/>
      <c r="G31" s="169"/>
      <c r="H31" s="169"/>
    </row>
    <row r="32" spans="1:10" x14ac:dyDescent="0.2">
      <c r="A32" s="170"/>
      <c r="B32" s="170"/>
      <c r="C32" s="170"/>
      <c r="D32" s="170"/>
      <c r="E32" s="113"/>
      <c r="F32" s="113"/>
      <c r="G32" s="113"/>
      <c r="H32" s="113"/>
    </row>
    <row r="33" spans="1:8" x14ac:dyDescent="0.2">
      <c r="A33" s="170"/>
      <c r="B33" s="170"/>
      <c r="C33" s="170"/>
      <c r="D33" s="170"/>
      <c r="E33" s="113"/>
      <c r="F33" s="113"/>
      <c r="G33" s="113"/>
      <c r="H33" s="113"/>
    </row>
    <row r="34" spans="1:8" x14ac:dyDescent="0.2">
      <c r="A34" s="170"/>
      <c r="B34" s="170"/>
      <c r="C34" s="170"/>
      <c r="D34" s="170"/>
      <c r="E34" s="113"/>
      <c r="F34" s="113"/>
      <c r="G34" s="113"/>
      <c r="H34" s="113"/>
    </row>
    <row r="35" spans="1:8" x14ac:dyDescent="0.2">
      <c r="A35" s="170"/>
      <c r="B35" s="170"/>
      <c r="C35" s="170"/>
      <c r="D35" s="170"/>
      <c r="E35" s="113"/>
      <c r="F35" s="113"/>
      <c r="G35" s="113"/>
      <c r="H35" s="113"/>
    </row>
    <row r="36" spans="1:8" x14ac:dyDescent="0.2">
      <c r="A36" s="170"/>
      <c r="B36" s="170"/>
      <c r="C36" s="170"/>
      <c r="D36" s="170"/>
      <c r="E36" s="113"/>
      <c r="F36" s="113"/>
      <c r="G36" s="113"/>
      <c r="H36" s="113"/>
    </row>
    <row r="37" spans="1:8" x14ac:dyDescent="0.2">
      <c r="A37" s="170"/>
      <c r="B37" s="170"/>
      <c r="C37" s="170"/>
      <c r="D37" s="170"/>
      <c r="E37" s="113"/>
      <c r="F37" s="113"/>
      <c r="G37" s="113"/>
      <c r="H37" s="113"/>
    </row>
    <row r="38" spans="1:8" x14ac:dyDescent="0.2">
      <c r="A38" s="170"/>
      <c r="B38" s="170"/>
      <c r="C38" s="170"/>
      <c r="D38" s="170"/>
      <c r="E38" s="113"/>
      <c r="F38" s="113"/>
      <c r="G38" s="113"/>
      <c r="H38" s="113"/>
    </row>
    <row r="39" spans="1:8" x14ac:dyDescent="0.2">
      <c r="A39" s="170"/>
      <c r="B39" s="170"/>
      <c r="C39" s="170"/>
      <c r="D39" s="170"/>
      <c r="E39" s="113"/>
      <c r="F39" s="113"/>
      <c r="G39" s="113"/>
      <c r="H39" s="113"/>
    </row>
    <row r="40" spans="1:8" x14ac:dyDescent="0.2">
      <c r="A40" s="170"/>
      <c r="B40" s="170"/>
      <c r="C40" s="170"/>
      <c r="D40" s="170"/>
      <c r="E40" s="113"/>
      <c r="F40" s="113"/>
      <c r="G40" s="113"/>
      <c r="H40" s="113"/>
    </row>
    <row r="41" spans="1:8" x14ac:dyDescent="0.2">
      <c r="A41" s="169" t="s">
        <v>104</v>
      </c>
      <c r="B41" s="169"/>
      <c r="C41" s="169"/>
      <c r="D41" s="169"/>
      <c r="E41" s="169" t="s">
        <v>105</v>
      </c>
      <c r="F41" s="169"/>
      <c r="G41" s="169"/>
      <c r="H41" s="169"/>
    </row>
    <row r="42" spans="1:8" x14ac:dyDescent="0.2">
      <c r="A42" s="113"/>
      <c r="B42" s="113"/>
      <c r="C42" s="113"/>
      <c r="D42" s="113"/>
      <c r="E42" s="113"/>
      <c r="F42" s="113"/>
      <c r="G42" s="113"/>
      <c r="H42" s="113"/>
    </row>
    <row r="43" spans="1:8" x14ac:dyDescent="0.2">
      <c r="A43" s="113"/>
      <c r="B43" s="113"/>
      <c r="C43" s="113"/>
      <c r="D43" s="113"/>
      <c r="E43" s="113"/>
      <c r="F43" s="113"/>
      <c r="G43" s="113"/>
      <c r="H43" s="113"/>
    </row>
    <row r="44" spans="1:8" x14ac:dyDescent="0.2">
      <c r="A44" s="113"/>
      <c r="B44" s="113"/>
      <c r="C44" s="113"/>
      <c r="D44" s="113"/>
      <c r="E44" s="113"/>
      <c r="F44" s="113"/>
      <c r="G44" s="113"/>
      <c r="H44" s="113"/>
    </row>
    <row r="45" spans="1:8" x14ac:dyDescent="0.2">
      <c r="A45" s="113"/>
      <c r="B45" s="113"/>
      <c r="C45" s="113"/>
      <c r="D45" s="113"/>
      <c r="E45" s="113"/>
      <c r="F45" s="113"/>
      <c r="G45" s="113"/>
      <c r="H45" s="113"/>
    </row>
    <row r="46" spans="1:8" x14ac:dyDescent="0.2">
      <c r="A46" s="113"/>
      <c r="B46" s="113"/>
      <c r="C46" s="113"/>
      <c r="D46" s="113"/>
      <c r="E46" s="113"/>
      <c r="F46" s="113"/>
      <c r="G46" s="113"/>
      <c r="H46" s="113"/>
    </row>
    <row r="47" spans="1:8" x14ac:dyDescent="0.2">
      <c r="A47" s="113"/>
      <c r="B47" s="113"/>
      <c r="C47" s="113"/>
      <c r="D47" s="113"/>
      <c r="E47" s="113"/>
      <c r="F47" s="113"/>
      <c r="G47" s="113"/>
      <c r="H47" s="113"/>
    </row>
    <row r="48" spans="1:8" x14ac:dyDescent="0.2">
      <c r="A48" s="113"/>
      <c r="B48" s="113"/>
      <c r="C48" s="113"/>
      <c r="D48" s="113"/>
      <c r="E48" s="113"/>
      <c r="F48" s="113"/>
      <c r="G48" s="113"/>
      <c r="H48" s="113"/>
    </row>
    <row r="49" spans="1:8" x14ac:dyDescent="0.2">
      <c r="A49" s="113"/>
      <c r="B49" s="113"/>
      <c r="C49" s="113"/>
      <c r="D49" s="113"/>
      <c r="E49" s="113"/>
      <c r="F49" s="113"/>
      <c r="G49" s="113"/>
      <c r="H49" s="113"/>
    </row>
    <row r="50" spans="1:8" x14ac:dyDescent="0.2">
      <c r="A50" s="113"/>
      <c r="B50" s="113"/>
      <c r="C50" s="113"/>
      <c r="D50" s="113"/>
      <c r="E50" s="113"/>
      <c r="F50" s="113"/>
      <c r="G50" s="113"/>
      <c r="H50" s="113"/>
    </row>
  </sheetData>
  <mergeCells count="27">
    <mergeCell ref="E41:H41"/>
    <mergeCell ref="A30:H30"/>
    <mergeCell ref="A42:D50"/>
    <mergeCell ref="E42:H50"/>
    <mergeCell ref="J9:K9"/>
    <mergeCell ref="J14:K16"/>
    <mergeCell ref="A41:D41"/>
    <mergeCell ref="A31:D31"/>
    <mergeCell ref="E31:H31"/>
    <mergeCell ref="A32:D40"/>
    <mergeCell ref="E32:H40"/>
    <mergeCell ref="L9:M9"/>
    <mergeCell ref="J13:K13"/>
    <mergeCell ref="L13:M13"/>
    <mergeCell ref="J10:K12"/>
    <mergeCell ref="L10:M12"/>
    <mergeCell ref="D1:G1"/>
    <mergeCell ref="E22:E26"/>
    <mergeCell ref="N9:O9"/>
    <mergeCell ref="N10:O12"/>
    <mergeCell ref="N14:O16"/>
    <mergeCell ref="N13:O13"/>
    <mergeCell ref="J8:O8"/>
    <mergeCell ref="B6:E6"/>
    <mergeCell ref="A19:E19"/>
    <mergeCell ref="A20:E20"/>
    <mergeCell ref="L14:M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BF0D-A215-4EE1-9200-651BDBFBCD7E}">
  <dimension ref="A1:S67"/>
  <sheetViews>
    <sheetView zoomScale="92" workbookViewId="0">
      <selection activeCell="A71" sqref="A71"/>
    </sheetView>
  </sheetViews>
  <sheetFormatPr baseColWidth="10" defaultColWidth="8.83203125" defaultRowHeight="15" x14ac:dyDescent="0.2"/>
  <cols>
    <col min="4" max="4" width="10.5" customWidth="1"/>
    <col min="5" max="5" width="18" customWidth="1"/>
    <col min="6" max="6" width="12" customWidth="1"/>
    <col min="7" max="7" width="20.5" customWidth="1"/>
    <col min="11" max="11" width="10.5" customWidth="1"/>
    <col min="12" max="12" width="20.83203125" customWidth="1"/>
    <col min="13" max="13" width="17.1640625" customWidth="1"/>
  </cols>
  <sheetData>
    <row r="1" spans="1:16" ht="16" thickBot="1" x14ac:dyDescent="0.25"/>
    <row r="2" spans="1:16" ht="16" thickBot="1" x14ac:dyDescent="0.25">
      <c r="C2" s="15"/>
      <c r="D2" s="15"/>
      <c r="E2" s="174" t="s">
        <v>106</v>
      </c>
      <c r="F2" s="175"/>
      <c r="G2" s="175"/>
      <c r="H2" s="176"/>
    </row>
    <row r="3" spans="1:16" ht="16" thickBot="1" x14ac:dyDescent="0.25">
      <c r="C3" s="15"/>
      <c r="D3" s="15"/>
      <c r="E3" s="177"/>
      <c r="F3" s="178"/>
      <c r="G3" s="178"/>
      <c r="H3" s="179"/>
    </row>
    <row r="5" spans="1:16" ht="29" customHeight="1" x14ac:dyDescent="0.2">
      <c r="A5" s="24" t="s">
        <v>9</v>
      </c>
      <c r="B5" s="24" t="s">
        <v>10</v>
      </c>
      <c r="C5" s="24" t="s">
        <v>11</v>
      </c>
      <c r="D5" s="24" t="s">
        <v>14</v>
      </c>
      <c r="E5" s="81" t="s">
        <v>107</v>
      </c>
      <c r="F5" s="36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5">
        <v>1</v>
      </c>
      <c r="B6" s="5">
        <v>1</v>
      </c>
      <c r="C6" s="5">
        <v>10.84</v>
      </c>
      <c r="D6" s="5">
        <v>-4.5042710675420423</v>
      </c>
      <c r="E6" s="5">
        <f t="shared" ref="E6:E22" si="0">D6/SQRT($B$27)</f>
        <v>-1.1030213822607888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5">
        <v>2</v>
      </c>
      <c r="B7" s="5">
        <v>1</v>
      </c>
      <c r="C7" s="5">
        <v>9.3000000000000007</v>
      </c>
      <c r="D7" s="5">
        <v>-6.0442710675420415</v>
      </c>
      <c r="E7" s="5">
        <f t="shared" si="0"/>
        <v>-1.4801418759455882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5">
        <v>3</v>
      </c>
      <c r="B8" s="5">
        <v>2</v>
      </c>
      <c r="C8" s="5">
        <v>16.350000000000001</v>
      </c>
      <c r="D8" s="5">
        <v>-1.1246604910513511</v>
      </c>
      <c r="E8" s="5">
        <f t="shared" si="0"/>
        <v>-0.27541072702147712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5">
        <v>4</v>
      </c>
      <c r="B9" s="5">
        <v>3.3</v>
      </c>
      <c r="C9" s="5">
        <v>22.88</v>
      </c>
      <c r="D9" s="5">
        <v>2.6358332583865476</v>
      </c>
      <c r="E9" s="5">
        <f t="shared" si="0"/>
        <v>0.64547190887892791</v>
      </c>
      <c r="F9" s="1"/>
      <c r="G9" s="181" t="s">
        <v>108</v>
      </c>
      <c r="H9" s="181"/>
      <c r="I9" s="181"/>
      <c r="J9" s="181"/>
      <c r="K9" s="1"/>
      <c r="L9" s="1"/>
      <c r="M9" s="1"/>
      <c r="N9" s="1"/>
      <c r="O9" s="1"/>
      <c r="P9" s="1"/>
    </row>
    <row r="10" spans="1:16" x14ac:dyDescent="0.2">
      <c r="A10" s="5">
        <v>5</v>
      </c>
      <c r="B10" s="5">
        <v>3.3</v>
      </c>
      <c r="C10" s="5">
        <v>24.35</v>
      </c>
      <c r="D10" s="5">
        <v>4.10583325838655</v>
      </c>
      <c r="E10" s="5">
        <f t="shared" si="0"/>
        <v>1.0054505619416918</v>
      </c>
      <c r="F10" s="1"/>
      <c r="G10" s="113"/>
      <c r="H10" s="113"/>
      <c r="I10" s="113"/>
      <c r="J10" s="113"/>
      <c r="K10" s="1"/>
      <c r="L10" s="1"/>
      <c r="M10" s="1"/>
      <c r="N10" s="1"/>
      <c r="O10" s="1"/>
      <c r="P10" s="1"/>
    </row>
    <row r="11" spans="1:16" x14ac:dyDescent="0.2">
      <c r="A11" s="5">
        <v>6</v>
      </c>
      <c r="B11" s="5">
        <v>4</v>
      </c>
      <c r="C11" s="5">
        <v>24.56</v>
      </c>
      <c r="D11" s="5">
        <v>2.8245606619300299</v>
      </c>
      <c r="E11" s="5">
        <f t="shared" si="0"/>
        <v>0.69168812420111525</v>
      </c>
      <c r="F11" s="1"/>
      <c r="G11" s="113"/>
      <c r="H11" s="113"/>
      <c r="I11" s="113"/>
      <c r="J11" s="113"/>
      <c r="K11" s="1"/>
      <c r="L11" s="1"/>
      <c r="M11" s="1"/>
      <c r="N11" s="1"/>
      <c r="O11" s="1"/>
      <c r="P11" s="1"/>
    </row>
    <row r="12" spans="1:16" x14ac:dyDescent="0.2">
      <c r="A12" s="5">
        <v>7</v>
      </c>
      <c r="B12" s="5">
        <v>4</v>
      </c>
      <c r="C12" s="5">
        <v>25.86</v>
      </c>
      <c r="D12" s="5">
        <v>4.1245606619300332</v>
      </c>
      <c r="E12" s="5">
        <f t="shared" si="0"/>
        <v>1.0100365928960768</v>
      </c>
      <c r="F12" s="1"/>
      <c r="G12" s="113"/>
      <c r="H12" s="113"/>
      <c r="I12" s="113"/>
      <c r="J12" s="113"/>
      <c r="K12" s="1"/>
      <c r="L12" s="1"/>
      <c r="M12" s="1"/>
      <c r="N12" s="1"/>
      <c r="O12" s="1"/>
      <c r="P12" s="1"/>
    </row>
    <row r="13" spans="1:16" x14ac:dyDescent="0.2">
      <c r="A13" s="22">
        <v>8</v>
      </c>
      <c r="B13" s="5">
        <v>4</v>
      </c>
      <c r="C13" s="5">
        <v>29.16</v>
      </c>
      <c r="D13" s="22">
        <v>7.4245606619300339</v>
      </c>
      <c r="E13" s="22">
        <f t="shared" si="0"/>
        <v>1.8181519365063619</v>
      </c>
      <c r="F13" s="1"/>
      <c r="G13" s="113"/>
      <c r="H13" s="113"/>
      <c r="I13" s="113"/>
      <c r="J13" s="113"/>
      <c r="K13" s="1"/>
      <c r="L13" s="1"/>
      <c r="M13" s="1"/>
      <c r="N13" s="1"/>
      <c r="O13" s="1"/>
      <c r="P13" s="1"/>
    </row>
    <row r="14" spans="1:16" x14ac:dyDescent="0.2">
      <c r="A14" s="5">
        <v>9</v>
      </c>
      <c r="B14" s="5">
        <v>4.7</v>
      </c>
      <c r="C14" s="5">
        <v>24.59</v>
      </c>
      <c r="D14" s="5">
        <v>1.3632880654735153</v>
      </c>
      <c r="E14" s="5">
        <f t="shared" si="0"/>
        <v>0.33384666771816079</v>
      </c>
      <c r="F14" s="1"/>
      <c r="G14" s="113"/>
      <c r="H14" s="113"/>
      <c r="I14" s="113"/>
      <c r="J14" s="113"/>
      <c r="K14" s="1"/>
      <c r="L14" s="1"/>
      <c r="M14" s="1"/>
      <c r="N14" s="1"/>
      <c r="O14" s="1"/>
      <c r="P14" s="1"/>
    </row>
    <row r="15" spans="1:16" x14ac:dyDescent="0.2">
      <c r="A15" s="5">
        <v>10</v>
      </c>
      <c r="B15" s="5">
        <v>5</v>
      </c>
      <c r="C15" s="5">
        <v>22.25</v>
      </c>
      <c r="D15" s="5">
        <v>-1.615828761579273</v>
      </c>
      <c r="E15" s="5">
        <f t="shared" si="0"/>
        <v>-0.39568970147848953</v>
      </c>
      <c r="F15" s="1"/>
      <c r="G15" s="113"/>
      <c r="H15" s="113"/>
      <c r="I15" s="113"/>
      <c r="J15" s="113"/>
      <c r="K15" s="1"/>
      <c r="L15" s="1"/>
      <c r="M15" s="1"/>
      <c r="N15" s="1"/>
      <c r="O15" s="1"/>
      <c r="P15" s="1"/>
    </row>
    <row r="16" spans="1:16" x14ac:dyDescent="0.2">
      <c r="A16" s="5">
        <v>11</v>
      </c>
      <c r="B16" s="5">
        <v>5.6</v>
      </c>
      <c r="C16" s="5">
        <v>25.9</v>
      </c>
      <c r="D16" s="5">
        <v>0.75593758431514146</v>
      </c>
      <c r="E16" s="5">
        <f t="shared" si="0"/>
        <v>0.18511659415053314</v>
      </c>
      <c r="F16" s="1"/>
      <c r="G16" s="113"/>
      <c r="H16" s="113"/>
      <c r="I16" s="113"/>
      <c r="J16" s="113"/>
      <c r="K16" s="1"/>
      <c r="L16" s="1"/>
      <c r="M16" s="1"/>
      <c r="N16" s="1"/>
      <c r="O16" s="1"/>
      <c r="P16" s="1"/>
    </row>
    <row r="17" spans="1:17" x14ac:dyDescent="0.2">
      <c r="A17" s="5">
        <v>12</v>
      </c>
      <c r="B17" s="5">
        <v>5.6</v>
      </c>
      <c r="C17" s="5">
        <v>27.2</v>
      </c>
      <c r="D17" s="5">
        <v>2.0559375843151422</v>
      </c>
      <c r="E17" s="5">
        <f t="shared" si="0"/>
        <v>0.50346506284549408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7" x14ac:dyDescent="0.2">
      <c r="A18" s="5">
        <v>13</v>
      </c>
      <c r="B18" s="5">
        <v>5.6</v>
      </c>
      <c r="C18" s="5">
        <v>25.61</v>
      </c>
      <c r="D18" s="5">
        <v>0.46593758431514232</v>
      </c>
      <c r="E18" s="5">
        <f t="shared" si="0"/>
        <v>0.11410039728781132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7" x14ac:dyDescent="0.2">
      <c r="A19" s="5">
        <v>14</v>
      </c>
      <c r="B19" s="5">
        <v>6</v>
      </c>
      <c r="C19" s="5">
        <v>25.45</v>
      </c>
      <c r="D19" s="5">
        <v>-0.54621818508858055</v>
      </c>
      <c r="E19" s="5">
        <f t="shared" si="0"/>
        <v>-0.13375978676637712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7" x14ac:dyDescent="0.2">
      <c r="A20" s="5">
        <v>15</v>
      </c>
      <c r="B20" s="5">
        <v>6</v>
      </c>
      <c r="C20" s="5">
        <v>26.56</v>
      </c>
      <c r="D20" s="5">
        <v>0.56378181491141888</v>
      </c>
      <c r="E20" s="5">
        <f t="shared" si="0"/>
        <v>0.13806082881162768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7" x14ac:dyDescent="0.2">
      <c r="A21" s="5">
        <v>16</v>
      </c>
      <c r="B21" s="5">
        <v>6.5</v>
      </c>
      <c r="C21" s="5">
        <v>21.03</v>
      </c>
      <c r="D21" s="5">
        <v>-6.0314128968432357</v>
      </c>
      <c r="E21" s="5">
        <f t="shared" si="0"/>
        <v>-1.4769931229054472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7" x14ac:dyDescent="0.2">
      <c r="A22" s="5">
        <v>17</v>
      </c>
      <c r="B22" s="5">
        <v>6.9</v>
      </c>
      <c r="C22" s="5">
        <v>21.46</v>
      </c>
      <c r="D22" s="5">
        <v>-6.4535686662469587</v>
      </c>
      <c r="E22" s="5">
        <f t="shared" si="0"/>
        <v>-1.5803720788596152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7" x14ac:dyDescent="0.2">
      <c r="A23" s="7" t="s">
        <v>28</v>
      </c>
      <c r="B23" s="44">
        <v>74.5</v>
      </c>
      <c r="C23" s="44">
        <v>383.34999999999997</v>
      </c>
      <c r="D23" s="44">
        <f>SUM(D6:D22)</f>
        <v>7.1054273576010019E-14</v>
      </c>
      <c r="E23" s="44">
        <f>SUM(E6:E22)</f>
        <v>1.6875389974302379E-14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7" x14ac:dyDescent="0.2">
      <c r="A24" s="7" t="s">
        <v>29</v>
      </c>
      <c r="B24" s="44">
        <v>4.382352941176471</v>
      </c>
      <c r="C24" s="44">
        <v>22.549999999999997</v>
      </c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7" x14ac:dyDescent="0.2">
      <c r="A25" s="1"/>
      <c r="B25" s="1"/>
    </row>
    <row r="26" spans="1:17" x14ac:dyDescent="0.2">
      <c r="A26" s="1"/>
      <c r="B26" s="1"/>
    </row>
    <row r="27" spans="1:17" x14ac:dyDescent="0.2">
      <c r="A27" s="20" t="s">
        <v>25</v>
      </c>
      <c r="B27" s="21">
        <v>16.675588678838032</v>
      </c>
    </row>
    <row r="29" spans="1:17" x14ac:dyDescent="0.2">
      <c r="A29" s="165" t="s">
        <v>109</v>
      </c>
      <c r="B29" s="165"/>
      <c r="C29" s="165"/>
      <c r="D29" s="165"/>
    </row>
    <row r="30" spans="1:17" ht="14.5" customHeight="1" x14ac:dyDescent="0.2">
      <c r="A30" s="180" t="s">
        <v>110</v>
      </c>
      <c r="B30" s="180"/>
      <c r="C30" s="180"/>
      <c r="D30" s="166">
        <f>D13/SQRT(B27)</f>
        <v>1.8181519365063619</v>
      </c>
      <c r="F30" s="172" t="s">
        <v>44</v>
      </c>
      <c r="G30" s="173"/>
      <c r="H30" s="166" t="s">
        <v>111</v>
      </c>
      <c r="I30" s="166"/>
      <c r="J30" s="166"/>
      <c r="K30" s="166"/>
      <c r="L30" s="166"/>
      <c r="M30" s="166"/>
      <c r="N30" s="166"/>
      <c r="O30" s="166"/>
      <c r="P30" s="166"/>
      <c r="Q30" s="166"/>
    </row>
    <row r="31" spans="1:17" x14ac:dyDescent="0.2">
      <c r="A31" s="180"/>
      <c r="B31" s="180"/>
      <c r="C31" s="180"/>
      <c r="D31" s="166"/>
      <c r="F31" s="172"/>
      <c r="G31" s="173"/>
      <c r="H31" s="166"/>
      <c r="I31" s="166"/>
      <c r="J31" s="166"/>
      <c r="K31" s="166"/>
      <c r="L31" s="166"/>
      <c r="M31" s="166"/>
      <c r="N31" s="166"/>
      <c r="O31" s="166"/>
      <c r="P31" s="166"/>
      <c r="Q31" s="166"/>
    </row>
    <row r="32" spans="1:17" x14ac:dyDescent="0.2">
      <c r="A32" s="180"/>
      <c r="B32" s="180"/>
      <c r="C32" s="180"/>
      <c r="D32" s="166"/>
      <c r="F32" s="172"/>
      <c r="G32" s="173"/>
      <c r="H32" s="166" t="s">
        <v>112</v>
      </c>
      <c r="I32" s="166"/>
      <c r="J32" s="166"/>
      <c r="K32" s="166"/>
      <c r="L32" s="166"/>
      <c r="M32" s="166"/>
      <c r="N32" s="166"/>
      <c r="O32" s="166"/>
      <c r="P32" s="166"/>
      <c r="Q32" s="166"/>
    </row>
    <row r="33" spans="1:17" ht="14.5" customHeight="1" x14ac:dyDescent="0.2">
      <c r="A33" s="180"/>
      <c r="B33" s="180"/>
      <c r="C33" s="180"/>
      <c r="D33" s="166"/>
      <c r="F33" s="172"/>
      <c r="G33" s="173"/>
      <c r="H33" s="166"/>
      <c r="I33" s="166"/>
      <c r="J33" s="166"/>
      <c r="K33" s="166"/>
      <c r="L33" s="166"/>
      <c r="M33" s="166"/>
      <c r="N33" s="166"/>
      <c r="O33" s="166"/>
      <c r="P33" s="166"/>
      <c r="Q33" s="166"/>
    </row>
    <row r="34" spans="1:17" ht="16" thickBot="1" x14ac:dyDescent="0.25"/>
    <row r="35" spans="1:17" ht="16" thickBot="1" x14ac:dyDescent="0.25">
      <c r="E35" s="174" t="s">
        <v>113</v>
      </c>
      <c r="F35" s="175"/>
      <c r="G35" s="175"/>
      <c r="H35" s="176"/>
    </row>
    <row r="36" spans="1:17" ht="16" thickBot="1" x14ac:dyDescent="0.25">
      <c r="E36" s="177"/>
      <c r="F36" s="178"/>
      <c r="G36" s="178"/>
      <c r="H36" s="179"/>
    </row>
    <row r="38" spans="1:17" x14ac:dyDescent="0.2">
      <c r="A38" s="24" t="s">
        <v>9</v>
      </c>
      <c r="B38" s="24" t="s">
        <v>10</v>
      </c>
      <c r="C38" s="25" t="s">
        <v>11</v>
      </c>
      <c r="D38" s="24" t="s">
        <v>16</v>
      </c>
      <c r="E38" s="24" t="s">
        <v>14</v>
      </c>
      <c r="F38" s="24" t="s">
        <v>114</v>
      </c>
      <c r="G38" s="24" t="s">
        <v>115</v>
      </c>
    </row>
    <row r="39" spans="1:17" x14ac:dyDescent="0.2">
      <c r="A39" s="27">
        <v>1</v>
      </c>
      <c r="B39" s="27">
        <v>1</v>
      </c>
      <c r="C39" s="28">
        <v>10.84</v>
      </c>
      <c r="D39" s="27">
        <v>11.440311418685123</v>
      </c>
      <c r="E39" s="27">
        <v>-4.5042710675420423</v>
      </c>
      <c r="F39" s="27">
        <f t="shared" ref="F39:F55" si="1">(B39-$B$57)^2</f>
        <v>11.440311418685123</v>
      </c>
      <c r="G39" s="27">
        <f t="shared" ref="G39:G55" si="2">E39/SQRT($B$60*(1-(1/$B$59+F39/$D$56)))</f>
        <v>-1.2976401109198668</v>
      </c>
    </row>
    <row r="40" spans="1:17" x14ac:dyDescent="0.2">
      <c r="A40" s="27">
        <v>2</v>
      </c>
      <c r="B40" s="27">
        <v>1</v>
      </c>
      <c r="C40" s="28">
        <v>9.3000000000000007</v>
      </c>
      <c r="D40" s="27">
        <v>11.440311418685123</v>
      </c>
      <c r="E40" s="27">
        <v>-6.0442710675420415</v>
      </c>
      <c r="F40" s="27">
        <f t="shared" si="1"/>
        <v>11.440311418685123</v>
      </c>
      <c r="G40" s="27">
        <f t="shared" si="2"/>
        <v>-1.7413003038458426</v>
      </c>
      <c r="I40" s="181" t="s">
        <v>116</v>
      </c>
      <c r="J40" s="181"/>
      <c r="K40" s="181"/>
      <c r="L40" s="181"/>
    </row>
    <row r="41" spans="1:17" x14ac:dyDescent="0.2">
      <c r="A41" s="27">
        <v>3</v>
      </c>
      <c r="B41" s="27">
        <v>2</v>
      </c>
      <c r="C41" s="28">
        <v>16.350000000000001</v>
      </c>
      <c r="D41" s="27">
        <v>5.6756055363321822</v>
      </c>
      <c r="E41" s="27">
        <v>-1.1246604910513511</v>
      </c>
      <c r="F41" s="27">
        <f t="shared" si="1"/>
        <v>5.6756055363321822</v>
      </c>
      <c r="G41" s="27">
        <f t="shared" si="2"/>
        <v>-0.30181068172390069</v>
      </c>
      <c r="I41" s="113"/>
      <c r="J41" s="113"/>
      <c r="K41" s="113"/>
      <c r="L41" s="113"/>
    </row>
    <row r="42" spans="1:17" x14ac:dyDescent="0.2">
      <c r="A42" s="27">
        <v>4</v>
      </c>
      <c r="B42" s="27">
        <v>3.3</v>
      </c>
      <c r="C42" s="28">
        <v>22.88</v>
      </c>
      <c r="D42" s="27">
        <v>1.1714878892733578</v>
      </c>
      <c r="E42" s="27">
        <v>2.6358332583865476</v>
      </c>
      <c r="F42" s="27">
        <f t="shared" si="1"/>
        <v>1.1714878892733578</v>
      </c>
      <c r="G42" s="27">
        <f t="shared" si="2"/>
        <v>0.67339481700674575</v>
      </c>
      <c r="I42" s="113"/>
      <c r="J42" s="113"/>
      <c r="K42" s="113"/>
      <c r="L42" s="113"/>
    </row>
    <row r="43" spans="1:17" x14ac:dyDescent="0.2">
      <c r="A43" s="27">
        <v>5</v>
      </c>
      <c r="B43" s="27">
        <v>3.3</v>
      </c>
      <c r="C43" s="28">
        <v>24.35</v>
      </c>
      <c r="D43" s="27">
        <v>1.1714878892733578</v>
      </c>
      <c r="E43" s="27">
        <v>4.10583325838655</v>
      </c>
      <c r="F43" s="27">
        <f t="shared" si="1"/>
        <v>1.1714878892733578</v>
      </c>
      <c r="G43" s="27">
        <f t="shared" si="2"/>
        <v>1.048946031352471</v>
      </c>
      <c r="I43" s="113"/>
      <c r="J43" s="113"/>
      <c r="K43" s="113"/>
      <c r="L43" s="113"/>
    </row>
    <row r="44" spans="1:17" x14ac:dyDescent="0.2">
      <c r="A44" s="27">
        <v>6</v>
      </c>
      <c r="B44" s="27">
        <v>4</v>
      </c>
      <c r="C44" s="28">
        <v>24.56</v>
      </c>
      <c r="D44" s="27">
        <v>0.1461937716262979</v>
      </c>
      <c r="E44" s="27">
        <v>2.8245606619300325</v>
      </c>
      <c r="F44" s="27">
        <f t="shared" si="1"/>
        <v>0.1461937716262979</v>
      </c>
      <c r="G44" s="27">
        <f t="shared" si="2"/>
        <v>0.71403642938509515</v>
      </c>
      <c r="I44" s="113"/>
      <c r="J44" s="113"/>
      <c r="K44" s="113"/>
      <c r="L44" s="113"/>
    </row>
    <row r="45" spans="1:17" x14ac:dyDescent="0.2">
      <c r="A45" s="27">
        <v>7</v>
      </c>
      <c r="B45" s="27">
        <v>4</v>
      </c>
      <c r="C45" s="28">
        <v>25.86</v>
      </c>
      <c r="D45" s="27">
        <v>0.1461937716262979</v>
      </c>
      <c r="E45" s="27">
        <v>4.1245606619300332</v>
      </c>
      <c r="F45" s="27">
        <f t="shared" si="1"/>
        <v>0.1461937716262979</v>
      </c>
      <c r="G45" s="27">
        <f t="shared" si="2"/>
        <v>1.0426706735391398</v>
      </c>
      <c r="I45" s="113"/>
      <c r="J45" s="113"/>
      <c r="K45" s="113"/>
      <c r="L45" s="113"/>
    </row>
    <row r="46" spans="1:17" x14ac:dyDescent="0.2">
      <c r="A46" s="30">
        <v>8</v>
      </c>
      <c r="B46" s="27">
        <v>4</v>
      </c>
      <c r="C46" s="28">
        <v>29.16</v>
      </c>
      <c r="D46" s="27">
        <v>0.1461937716262979</v>
      </c>
      <c r="E46" s="30">
        <v>7.4245606619300339</v>
      </c>
      <c r="F46" s="27">
        <f t="shared" si="1"/>
        <v>0.1461937716262979</v>
      </c>
      <c r="G46" s="30">
        <f t="shared" si="2"/>
        <v>1.8768960625455606</v>
      </c>
    </row>
    <row r="47" spans="1:17" x14ac:dyDescent="0.2">
      <c r="A47" s="27">
        <v>9</v>
      </c>
      <c r="B47" s="27">
        <v>4.7</v>
      </c>
      <c r="C47" s="28">
        <v>24.59</v>
      </c>
      <c r="D47" s="27">
        <v>0.1008996539792386</v>
      </c>
      <c r="E47" s="27">
        <v>1.3632880654735153</v>
      </c>
      <c r="F47" s="27">
        <f t="shared" si="1"/>
        <v>0.1008996539792386</v>
      </c>
      <c r="G47" s="27">
        <f t="shared" si="2"/>
        <v>0.34447433885102363</v>
      </c>
    </row>
    <row r="48" spans="1:17" x14ac:dyDescent="0.2">
      <c r="A48" s="27">
        <v>10</v>
      </c>
      <c r="B48" s="27">
        <v>5</v>
      </c>
      <c r="C48" s="28">
        <v>22.25</v>
      </c>
      <c r="D48" s="27">
        <v>0.38148788927335586</v>
      </c>
      <c r="E48" s="27">
        <v>-1.615828761579273</v>
      </c>
      <c r="F48" s="27">
        <f t="shared" si="1"/>
        <v>0.38148788927335586</v>
      </c>
      <c r="G48" s="27">
        <f t="shared" si="2"/>
        <v>-0.40945661002720968</v>
      </c>
    </row>
    <row r="49" spans="1:19" x14ac:dyDescent="0.2">
      <c r="A49" s="27">
        <v>11</v>
      </c>
      <c r="B49" s="27">
        <v>5.6</v>
      </c>
      <c r="C49" s="28">
        <v>25.9</v>
      </c>
      <c r="D49" s="27">
        <v>1.4826643598615898</v>
      </c>
      <c r="E49" s="27">
        <v>0.75593758431514146</v>
      </c>
      <c r="F49" s="27">
        <f t="shared" si="1"/>
        <v>1.4826643598615898</v>
      </c>
      <c r="G49" s="27">
        <f t="shared" si="2"/>
        <v>0.19375274744668891</v>
      </c>
    </row>
    <row r="50" spans="1:19" x14ac:dyDescent="0.2">
      <c r="A50" s="27">
        <v>12</v>
      </c>
      <c r="B50" s="27">
        <v>5.6</v>
      </c>
      <c r="C50" s="28">
        <v>27.2</v>
      </c>
      <c r="D50" s="27">
        <v>1.4826643598615898</v>
      </c>
      <c r="E50" s="27">
        <v>2.0559375843151422</v>
      </c>
      <c r="F50" s="27">
        <f t="shared" si="1"/>
        <v>1.4826643598615898</v>
      </c>
      <c r="G50" s="27">
        <f t="shared" si="2"/>
        <v>0.52695297046363376</v>
      </c>
    </row>
    <row r="51" spans="1:19" x14ac:dyDescent="0.2">
      <c r="A51" s="27">
        <v>13</v>
      </c>
      <c r="B51" s="27">
        <v>5.6</v>
      </c>
      <c r="C51" s="28">
        <v>25.61</v>
      </c>
      <c r="D51" s="27">
        <v>1.4826643598615898</v>
      </c>
      <c r="E51" s="27">
        <v>0.46593758431514232</v>
      </c>
      <c r="F51" s="27">
        <f t="shared" si="1"/>
        <v>1.4826643598615898</v>
      </c>
      <c r="G51" s="27">
        <f t="shared" si="2"/>
        <v>0.11942346692752454</v>
      </c>
    </row>
    <row r="52" spans="1:19" x14ac:dyDescent="0.2">
      <c r="A52" s="27">
        <v>14</v>
      </c>
      <c r="B52" s="27">
        <v>6</v>
      </c>
      <c r="C52" s="28">
        <v>25.45</v>
      </c>
      <c r="D52" s="27">
        <v>2.6167820069204137</v>
      </c>
      <c r="E52" s="27">
        <v>-0.54621818508858055</v>
      </c>
      <c r="F52" s="27">
        <f t="shared" si="1"/>
        <v>2.6167820069204137</v>
      </c>
      <c r="G52" s="27">
        <f t="shared" si="2"/>
        <v>-0.14169230260410737</v>
      </c>
    </row>
    <row r="53" spans="1:19" x14ac:dyDescent="0.2">
      <c r="A53" s="27">
        <v>15</v>
      </c>
      <c r="B53" s="27">
        <v>6</v>
      </c>
      <c r="C53" s="28">
        <v>26.56</v>
      </c>
      <c r="D53" s="27">
        <v>2.6167820069204137</v>
      </c>
      <c r="E53" s="27">
        <v>0.56378181491141888</v>
      </c>
      <c r="F53" s="27">
        <f t="shared" si="1"/>
        <v>2.6167820069204137</v>
      </c>
      <c r="G53" s="27">
        <f t="shared" si="2"/>
        <v>0.14624841446493922</v>
      </c>
    </row>
    <row r="54" spans="1:19" x14ac:dyDescent="0.2">
      <c r="A54" s="27">
        <v>16</v>
      </c>
      <c r="B54" s="27">
        <v>6.5</v>
      </c>
      <c r="C54" s="28">
        <v>21.03</v>
      </c>
      <c r="D54" s="27">
        <v>4.4844290657439432</v>
      </c>
      <c r="E54" s="27">
        <v>-6.0314128968432357</v>
      </c>
      <c r="F54" s="27">
        <f t="shared" si="1"/>
        <v>4.4844290657439432</v>
      </c>
      <c r="G54" s="27">
        <f t="shared" si="2"/>
        <v>-1.5968915304104889</v>
      </c>
    </row>
    <row r="55" spans="1:19" x14ac:dyDescent="0.2">
      <c r="A55" s="27">
        <v>17</v>
      </c>
      <c r="B55" s="32">
        <v>6.9</v>
      </c>
      <c r="C55" s="33">
        <v>21.46</v>
      </c>
      <c r="D55" s="32">
        <v>6.3385467128027679</v>
      </c>
      <c r="E55" s="32">
        <v>-6.4535686662469587</v>
      </c>
      <c r="F55" s="32">
        <f t="shared" si="1"/>
        <v>6.3385467128027679</v>
      </c>
      <c r="G55" s="32">
        <f t="shared" si="2"/>
        <v>-1.7451888088736924</v>
      </c>
    </row>
    <row r="56" spans="1:19" x14ac:dyDescent="0.2">
      <c r="A56" s="34" t="s">
        <v>28</v>
      </c>
      <c r="B56" s="40">
        <v>74.5</v>
      </c>
      <c r="C56" s="40">
        <v>383.34999999999997</v>
      </c>
      <c r="D56" s="41">
        <v>52.324705882352937</v>
      </c>
      <c r="E56" s="40">
        <v>7.460698725481052E-14</v>
      </c>
      <c r="F56" s="40">
        <f>SUM(F39:F55)</f>
        <v>52.324705882352937</v>
      </c>
      <c r="G56" s="40">
        <f>SUM(G39:G55)</f>
        <v>-0.54718439642228578</v>
      </c>
    </row>
    <row r="57" spans="1:19" x14ac:dyDescent="0.2">
      <c r="A57" s="31" t="s">
        <v>29</v>
      </c>
      <c r="B57" s="42">
        <v>4.382352941176471</v>
      </c>
      <c r="C57" s="42">
        <v>22.549999999999997</v>
      </c>
      <c r="D57" s="4"/>
      <c r="E57" s="4"/>
      <c r="F57" s="4"/>
      <c r="G57" s="4"/>
      <c r="H57" s="4"/>
      <c r="I57" s="4"/>
      <c r="J57" s="4"/>
      <c r="K57" s="4"/>
      <c r="L57" s="4"/>
    </row>
    <row r="59" spans="1:19" x14ac:dyDescent="0.2">
      <c r="A59" s="23" t="s">
        <v>31</v>
      </c>
      <c r="B59" s="11">
        <v>17</v>
      </c>
    </row>
    <row r="60" spans="1:19" x14ac:dyDescent="0.2">
      <c r="A60" s="23" t="s">
        <v>25</v>
      </c>
      <c r="B60" s="11">
        <v>16.675588678838032</v>
      </c>
    </row>
    <row r="63" spans="1:19" x14ac:dyDescent="0.2">
      <c r="A63" s="165" t="s">
        <v>117</v>
      </c>
      <c r="B63" s="165"/>
      <c r="C63" s="165"/>
      <c r="D63" s="165"/>
    </row>
    <row r="64" spans="1:19" ht="14.5" customHeight="1" x14ac:dyDescent="0.2">
      <c r="A64" s="180" t="s">
        <v>118</v>
      </c>
      <c r="B64" s="180"/>
      <c r="C64" s="180"/>
      <c r="D64" s="166">
        <f>E46/SQRT(B60*(1-(1/B59+F46/D56)))</f>
        <v>1.8768960625455606</v>
      </c>
      <c r="F64" s="172" t="s">
        <v>44</v>
      </c>
      <c r="G64" s="172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</row>
    <row r="65" spans="1:19" x14ac:dyDescent="0.2">
      <c r="A65" s="180"/>
      <c r="B65" s="180"/>
      <c r="C65" s="180"/>
      <c r="D65" s="166"/>
      <c r="F65" s="172"/>
      <c r="G65" s="172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</row>
    <row r="66" spans="1:19" x14ac:dyDescent="0.2">
      <c r="A66" s="180"/>
      <c r="B66" s="180"/>
      <c r="C66" s="180"/>
      <c r="D66" s="166"/>
      <c r="F66" s="172"/>
      <c r="G66" s="172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</row>
    <row r="67" spans="1:19" ht="14.5" customHeight="1" x14ac:dyDescent="0.2">
      <c r="A67" s="180"/>
      <c r="B67" s="180"/>
      <c r="C67" s="180"/>
      <c r="D67" s="166"/>
      <c r="F67" s="172"/>
      <c r="G67" s="172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</row>
  </sheetData>
  <mergeCells count="17">
    <mergeCell ref="A64:C67"/>
    <mergeCell ref="F64:G67"/>
    <mergeCell ref="E35:H36"/>
    <mergeCell ref="A63:D63"/>
    <mergeCell ref="D64:D67"/>
    <mergeCell ref="H64:S67"/>
    <mergeCell ref="I40:L40"/>
    <mergeCell ref="I41:L45"/>
    <mergeCell ref="H30:Q31"/>
    <mergeCell ref="H32:Q33"/>
    <mergeCell ref="F30:G33"/>
    <mergeCell ref="E2:H3"/>
    <mergeCell ref="A30:C33"/>
    <mergeCell ref="A29:D29"/>
    <mergeCell ref="D30:D33"/>
    <mergeCell ref="G9:J9"/>
    <mergeCell ref="G10:J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4B2E-3D79-45E3-A46E-817F287ED4C6}">
  <dimension ref="A1:BC31"/>
  <sheetViews>
    <sheetView zoomScale="125" workbookViewId="0">
      <selection activeCell="H6" sqref="H6"/>
    </sheetView>
  </sheetViews>
  <sheetFormatPr baseColWidth="10" defaultColWidth="8.83203125" defaultRowHeight="15" x14ac:dyDescent="0.2"/>
  <cols>
    <col min="5" max="5" width="12.33203125" customWidth="1"/>
  </cols>
  <sheetData>
    <row r="1" spans="1:19" ht="16" thickBot="1" x14ac:dyDescent="0.25"/>
    <row r="2" spans="1:19" ht="18" customHeight="1" x14ac:dyDescent="0.2">
      <c r="C2" s="193" t="s">
        <v>119</v>
      </c>
      <c r="D2" s="194"/>
      <c r="E2" s="195"/>
    </row>
    <row r="3" spans="1:19" ht="16" thickBot="1" x14ac:dyDescent="0.25">
      <c r="C3" s="196"/>
      <c r="D3" s="197"/>
      <c r="E3" s="198"/>
    </row>
    <row r="5" spans="1:19" x14ac:dyDescent="0.2">
      <c r="A5" s="24" t="s">
        <v>9</v>
      </c>
      <c r="B5" s="24" t="s">
        <v>10</v>
      </c>
      <c r="C5" s="25" t="s">
        <v>11</v>
      </c>
      <c r="D5" s="25" t="s">
        <v>16</v>
      </c>
      <c r="E5" s="25" t="s">
        <v>14</v>
      </c>
      <c r="F5" s="24" t="s">
        <v>120</v>
      </c>
      <c r="G5" s="25" t="s">
        <v>121</v>
      </c>
      <c r="H5" s="19" t="s">
        <v>122</v>
      </c>
    </row>
    <row r="6" spans="1:19" x14ac:dyDescent="0.2">
      <c r="A6" s="27">
        <v>1</v>
      </c>
      <c r="B6" s="27">
        <v>1</v>
      </c>
      <c r="C6" s="28">
        <v>10.84</v>
      </c>
      <c r="D6" s="27">
        <v>11.440311418685123</v>
      </c>
      <c r="E6" s="37">
        <v>-4.5042710675420423</v>
      </c>
      <c r="F6" s="3">
        <f t="shared" ref="F6:F22" si="0">E6/SQRT($B$27)</f>
        <v>-1.1030213822607888</v>
      </c>
      <c r="G6" s="38">
        <f t="shared" ref="G6:G23" si="1">(1/$B$26)+(B6-$B$24)^2/$D$23</f>
        <v>0.27746425038222866</v>
      </c>
      <c r="H6" s="18">
        <f t="shared" ref="H6:H22" si="2">(E6/(1-G6))^2</f>
        <v>38.862466177883114</v>
      </c>
    </row>
    <row r="7" spans="1:19" x14ac:dyDescent="0.2">
      <c r="A7" s="27">
        <v>2</v>
      </c>
      <c r="B7" s="27">
        <v>1</v>
      </c>
      <c r="C7" s="28">
        <v>9.3000000000000007</v>
      </c>
      <c r="D7" s="27">
        <v>11.440311418685123</v>
      </c>
      <c r="E7" s="28">
        <v>-6.0442710675420415</v>
      </c>
      <c r="F7" s="3">
        <f t="shared" si="0"/>
        <v>-1.4801418759455882</v>
      </c>
      <c r="G7" s="38">
        <f t="shared" si="1"/>
        <v>0.27746425038222866</v>
      </c>
      <c r="H7" s="18">
        <f t="shared" si="2"/>
        <v>69.979234247432231</v>
      </c>
      <c r="N7" s="200" t="s">
        <v>15</v>
      </c>
      <c r="O7" s="200"/>
      <c r="P7" s="200"/>
      <c r="Q7" s="200"/>
      <c r="R7" s="200"/>
      <c r="S7" s="200"/>
    </row>
    <row r="8" spans="1:19" x14ac:dyDescent="0.2">
      <c r="A8" s="27">
        <v>3</v>
      </c>
      <c r="B8" s="27">
        <v>2</v>
      </c>
      <c r="C8" s="28">
        <v>16.350000000000001</v>
      </c>
      <c r="D8" s="27">
        <v>5.6756055363321822</v>
      </c>
      <c r="E8" s="28">
        <v>-1.1246604910513511</v>
      </c>
      <c r="F8" s="3">
        <f t="shared" si="0"/>
        <v>-0.27541072702147712</v>
      </c>
      <c r="G8" s="38">
        <f t="shared" si="1"/>
        <v>0.16729247234463535</v>
      </c>
      <c r="H8" s="18">
        <f t="shared" si="2"/>
        <v>1.8241388637647018</v>
      </c>
      <c r="N8" s="201" t="s">
        <v>121</v>
      </c>
      <c r="O8" s="201"/>
      <c r="P8" s="201" t="s">
        <v>122</v>
      </c>
      <c r="Q8" s="201"/>
      <c r="R8" s="201" t="s">
        <v>123</v>
      </c>
      <c r="S8" s="201"/>
    </row>
    <row r="9" spans="1:19" x14ac:dyDescent="0.2">
      <c r="A9" s="27">
        <v>4</v>
      </c>
      <c r="B9" s="27">
        <v>3.3</v>
      </c>
      <c r="C9" s="28">
        <v>22.88</v>
      </c>
      <c r="D9" s="27">
        <v>1.1714878892733578</v>
      </c>
      <c r="E9" s="28">
        <v>2.6358332583865476</v>
      </c>
      <c r="F9" s="3">
        <f t="shared" si="0"/>
        <v>0.64547190887892791</v>
      </c>
      <c r="G9" s="38">
        <f t="shared" si="1"/>
        <v>8.121233923914023E-2</v>
      </c>
      <c r="H9" s="18">
        <f t="shared" si="2"/>
        <v>8.2301084678702487</v>
      </c>
      <c r="N9" s="145"/>
      <c r="O9" s="145"/>
      <c r="P9" s="162"/>
      <c r="Q9" s="145"/>
      <c r="R9" s="162"/>
      <c r="S9" s="145"/>
    </row>
    <row r="10" spans="1:19" x14ac:dyDescent="0.2">
      <c r="A10" s="27">
        <v>5</v>
      </c>
      <c r="B10" s="27">
        <v>3.3</v>
      </c>
      <c r="C10" s="28">
        <v>24.35</v>
      </c>
      <c r="D10" s="27">
        <v>1.1714878892733578</v>
      </c>
      <c r="E10" s="28">
        <v>4.10583325838655</v>
      </c>
      <c r="F10" s="3">
        <f t="shared" si="0"/>
        <v>1.0054505619416918</v>
      </c>
      <c r="G10" s="38">
        <f t="shared" si="1"/>
        <v>8.121233923914023E-2</v>
      </c>
      <c r="H10" s="18">
        <f t="shared" si="2"/>
        <v>19.969735311032711</v>
      </c>
      <c r="N10" s="145"/>
      <c r="O10" s="145"/>
      <c r="P10" s="162"/>
      <c r="Q10" s="145"/>
      <c r="R10" s="162"/>
      <c r="S10" s="145"/>
    </row>
    <row r="11" spans="1:19" x14ac:dyDescent="0.2">
      <c r="A11" s="27">
        <v>6</v>
      </c>
      <c r="B11" s="27">
        <v>4</v>
      </c>
      <c r="C11" s="28">
        <v>24.56</v>
      </c>
      <c r="D11" s="27">
        <v>0.1461937716262979</v>
      </c>
      <c r="E11" s="28">
        <v>2.8245606619300325</v>
      </c>
      <c r="F11" s="3">
        <f t="shared" si="0"/>
        <v>0.69168812420111581</v>
      </c>
      <c r="G11" s="38">
        <f t="shared" si="1"/>
        <v>6.1617501573882551E-2</v>
      </c>
      <c r="H11" s="18">
        <f t="shared" si="2"/>
        <v>9.0602882364127897</v>
      </c>
      <c r="N11" s="145"/>
      <c r="O11" s="145"/>
      <c r="P11" s="162"/>
      <c r="Q11" s="145"/>
      <c r="R11" s="162"/>
      <c r="S11" s="145"/>
    </row>
    <row r="12" spans="1:19" x14ac:dyDescent="0.2">
      <c r="A12" s="27">
        <v>7</v>
      </c>
      <c r="B12" s="27">
        <v>4</v>
      </c>
      <c r="C12" s="28">
        <v>25.86</v>
      </c>
      <c r="D12" s="27">
        <v>0.1461937716262979</v>
      </c>
      <c r="E12" s="28">
        <v>4.1245606619300332</v>
      </c>
      <c r="F12" s="3">
        <f t="shared" si="0"/>
        <v>1.0100365928960768</v>
      </c>
      <c r="G12" s="38">
        <f t="shared" si="1"/>
        <v>6.1617501573882551E-2</v>
      </c>
      <c r="H12" s="18">
        <f t="shared" si="2"/>
        <v>19.319487090999282</v>
      </c>
      <c r="N12" s="145"/>
      <c r="O12" s="145"/>
      <c r="P12" s="162"/>
      <c r="Q12" s="145"/>
      <c r="R12" s="162"/>
      <c r="S12" s="145"/>
    </row>
    <row r="13" spans="1:19" x14ac:dyDescent="0.2">
      <c r="A13" s="27">
        <v>8</v>
      </c>
      <c r="B13" s="27">
        <v>4</v>
      </c>
      <c r="C13" s="28">
        <v>29.16</v>
      </c>
      <c r="D13" s="27">
        <v>0.1461937716262979</v>
      </c>
      <c r="E13" s="28">
        <v>7.4245606619300339</v>
      </c>
      <c r="F13" s="3">
        <f t="shared" si="0"/>
        <v>1.8181519365063619</v>
      </c>
      <c r="G13" s="38">
        <f t="shared" si="1"/>
        <v>6.1617501573882551E-2</v>
      </c>
      <c r="H13" s="18">
        <f t="shared" si="2"/>
        <v>62.601064964331108</v>
      </c>
    </row>
    <row r="14" spans="1:19" x14ac:dyDescent="0.2">
      <c r="A14" s="27">
        <v>9</v>
      </c>
      <c r="B14" s="27">
        <v>4.7</v>
      </c>
      <c r="C14" s="28">
        <v>24.59</v>
      </c>
      <c r="D14" s="27">
        <v>0.1008996539792386</v>
      </c>
      <c r="E14" s="28">
        <v>1.3632880654735153</v>
      </c>
      <c r="F14" s="3">
        <f t="shared" si="0"/>
        <v>0.33384666771816079</v>
      </c>
      <c r="G14" s="38">
        <f t="shared" si="1"/>
        <v>6.0751866175015733E-2</v>
      </c>
      <c r="H14" s="18">
        <f t="shared" si="2"/>
        <v>2.1067576711074278</v>
      </c>
    </row>
    <row r="15" spans="1:19" x14ac:dyDescent="0.2">
      <c r="A15" s="27">
        <v>10</v>
      </c>
      <c r="B15" s="27">
        <v>5</v>
      </c>
      <c r="C15" s="28">
        <v>22.25</v>
      </c>
      <c r="D15" s="27">
        <v>0.38148788927335586</v>
      </c>
      <c r="E15" s="28">
        <v>-1.615828761579273</v>
      </c>
      <c r="F15" s="3">
        <f t="shared" si="0"/>
        <v>-0.39568970147848953</v>
      </c>
      <c r="G15" s="38">
        <f t="shared" si="1"/>
        <v>6.6114308840723071E-2</v>
      </c>
      <c r="H15" s="18">
        <f t="shared" si="2"/>
        <v>2.99366517993366</v>
      </c>
    </row>
    <row r="16" spans="1:19" x14ac:dyDescent="0.2">
      <c r="A16" s="27">
        <v>11</v>
      </c>
      <c r="B16" s="27">
        <v>5.6</v>
      </c>
      <c r="C16" s="28">
        <v>25.9</v>
      </c>
      <c r="D16" s="27">
        <v>1.4826643598615898</v>
      </c>
      <c r="E16" s="28">
        <v>0.75593758431514146</v>
      </c>
      <c r="F16" s="3">
        <f t="shared" si="0"/>
        <v>0.18511659415053314</v>
      </c>
      <c r="G16" s="38">
        <f t="shared" si="1"/>
        <v>8.715936684953679E-2</v>
      </c>
      <c r="H16" s="18">
        <f t="shared" si="2"/>
        <v>0.68577547542968409</v>
      </c>
    </row>
    <row r="17" spans="1:55" x14ac:dyDescent="0.2">
      <c r="A17" s="27">
        <v>12</v>
      </c>
      <c r="B17" s="27">
        <v>5.6</v>
      </c>
      <c r="C17" s="28">
        <v>27.2</v>
      </c>
      <c r="D17" s="27">
        <v>1.4826643598615898</v>
      </c>
      <c r="E17" s="28">
        <v>2.0559375843151422</v>
      </c>
      <c r="F17" s="3">
        <f t="shared" si="0"/>
        <v>0.50346506284549408</v>
      </c>
      <c r="G17" s="38">
        <f t="shared" si="1"/>
        <v>8.715936684953679E-2</v>
      </c>
      <c r="H17" s="18">
        <f t="shared" si="2"/>
        <v>5.0725919097635437</v>
      </c>
    </row>
    <row r="18" spans="1:55" x14ac:dyDescent="0.2">
      <c r="A18" s="27">
        <v>13</v>
      </c>
      <c r="B18" s="27">
        <v>5.6</v>
      </c>
      <c r="C18" s="28">
        <v>25.61</v>
      </c>
      <c r="D18" s="27">
        <v>1.4826643598615898</v>
      </c>
      <c r="E18" s="28">
        <v>0.46593758431514232</v>
      </c>
      <c r="F18" s="3">
        <f t="shared" si="0"/>
        <v>0.11410039728781132</v>
      </c>
      <c r="G18" s="38">
        <f t="shared" si="1"/>
        <v>8.715936684953679E-2</v>
      </c>
      <c r="H18" s="18">
        <f t="shared" si="2"/>
        <v>0.26053469174510563</v>
      </c>
    </row>
    <row r="19" spans="1:55" x14ac:dyDescent="0.2">
      <c r="A19" s="27">
        <v>14</v>
      </c>
      <c r="B19" s="27">
        <v>6</v>
      </c>
      <c r="C19" s="28">
        <v>25.45</v>
      </c>
      <c r="D19" s="27">
        <v>2.6167820069204137</v>
      </c>
      <c r="E19" s="28">
        <v>-0.54621818508858055</v>
      </c>
      <c r="F19" s="3">
        <f t="shared" si="0"/>
        <v>-0.13375978676637712</v>
      </c>
      <c r="G19" s="38">
        <f t="shared" si="1"/>
        <v>0.10883397787570823</v>
      </c>
      <c r="H19" s="18">
        <f t="shared" si="2"/>
        <v>0.37567740085978735</v>
      </c>
    </row>
    <row r="20" spans="1:55" x14ac:dyDescent="0.2">
      <c r="A20" s="27">
        <v>15</v>
      </c>
      <c r="B20" s="27">
        <v>6</v>
      </c>
      <c r="C20" s="28">
        <v>26.56</v>
      </c>
      <c r="D20" s="27">
        <v>2.6167820069204137</v>
      </c>
      <c r="E20" s="28">
        <v>0.56378181491141888</v>
      </c>
      <c r="F20" s="3">
        <f t="shared" si="0"/>
        <v>0.13806082881162768</v>
      </c>
      <c r="G20" s="38">
        <f t="shared" si="1"/>
        <v>0.10883397787570823</v>
      </c>
      <c r="H20" s="18">
        <f t="shared" si="2"/>
        <v>0.40022562131185185</v>
      </c>
    </row>
    <row r="21" spans="1:55" x14ac:dyDescent="0.2">
      <c r="A21" s="27">
        <v>16</v>
      </c>
      <c r="B21" s="27">
        <v>6.5</v>
      </c>
      <c r="C21" s="28">
        <v>21.03</v>
      </c>
      <c r="D21" s="27">
        <v>4.4844290657439432</v>
      </c>
      <c r="E21" s="28">
        <v>-6.0314128968432357</v>
      </c>
      <c r="F21" s="3">
        <f t="shared" si="0"/>
        <v>-1.4769931229054472</v>
      </c>
      <c r="G21" s="38">
        <f t="shared" si="1"/>
        <v>0.14452738555625505</v>
      </c>
      <c r="H21" s="18">
        <f t="shared" si="2"/>
        <v>49.707955153881045</v>
      </c>
    </row>
    <row r="22" spans="1:55" x14ac:dyDescent="0.2">
      <c r="A22" s="32">
        <v>17</v>
      </c>
      <c r="B22" s="32">
        <v>6.9</v>
      </c>
      <c r="C22" s="33">
        <v>21.46</v>
      </c>
      <c r="D22" s="32">
        <v>6.3385467128027679</v>
      </c>
      <c r="E22" s="33">
        <v>-6.4535686662469587</v>
      </c>
      <c r="F22" s="39">
        <f t="shared" si="0"/>
        <v>-1.5803720788596152</v>
      </c>
      <c r="G22" s="46">
        <f t="shared" si="1"/>
        <v>0.17996222681895854</v>
      </c>
      <c r="H22" s="26">
        <f t="shared" si="2"/>
        <v>61.934431478862656</v>
      </c>
    </row>
    <row r="23" spans="1:55" x14ac:dyDescent="0.2">
      <c r="A23" s="47" t="s">
        <v>28</v>
      </c>
      <c r="B23" s="48">
        <v>74.5</v>
      </c>
      <c r="C23" s="48">
        <v>383.34999999999997</v>
      </c>
      <c r="D23" s="48">
        <v>52.324705882352937</v>
      </c>
      <c r="E23" s="48">
        <v>7.460698725481052E-14</v>
      </c>
      <c r="F23" s="45">
        <f>SUM(F6:F22)</f>
        <v>1.7763568394002505E-14</v>
      </c>
      <c r="G23" s="45">
        <f t="shared" si="1"/>
        <v>94.019875888119458</v>
      </c>
      <c r="H23" s="49">
        <f>SUM(H6:H22)</f>
        <v>353.38413794262095</v>
      </c>
    </row>
    <row r="24" spans="1:55" x14ac:dyDescent="0.2">
      <c r="A24" s="50" t="s">
        <v>29</v>
      </c>
      <c r="B24" s="51">
        <v>4.382352941176471</v>
      </c>
      <c r="C24" s="51">
        <v>22.549999999999997</v>
      </c>
      <c r="D24" s="29"/>
      <c r="E24" s="29"/>
      <c r="F24" s="3"/>
      <c r="G24" s="3"/>
      <c r="H24" s="3"/>
    </row>
    <row r="26" spans="1:55" x14ac:dyDescent="0.2">
      <c r="A26" s="17" t="s">
        <v>31</v>
      </c>
      <c r="B26" s="35">
        <v>17</v>
      </c>
      <c r="D26" s="52" t="s">
        <v>23</v>
      </c>
      <c r="E26" s="11">
        <v>487.61259999999999</v>
      </c>
    </row>
    <row r="27" spans="1:55" x14ac:dyDescent="0.2">
      <c r="A27" s="17" t="s">
        <v>25</v>
      </c>
      <c r="B27" s="35">
        <v>16.675588678838032</v>
      </c>
    </row>
    <row r="28" spans="1:55" ht="16" customHeight="1" x14ac:dyDescent="0.2"/>
    <row r="29" spans="1:55" ht="16" customHeight="1" x14ac:dyDescent="0.2">
      <c r="A29" s="199" t="s">
        <v>124</v>
      </c>
      <c r="B29" s="199"/>
      <c r="C29" s="3">
        <v>353.38413794262095</v>
      </c>
      <c r="E29" s="130" t="s">
        <v>125</v>
      </c>
      <c r="F29" s="184" t="s">
        <v>126</v>
      </c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spans="1:55" x14ac:dyDescent="0.2">
      <c r="A30" s="199"/>
      <c r="B30" s="199"/>
      <c r="C30" s="3">
        <f>1-(C29/E26)</f>
        <v>0.27527685309481142</v>
      </c>
      <c r="E30" s="130"/>
      <c r="F30" s="187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9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spans="1:55" x14ac:dyDescent="0.2">
      <c r="A31" s="182"/>
      <c r="B31" s="183"/>
      <c r="C31" s="18">
        <v>0.48702344815829102</v>
      </c>
      <c r="E31" s="130"/>
      <c r="F31" s="190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2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</sheetData>
  <mergeCells count="13">
    <mergeCell ref="A31:B31"/>
    <mergeCell ref="E29:E31"/>
    <mergeCell ref="F29:V31"/>
    <mergeCell ref="C2:E3"/>
    <mergeCell ref="A29:B29"/>
    <mergeCell ref="A30:B30"/>
    <mergeCell ref="N7:S7"/>
    <mergeCell ref="N8:O8"/>
    <mergeCell ref="P8:Q8"/>
    <mergeCell ref="R8:S8"/>
    <mergeCell ref="N9:O12"/>
    <mergeCell ref="P9:Q12"/>
    <mergeCell ref="R9:S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Topik Pembahasan</vt:lpstr>
      <vt:lpstr>Poin 1</vt:lpstr>
      <vt:lpstr>Poin 2</vt:lpstr>
      <vt:lpstr>Poin 3</vt:lpstr>
      <vt:lpstr>Poin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kanessa jasmine</dc:creator>
  <cp:keywords/>
  <dc:description/>
  <cp:lastModifiedBy>Reza Putri Angga</cp:lastModifiedBy>
  <cp:revision/>
  <dcterms:created xsi:type="dcterms:W3CDTF">2023-11-02T01:03:01Z</dcterms:created>
  <dcterms:modified xsi:type="dcterms:W3CDTF">2024-05-31T09:18:47Z</dcterms:modified>
  <cp:category/>
  <cp:contentStatus/>
</cp:coreProperties>
</file>