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rrezaputria/Documents/Kuis_22083010006_Reza Putri Angga_StatReg(B)/"/>
    </mc:Choice>
  </mc:AlternateContent>
  <xr:revisionPtr revIDLastSave="0" documentId="13_ncr:1_{286600A8-3C1C-1549-92A9-1B118C91E229}" xr6:coauthVersionLast="47" xr6:coauthVersionMax="47" xr10:uidLastSave="{00000000-0000-0000-0000-000000000000}"/>
  <bookViews>
    <workbookView xWindow="2500" yWindow="500" windowWidth="24960" windowHeight="16300" activeTab="1" xr2:uid="{81DB096C-9930-CE4F-9D0B-D6C5F242788A}"/>
  </bookViews>
  <sheets>
    <sheet name="Identitas Excell" sheetId="1" r:id="rId1"/>
    <sheet name="Perhitungan Nomer 1" sheetId="2" r:id="rId2"/>
    <sheet name="Jawaban Soal Nomer 1" sheetId="6" r:id="rId3"/>
    <sheet name="Perhitungan Nomer 2" sheetId="5" r:id="rId4"/>
    <sheet name="Jawaban Soal Nomer 2" sheetId="7" r:id="rId5"/>
    <sheet name="Perhitungan Nomer 3" sheetId="3" r:id="rId6"/>
    <sheet name="Jawaban Soal Nomer 3"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5" i="2" l="1"/>
  <c r="B293" i="2"/>
  <c r="B306" i="2"/>
  <c r="B294" i="2"/>
  <c r="I282" i="2"/>
  <c r="I281" i="2"/>
  <c r="B98" i="5"/>
  <c r="J84" i="5"/>
  <c r="B256" i="2" l="1"/>
  <c r="B219" i="2"/>
  <c r="E215" i="2"/>
  <c r="C25" i="6"/>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52" i="5"/>
  <c r="H84" i="5"/>
  <c r="G84"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52" i="5"/>
  <c r="E85" i="5"/>
  <c r="D85" i="5"/>
  <c r="C85" i="5"/>
  <c r="E84" i="5"/>
  <c r="D84" i="5"/>
  <c r="C84" i="5"/>
  <c r="D42" i="8"/>
  <c r="C42" i="8"/>
  <c r="F38" i="8"/>
  <c r="D15" i="8"/>
  <c r="E195" i="3"/>
  <c r="C199" i="3"/>
  <c r="B199" i="3"/>
  <c r="M189" i="3"/>
  <c r="M188" i="3"/>
  <c r="M187" i="3"/>
  <c r="I189" i="3"/>
  <c r="I188" i="3"/>
  <c r="I187" i="3"/>
  <c r="D179" i="3"/>
  <c r="D178" i="3"/>
  <c r="D177" i="3"/>
  <c r="D176" i="3"/>
  <c r="C179" i="3"/>
  <c r="B179" i="3"/>
  <c r="C178" i="3"/>
  <c r="C177" i="3"/>
  <c r="C176" i="3"/>
  <c r="B178" i="3"/>
  <c r="B177" i="3"/>
  <c r="B176" i="3"/>
  <c r="H123" i="3"/>
  <c r="C140" i="3"/>
  <c r="H122" i="3"/>
  <c r="B127" i="3"/>
  <c r="B126" i="3"/>
  <c r="E124" i="3"/>
  <c r="E123" i="3"/>
  <c r="E122" i="3"/>
  <c r="B123" i="3" a="1"/>
  <c r="B123" i="3" s="1"/>
  <c r="B119" i="3"/>
  <c r="B118" i="3"/>
  <c r="D99" i="3" a="1"/>
  <c r="D99" i="3" s="1"/>
  <c r="D83" i="3"/>
  <c r="D82" i="3"/>
  <c r="B86" i="3"/>
  <c r="B85" i="3"/>
  <c r="B84" i="3" a="1"/>
  <c r="B84" i="3" s="1"/>
  <c r="I9" i="3"/>
  <c r="I10" i="3"/>
  <c r="I11" i="3"/>
  <c r="I12" i="3"/>
  <c r="I13" i="3"/>
  <c r="I14" i="3"/>
  <c r="I15" i="3"/>
  <c r="I16" i="3"/>
  <c r="I17" i="3"/>
  <c r="I18" i="3"/>
  <c r="I19" i="3"/>
  <c r="I20" i="3"/>
  <c r="I21" i="3"/>
  <c r="I22" i="3"/>
  <c r="I23" i="3"/>
  <c r="I24" i="3"/>
  <c r="I25" i="3"/>
  <c r="I26" i="3"/>
  <c r="I27" i="3"/>
  <c r="I28" i="3"/>
  <c r="I29" i="3"/>
  <c r="I30" i="3"/>
  <c r="I31" i="3"/>
  <c r="I32" i="3"/>
  <c r="I33" i="3"/>
  <c r="I8" i="3"/>
  <c r="H9" i="3"/>
  <c r="H10" i="3"/>
  <c r="H11" i="3"/>
  <c r="H12" i="3"/>
  <c r="H13" i="3"/>
  <c r="H14" i="3"/>
  <c r="H15" i="3"/>
  <c r="H16" i="3"/>
  <c r="H17" i="3"/>
  <c r="H18" i="3"/>
  <c r="H19" i="3"/>
  <c r="H20" i="3"/>
  <c r="H21" i="3"/>
  <c r="H22" i="3"/>
  <c r="H23" i="3"/>
  <c r="H24" i="3"/>
  <c r="H25" i="3"/>
  <c r="H26" i="3"/>
  <c r="H27" i="3"/>
  <c r="H28" i="3"/>
  <c r="H29" i="3"/>
  <c r="H30" i="3"/>
  <c r="H31" i="3"/>
  <c r="H32" i="3"/>
  <c r="H33" i="3"/>
  <c r="H8" i="3"/>
  <c r="G9" i="3"/>
  <c r="G10" i="3"/>
  <c r="G11" i="3"/>
  <c r="G12" i="3"/>
  <c r="G13" i="3"/>
  <c r="G14" i="3"/>
  <c r="G15" i="3"/>
  <c r="G16" i="3"/>
  <c r="G17" i="3"/>
  <c r="G18" i="3"/>
  <c r="G19" i="3"/>
  <c r="G20" i="3"/>
  <c r="G21" i="3"/>
  <c r="G22" i="3"/>
  <c r="G23" i="3"/>
  <c r="G24" i="3"/>
  <c r="G25" i="3"/>
  <c r="G26" i="3"/>
  <c r="G27" i="3"/>
  <c r="G28" i="3"/>
  <c r="G29" i="3"/>
  <c r="G30" i="3"/>
  <c r="G31" i="3"/>
  <c r="G32" i="3"/>
  <c r="G33" i="3"/>
  <c r="G8" i="3"/>
  <c r="I42" i="3" a="1"/>
  <c r="I42" i="3" s="1"/>
  <c r="G42" i="3" a="1"/>
  <c r="G42" i="3" s="1"/>
  <c r="D42" i="3" a="1"/>
  <c r="D42" i="3" s="1"/>
  <c r="A42" i="3" a="1"/>
  <c r="A42" i="3" s="1"/>
  <c r="B264" i="2" l="1"/>
  <c r="B257" i="2"/>
  <c r="B281" i="2"/>
  <c r="B282" i="2"/>
  <c r="F39" i="5"/>
  <c r="E40" i="5"/>
  <c r="D40" i="5"/>
  <c r="C40" i="5"/>
  <c r="E39" i="5"/>
  <c r="D39" i="5"/>
  <c r="C39" i="5"/>
  <c r="D45"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7" i="5"/>
  <c r="B263" i="2" l="1"/>
  <c r="H237" i="2"/>
  <c r="H236" i="2"/>
  <c r="B237" i="2"/>
  <c r="B236" i="2"/>
  <c r="B234" i="2"/>
  <c r="B235" i="2"/>
  <c r="E232" i="2"/>
  <c r="B232" i="2"/>
  <c r="B220" i="2"/>
  <c r="E217" i="2"/>
  <c r="B173" i="2"/>
  <c r="E216" i="2"/>
  <c r="B216" i="2" a="1"/>
  <c r="B216" i="2" s="1"/>
  <c r="D187" i="2" a="1"/>
  <c r="D187" i="2" s="1"/>
  <c r="B212" i="2"/>
  <c r="B211" i="2"/>
  <c r="D172" i="2"/>
  <c r="D171" i="2"/>
  <c r="D170" i="2"/>
  <c r="B172" i="2"/>
  <c r="B171" i="2" a="1"/>
  <c r="B171" i="2" s="1"/>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82" i="2"/>
  <c r="N122" i="2" a="1"/>
  <c r="N122" i="2" s="1"/>
  <c r="K122" i="2" a="1"/>
  <c r="K122" i="2" s="1"/>
  <c r="F122" i="2" a="1"/>
  <c r="F122" i="2" s="1"/>
  <c r="A122" i="2" a="1"/>
  <c r="A12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<sst xmlns="http://schemas.openxmlformats.org/spreadsheetml/2006/main" count="700" uniqueCount="265">
  <si>
    <t>NPM : 22083010006</t>
  </si>
  <si>
    <t>NAMA : REZA PUTRI ANGGA</t>
  </si>
  <si>
    <t>MATA KULIAH : STATISTIKA REGRESI (B)</t>
  </si>
  <si>
    <t>KUIS STATISTIKA REGRESI</t>
  </si>
  <si>
    <t>Data Tabel B.3</t>
  </si>
  <si>
    <t>Automobile</t>
  </si>
  <si>
    <t>y</t>
  </si>
  <si>
    <t>x1</t>
  </si>
  <si>
    <t>x2</t>
  </si>
  <si>
    <t>x3</t>
  </si>
  <si>
    <t>x4</t>
  </si>
  <si>
    <t>x5</t>
  </si>
  <si>
    <t>x6</t>
  </si>
  <si>
    <t>x7</t>
  </si>
  <si>
    <t>x8</t>
  </si>
  <si>
    <t>x9</t>
  </si>
  <si>
    <t>x10</t>
  </si>
  <si>
    <t>x11</t>
  </si>
  <si>
    <t>Apollo</t>
  </si>
  <si>
    <t>Omega</t>
  </si>
  <si>
    <t>Nova</t>
  </si>
  <si>
    <t>Monarch</t>
  </si>
  <si>
    <t>Duster</t>
  </si>
  <si>
    <t>Jenson</t>
  </si>
  <si>
    <t>Skyhwawk</t>
  </si>
  <si>
    <t>Monza</t>
  </si>
  <si>
    <t>Scirocco</t>
  </si>
  <si>
    <t>Corolla SR-5</t>
  </si>
  <si>
    <t>Camaro</t>
  </si>
  <si>
    <t>Datsun B210</t>
  </si>
  <si>
    <t>Capri II</t>
  </si>
  <si>
    <t>Pacer</t>
  </si>
  <si>
    <t>Babcat</t>
  </si>
  <si>
    <t>Granada</t>
  </si>
  <si>
    <t>Eldorado</t>
  </si>
  <si>
    <t>Imperial</t>
  </si>
  <si>
    <t>Nova LN</t>
  </si>
  <si>
    <t>Valiant</t>
  </si>
  <si>
    <t>Starfire</t>
  </si>
  <si>
    <t>Cardoba</t>
  </si>
  <si>
    <t>Trans AM</t>
  </si>
  <si>
    <t>Corolla E-5</t>
  </si>
  <si>
    <t>Astre</t>
  </si>
  <si>
    <t>Mark IV</t>
  </si>
  <si>
    <t>Celia GT</t>
  </si>
  <si>
    <t>Charger SE</t>
  </si>
  <si>
    <t>Cougar</t>
  </si>
  <si>
    <t>Elite</t>
  </si>
  <si>
    <t>Matador</t>
  </si>
  <si>
    <t>Corvette</t>
  </si>
  <si>
    <t>A</t>
  </si>
  <si>
    <t>M</t>
  </si>
  <si>
    <t>8.0:1</t>
  </si>
  <si>
    <t>8.5:1</t>
  </si>
  <si>
    <t>8.25:1</t>
  </si>
  <si>
    <t>8.4:1</t>
  </si>
  <si>
    <t>8.2:1</t>
  </si>
  <si>
    <t>9.0:1</t>
  </si>
  <si>
    <t>7.6:1</t>
  </si>
  <si>
    <t>2.56:1</t>
  </si>
  <si>
    <t>2.73:1</t>
  </si>
  <si>
    <t>3.00:1</t>
  </si>
  <si>
    <t>2.76:1</t>
  </si>
  <si>
    <t>2.88:1</t>
  </si>
  <si>
    <t>3.90:1</t>
  </si>
  <si>
    <t>4.30:1</t>
  </si>
  <si>
    <t>3.08:1</t>
  </si>
  <si>
    <t>3.89:1</t>
  </si>
  <si>
    <t>3.22:1</t>
  </si>
  <si>
    <t>3.40:1</t>
  </si>
  <si>
    <t>3.0:1</t>
  </si>
  <si>
    <t>2.71:1</t>
  </si>
  <si>
    <t>2.45:1</t>
  </si>
  <si>
    <t>2.92:1</t>
  </si>
  <si>
    <t>3.91:1</t>
  </si>
  <si>
    <t>3.25:1</t>
  </si>
  <si>
    <t>3.26:1</t>
  </si>
  <si>
    <t>3.15:1</t>
  </si>
  <si>
    <t>NA</t>
  </si>
  <si>
    <t>Data Tabel Konsentrasi</t>
  </si>
  <si>
    <t>Konsentrasi Acid</t>
  </si>
  <si>
    <t>Ukuran Putihnya Rayon</t>
  </si>
  <si>
    <t>Di Lakukan Proses Analisis Dan Perhitungan Menggunakan X1, X6, Dan Y</t>
  </si>
  <si>
    <t>Estimasi Beta</t>
  </si>
  <si>
    <t>X</t>
  </si>
  <si>
    <t>Y_Topi</t>
  </si>
  <si>
    <t>Error</t>
  </si>
  <si>
    <t>Error/Residual</t>
  </si>
  <si>
    <t>X'</t>
  </si>
  <si>
    <t>X'X</t>
  </si>
  <si>
    <t>Dimensi (3*3)</t>
  </si>
  <si>
    <t>Invers(X'X)</t>
  </si>
  <si>
    <t>X'Y</t>
  </si>
  <si>
    <t>Hasil Beta Topi</t>
  </si>
  <si>
    <t>Beta Topi 0</t>
  </si>
  <si>
    <t>Beta Topi 1</t>
  </si>
  <si>
    <t>Dimensi(3*1)</t>
  </si>
  <si>
    <t>Dimensi(3*32)(32*1)</t>
  </si>
  <si>
    <t>Di Peroleh Model Prediksi :</t>
  </si>
  <si>
    <t>Regression</t>
  </si>
  <si>
    <t>Residual</t>
  </si>
  <si>
    <t>Total</t>
  </si>
  <si>
    <t>Estimasi Sigma</t>
  </si>
  <si>
    <t>e'</t>
  </si>
  <si>
    <t>Dimensi(1*32)</t>
  </si>
  <si>
    <t>Dimensi X (32*3)</t>
  </si>
  <si>
    <t>Dimensi(3*32)</t>
  </si>
  <si>
    <t>Dimensi(32*1)</t>
  </si>
  <si>
    <t>Y'</t>
  </si>
  <si>
    <t>Beta Topi'</t>
  </si>
  <si>
    <t>Perhitungan</t>
  </si>
  <si>
    <t>SSRes</t>
  </si>
  <si>
    <t>p</t>
  </si>
  <si>
    <t>MSRes</t>
  </si>
  <si>
    <t>n</t>
  </si>
  <si>
    <t>Standar Error Estimasi</t>
  </si>
  <si>
    <t>UJI F</t>
  </si>
  <si>
    <t>Y</t>
  </si>
  <si>
    <t>Jumlah</t>
  </si>
  <si>
    <t>Kuadrat/n</t>
  </si>
  <si>
    <t>BetaTopi'</t>
  </si>
  <si>
    <t>k</t>
  </si>
  <si>
    <t>BetaTopi'(X')Y</t>
  </si>
  <si>
    <t>Beta Topi'X'</t>
  </si>
  <si>
    <t>Dimensi(1*3)</t>
  </si>
  <si>
    <t>SSReg</t>
  </si>
  <si>
    <t>MSReg</t>
  </si>
  <si>
    <t>DFRes</t>
  </si>
  <si>
    <t>DFREg</t>
  </si>
  <si>
    <t>F-Hitung</t>
  </si>
  <si>
    <t>F-Tabel</t>
  </si>
  <si>
    <t>Kesimpulan Dan Interpretasi Uji F</t>
  </si>
  <si>
    <t xml:space="preserve">Kesimpulan </t>
  </si>
  <si>
    <t>H0 Di Tolak</t>
  </si>
  <si>
    <t>Interpretasi</t>
  </si>
  <si>
    <t>H0 di tolak, karena F-Hitung&gt;F-Tabel. Dimana, 53,3053&gt;3,3276. Maka, dapat di ambil kesimpulan bahwa terdapat minimal satu variabel independen yang berpengaruh terhadap variabel dependen.</t>
  </si>
  <si>
    <t>R-Squared</t>
  </si>
  <si>
    <t>SST</t>
  </si>
  <si>
    <t>Ssres/(n-p)</t>
  </si>
  <si>
    <t>SST(n-1)</t>
  </si>
  <si>
    <t>Sisa</t>
  </si>
  <si>
    <t>Sisa (%)</t>
  </si>
  <si>
    <t>77,14% variabel dependen bisa dijelaskan oleh variabel independennya. Sisanya, sebanyak  22,86% lainnya dijelaskan oleh variabel independen yang tidak diketahui dalam model.</t>
  </si>
  <si>
    <t>77,14%</t>
  </si>
  <si>
    <t>UJI T</t>
  </si>
  <si>
    <t>78,61%</t>
  </si>
  <si>
    <t>21,38%</t>
  </si>
  <si>
    <t>BetaTopi</t>
  </si>
  <si>
    <t>Uji T Beta Topi 1</t>
  </si>
  <si>
    <t>Beta Topi 6</t>
  </si>
  <si>
    <t>T-Hitung</t>
  </si>
  <si>
    <t>T-Tabel</t>
  </si>
  <si>
    <t>Kesimpulan</t>
  </si>
  <si>
    <t>Uji T Beta Topi 6</t>
  </si>
  <si>
    <t>Ho Gagal Di Tolak</t>
  </si>
  <si>
    <t>Confidence Interval Koefisien</t>
  </si>
  <si>
    <t>Perhitungan Nomer 1</t>
  </si>
  <si>
    <t>Perhitungan Nomer 2</t>
  </si>
  <si>
    <t>Rata-Rata</t>
  </si>
  <si>
    <t>Standardised Residuals</t>
  </si>
  <si>
    <t>Nilai Standardised Residuals</t>
  </si>
  <si>
    <t>Nilai residual dari data terbesar, terdapat pada data Automobile Datsun B210, dengan nilai Standardised Residuals sebesar 6,254.</t>
  </si>
  <si>
    <t>Di karenakan, nilai Standardised Residuals sebesar 2,070 dan Datsun B210&lt;3, maka tidak terjadi outlier pada setiap observasi data.</t>
  </si>
  <si>
    <t>m</t>
  </si>
  <si>
    <t>1) Berdasarkan data jarak tempuh bensin di Tabel B.3</t>
  </si>
  <si>
    <t>A.) Tentukan model estimasi regresi jarak tempuh bensin terhadap perpindahan mesin (𝑥1 ) dan jumlah barel karburator (𝑥6 ) dan interpretasikan.</t>
  </si>
  <si>
    <t>Jawaban Soal Dari Perhitungan Nomer 1</t>
  </si>
  <si>
    <t>Interpretasi :</t>
  </si>
  <si>
    <t>B.) Hitunglah Tabel Analyisis of Variance (ANOVA) dan simpulkan hasil dari uji F yang dilakukan.</t>
  </si>
  <si>
    <t>Tabel Anova</t>
  </si>
  <si>
    <t>X1</t>
  </si>
  <si>
    <t>Kesimpulan Dan Interpretasi 𝑅^2</t>
  </si>
  <si>
    <t>Kesimpulan Dan Interpretasi 𝑅^2 (Adj)</t>
  </si>
  <si>
    <t xml:space="preserve">  78,61% variabel dependen bisa dijelaskan oleh variabel independennya. Sisanya, sebanyak  21,38% lainnya dijelaskan oleh variabel independen yang tidak diketahui dalam model.</t>
  </si>
  <si>
    <t xml:space="preserve">C.) Hitunglah dan interpretasikan hasil dari  R^2 dan R^2(Adj) untuk model ini. Apakah ada perbedaan antara perhitungan tersebut ? Jika berbeda, kenapa ? 
perbedaan antara perhitungan tersebut ? Jika berbeda, kenapa ?     </t>
  </si>
  <si>
    <t>Alasan Perbedaan Perhitungan :</t>
  </si>
  <si>
    <t>D.) Temukan dan interpretasikan 95% Confident Interval untuk 𝛽1</t>
  </si>
  <si>
    <t>Confidence Interval Beta Topi 1</t>
  </si>
  <si>
    <t>Batas Bawah</t>
  </si>
  <si>
    <t>Batas Atas</t>
  </si>
  <si>
    <t>95% kita yakin bahwa B1 Topi dapt mewakili parameter B1 pada populasi.</t>
  </si>
  <si>
    <t>E.) Hitunglah uji T statistik untuk 𝐻0 : 𝛽1 = 0 dan 𝐻0 : 𝛽6 = 0. Apa kesimpulan yang dapat diambil dari pengujian tersebut.</t>
  </si>
  <si>
    <t>F.) Temukan dan interpretasikan 95% Confident Interval pada rata-rata jarak tempuh bensin ketika 𝑥1 = 275 𝑖𝑛. 3 dan 𝑥6 = 2 barrels.</t>
  </si>
  <si>
    <t>Studentized Residual</t>
  </si>
  <si>
    <t>Nilai Studentized Residual</t>
  </si>
  <si>
    <t>Variabel X1 berpengaruh terhadap variabel Y.</t>
  </si>
  <si>
    <t>H0 Gagal Di Tolak</t>
  </si>
  <si>
    <t>Jawaban Soal Dari Perhitungan Nomer 2</t>
  </si>
  <si>
    <t>2) Berdasarkan data jarak tempuh bensin di Tabel B.3</t>
  </si>
  <si>
    <t>A.) Lakukanlah analisis residual menggunakan standardized residual dan studentized residual. Apa hasil analisis yang diperoleh ?</t>
  </si>
  <si>
    <t>B.) Lakukanlah perhitungan dan interpretasi terhadap 𝑅^2 prediction. Apakah ada perbedaan antara 𝑅^2 dengan 𝑅^2 prediction , menurutmu kenapa ?</t>
  </si>
  <si>
    <t>Perhitungan Nomer 3</t>
  </si>
  <si>
    <t>x</t>
  </si>
  <si>
    <t>Inverse(X'X)</t>
  </si>
  <si>
    <t>Model Prediksi :</t>
  </si>
  <si>
    <t>Error^2</t>
  </si>
  <si>
    <t>BetaTopi'X'</t>
  </si>
  <si>
    <t xml:space="preserve">p </t>
  </si>
  <si>
    <t>BetaTopi'X'Y</t>
  </si>
  <si>
    <t>DFReg</t>
  </si>
  <si>
    <t>H0 gagal di tolak, karena F-Hitung&lt;F-Tabel. Dimana, 2,5493&lt;4,2597. Maka, dapat di ambil kesimpulan bahwa terdapat minimal satu variabel independen yang tidak berpengaruh terhadap variabel dependen.</t>
  </si>
  <si>
    <t>DFT</t>
  </si>
  <si>
    <t>Source Of Variation</t>
  </si>
  <si>
    <t>Sum Of Squares</t>
  </si>
  <si>
    <t>Degrees Of Reedom</t>
  </si>
  <si>
    <t>Mean Square</t>
  </si>
  <si>
    <t>FO</t>
  </si>
  <si>
    <t>Tabel Lack OF Fit</t>
  </si>
  <si>
    <t>Level Of x</t>
  </si>
  <si>
    <t>Rata-Rata Y</t>
  </si>
  <si>
    <t>Y-Yi</t>
  </si>
  <si>
    <t>Degreees Of Freedom</t>
  </si>
  <si>
    <t xml:space="preserve">Total </t>
  </si>
  <si>
    <r>
      <t xml:space="preserve">Tabel </t>
    </r>
    <r>
      <rPr>
        <i/>
        <sz val="12"/>
        <color theme="1"/>
        <rFont val="Calibri"/>
        <family val="2"/>
        <scheme val="minor"/>
      </rPr>
      <t>Analysis Of Variance</t>
    </r>
  </si>
  <si>
    <r>
      <t xml:space="preserve">Tabel Perhitungan </t>
    </r>
    <r>
      <rPr>
        <i/>
        <sz val="12"/>
        <color theme="1"/>
        <rFont val="Calibri"/>
        <family val="2"/>
        <scheme val="minor"/>
      </rPr>
      <t>Lack Of Fit</t>
    </r>
  </si>
  <si>
    <t>Degrees Of Freedom</t>
  </si>
  <si>
    <t>F0</t>
  </si>
  <si>
    <t>(Lack Of Fit)</t>
  </si>
  <si>
    <t>(Pure Error)</t>
  </si>
  <si>
    <t>Total (Regression + Residual)</t>
  </si>
  <si>
    <t>SSPe</t>
  </si>
  <si>
    <t>MSPe</t>
  </si>
  <si>
    <t>DFPe</t>
  </si>
  <si>
    <t>SSLof</t>
  </si>
  <si>
    <t>MSLOf</t>
  </si>
  <si>
    <t>DFLof</t>
  </si>
  <si>
    <t>Jawaban Soal Dari Perhitungan Nomer 3</t>
  </si>
  <si>
    <t>3) Diketahui bahwa terdapat data hasil eksperimen ukuran putihnya rayon dipengaruhi oleh konsentrasi Acid dengan hasil</t>
  </si>
  <si>
    <t>A.) Hitunglah Tabel Analyisis of Variance (ANOVA) dan simpulkan hasil dari uji F yang dilakukan.</t>
  </si>
  <si>
    <t xml:space="preserve">Uji F </t>
  </si>
  <si>
    <t>B.) Lakukanlah analisis uji lack of fit dari data tersebut</t>
  </si>
  <si>
    <t>Level Of X</t>
  </si>
  <si>
    <t xml:space="preserve">Standardised Residuals </t>
  </si>
  <si>
    <t>Studentized Residuals</t>
  </si>
  <si>
    <t>X6</t>
  </si>
  <si>
    <t>hii</t>
  </si>
  <si>
    <t>Press</t>
  </si>
  <si>
    <t>Studentizzed Residuals</t>
  </si>
  <si>
    <t>Nilai Studentized Residuals</t>
  </si>
  <si>
    <t xml:space="preserve">Dari model tersebut, di peroleh interpretasi bahwa variabel X1 memiliki pengaruh negatif, artinya semakin tinggi nilai variabel X1, maka semakin rendah nilai variabel Y. Dan variabel x6 memiliki pengaruh positif, artinya semakin tinggi nilai variabel X6, maka semakin tinggi nilai variabel Y. </t>
  </si>
  <si>
    <t>Kesimpulan Dan Interpretasi R^2 (Adj)</t>
  </si>
  <si>
    <t>Nilai R2 sebesar 0,786125 menunjukkan bahwa 78,61% varians jarak tempuh bensin dapat dijelaskan oleh model regresi. Artinya, sebesar 21,38% varians jarak tempuh bensin masih belum dapat dijelaskan oleh model regresi.</t>
  </si>
  <si>
    <t>Nilai R2(Adj) sebesar 0,771404412 menunjukkan bahwa 77,14% varians jarak tempuh bensin dapat dijelaskan oleh model regresi. Artinya, sebesar 22,86% varians jarak tempuh bensin masih belum dapat dijelaskan oleh model regresi setelah memperhitungkan jumlah variabel bebas.</t>
  </si>
  <si>
    <t>Nilai R2 menunjukkan seberapa besar varians variabel terikat Y yang dapat dijelaskan oleh model regresi. Nilai R2adj menunjukkan seberapa besar varians variabel terikat Y yang dapat dijelaskan oleh model regresi, setelah memperhitungkan jumlah variabel bebas yang digunakan dalam model.</t>
  </si>
  <si>
    <t>Variabel X6 tidak berpengaruh terhadap variabel Y.</t>
  </si>
  <si>
    <t>Nilai residual dari data terbesar, terdapat pada data Automobile Datsun B210, dengan nilai Standardised Residuals sebesar 2,070248539.</t>
  </si>
  <si>
    <t>Nilai residual dari data terbesar, terdapat pada data Automobile Datsun B210, dengan nilai Studentized Residuals sebesar 2,225647662.</t>
  </si>
  <si>
    <t>Di karenakan, nilai Standardised Residuals sebesar 2, 2256 dan Datsun B210&lt;3, maka tidak terjadi outlier pada setiap observasi data.</t>
  </si>
  <si>
    <t>Perhitungan R^2 Prediction</t>
  </si>
  <si>
    <t>PRESS</t>
  </si>
  <si>
    <t>R^2(Prediction)</t>
  </si>
  <si>
    <t>R^2(Adj)</t>
  </si>
  <si>
    <t xml:space="preserve">Interpretasi </t>
  </si>
  <si>
    <t>Dapat diketahui bahwa nilai R^2 Prediction memiliki nilai 0,7335 yang berarti bahwa nilai R^2 Prediction menunjukkan hubungan model yang berkorelasi dengan nilai sebenarnya dan 
nilai R^2 Square 0,7861 yang berarti bahwa R^2 Square menunjukkan variasi dependen dapat di jelaskan oleh model regresi.</t>
  </si>
  <si>
    <t>R^2</t>
  </si>
  <si>
    <t>Perhitungan 1D</t>
  </si>
  <si>
    <t>Perhitungan 1F</t>
  </si>
  <si>
    <t>Perhitungan 1G</t>
  </si>
  <si>
    <t>Dengan menggunakan X1 = 275 dan X6 = 2</t>
  </si>
  <si>
    <t>Dengan menggunakan  X1 = 257 dan X2 = 2</t>
  </si>
  <si>
    <t>Confidence Interval Beta Topi 6</t>
  </si>
  <si>
    <t>95% kita yakin bahwa B6 Topi dapt mewakili parameter B6 pada populasi.</t>
  </si>
  <si>
    <t>G.) Temukan dan interpretasikan 95% prediction interval untuk observasi baru pada jarak tempuh bensin ketika 𝑥1 = 275 𝑖𝑛. 3 dan 𝑥6 = 2 barrels</t>
  </si>
  <si>
    <t>95% kita yakin nilai tersebut barada di rentang pada rata-rata jarak tempuh bensin dan mewakili parameter B0 Topi pada populasi.</t>
  </si>
  <si>
    <t>95% kita yakin nilai tersebut barada di rentang pada observasi barurata-rata jarak tempuh bensin dan mewakili parameter B0 Topi pada populasi.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</si>
</sst>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sz val="12"/>
      <color rgb="FF000000"/>
      <name val="Calibri"/>
      <family val="2"/>
    </font>
    <font>
      <sz val="11"/>
      <color theme="1"/>
      <name val="Cambria Math"/>
      <family val="1"/>
    </font>
  </fonts>
  <fills count="12">
    <fill>
      <patternFill patternType="none"/>
    </fill>
    <fill>
      <patternFill patternType="gray125"/>
    </fill>
    <fill>
      <patternFill patternType="solid">
        <fgColor theme="7" tint="0.7999816888943144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8" tint="0.39997558519241921"/>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6">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0" xfId="0" applyFont="1"/>
    <xf numFmtId="0" fontId="0" fillId="0" borderId="9" xfId="0" applyBorder="1" applyAlignment="1">
      <alignment horizontal="center" vertical="center"/>
    </xf>
    <xf numFmtId="0" fontId="3" fillId="0" borderId="9" xfId="0" applyFont="1" applyBorder="1" applyAlignment="1">
      <alignment horizontal="center" vertical="center"/>
    </xf>
    <xf numFmtId="0" fontId="4" fillId="0" borderId="9" xfId="0" applyFont="1" applyBorder="1" applyAlignment="1">
      <alignment horizontal="center" vertical="center"/>
    </xf>
    <xf numFmtId="0" fontId="1" fillId="0" borderId="0" xfId="0" applyFont="1" applyBorder="1" applyAlignment="1">
      <alignment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9" xfId="0" applyBorder="1" applyAlignment="1">
      <alignment horizontal="center"/>
    </xf>
    <xf numFmtId="0" fontId="0" fillId="0" borderId="9" xfId="0" applyBorder="1"/>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vertical="center"/>
    </xf>
    <xf numFmtId="0" fontId="0" fillId="0" borderId="0" xfId="0" applyFill="1" applyBorder="1" applyAlignment="1"/>
    <xf numFmtId="0" fontId="0" fillId="0" borderId="0" xfId="0" applyFill="1" applyBorder="1" applyAlignment="1">
      <alignment horizontal="center" vertical="center"/>
    </xf>
    <xf numFmtId="0" fontId="0" fillId="0" borderId="12" xfId="0" applyBorder="1"/>
    <xf numFmtId="0" fontId="0" fillId="0" borderId="9" xfId="0" applyFill="1" applyBorder="1" applyAlignment="1">
      <alignment horizontal="center" vertical="center"/>
    </xf>
    <xf numFmtId="0" fontId="0" fillId="0" borderId="9" xfId="0"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12" xfId="0" applyBorder="1" applyAlignment="1">
      <alignment horizontal="center"/>
    </xf>
    <xf numFmtId="0" fontId="0" fillId="0" borderId="9" xfId="0" applyFill="1" applyBorder="1" applyAlignment="1">
      <alignment horizontal="center"/>
    </xf>
    <xf numFmtId="10" fontId="0" fillId="0" borderId="0" xfId="0" applyNumberFormat="1"/>
    <xf numFmtId="0" fontId="0" fillId="0" borderId="9" xfId="0" applyFill="1" applyBorder="1" applyAlignment="1">
      <alignment horizontal="center"/>
    </xf>
    <xf numFmtId="0" fontId="5" fillId="0" borderId="0" xfId="0" applyFont="1"/>
    <xf numFmtId="0" fontId="0" fillId="2" borderId="9" xfId="0" applyFont="1" applyFill="1" applyBorder="1" applyAlignment="1">
      <alignment horizontal="center" vertical="center"/>
    </xf>
    <xf numFmtId="0" fontId="0" fillId="2" borderId="9" xfId="0" applyFill="1" applyBorder="1" applyAlignment="1">
      <alignment horizontal="center" vertical="center"/>
    </xf>
    <xf numFmtId="0" fontId="0" fillId="0" borderId="0" xfId="0" applyBorder="1"/>
    <xf numFmtId="0" fontId="2" fillId="0" borderId="0" xfId="0" applyFont="1" applyFill="1" applyBorder="1" applyAlignment="1">
      <alignment horizontal="centerContinuous"/>
    </xf>
    <xf numFmtId="0" fontId="2" fillId="0" borderId="0" xfId="0" applyFont="1" applyFill="1" applyBorder="1" applyAlignment="1">
      <alignment horizontal="center"/>
    </xf>
    <xf numFmtId="0" fontId="0" fillId="2" borderId="9" xfId="0" applyFill="1" applyBorder="1" applyAlignment="1">
      <alignment horizontal="center" vertical="center"/>
    </xf>
    <xf numFmtId="0" fontId="0" fillId="4" borderId="9" xfId="0" applyFill="1" applyBorder="1" applyAlignment="1">
      <alignment horizontal="center" vertical="center"/>
    </xf>
    <xf numFmtId="0" fontId="1" fillId="5" borderId="9" xfId="0" applyFont="1" applyFill="1" applyBorder="1" applyAlignment="1">
      <alignment horizontal="center" vertical="center"/>
    </xf>
    <xf numFmtId="0" fontId="0" fillId="5" borderId="9" xfId="0" applyFill="1" applyBorder="1" applyAlignment="1">
      <alignment horizontal="center" vertical="center"/>
    </xf>
    <xf numFmtId="0" fontId="0" fillId="5" borderId="9" xfId="0" applyFill="1" applyBorder="1" applyAlignment="1">
      <alignment horizontal="center" vertical="center"/>
    </xf>
    <xf numFmtId="0" fontId="0" fillId="5" borderId="9" xfId="0" applyFill="1" applyBorder="1" applyAlignment="1">
      <alignment horizontal="center"/>
    </xf>
    <xf numFmtId="0" fontId="0" fillId="3" borderId="12" xfId="0" applyFill="1" applyBorder="1"/>
    <xf numFmtId="0" fontId="0" fillId="2" borderId="9" xfId="0" applyFill="1" applyBorder="1" applyAlignment="1">
      <alignment horizontal="center"/>
    </xf>
    <xf numFmtId="0" fontId="0" fillId="6" borderId="9" xfId="0" applyFill="1" applyBorder="1" applyAlignment="1">
      <alignment horizontal="center" vertical="center"/>
    </xf>
    <xf numFmtId="0" fontId="0" fillId="6" borderId="9" xfId="0" applyFill="1" applyBorder="1"/>
    <xf numFmtId="0" fontId="0" fillId="6" borderId="9" xfId="0" applyFill="1" applyBorder="1" applyAlignment="1">
      <alignment horizontal="center"/>
    </xf>
    <xf numFmtId="0" fontId="0" fillId="3" borderId="12" xfId="0" applyFill="1" applyBorder="1" applyAlignment="1">
      <alignment horizontal="center"/>
    </xf>
    <xf numFmtId="9" fontId="0" fillId="6" borderId="9" xfId="0" applyNumberFormat="1" applyFill="1" applyBorder="1" applyAlignment="1">
      <alignment horizontal="center"/>
    </xf>
    <xf numFmtId="10" fontId="0" fillId="6" borderId="9" xfId="0" applyNumberFormat="1" applyFill="1" applyBorder="1" applyAlignment="1">
      <alignment horizontal="center"/>
    </xf>
    <xf numFmtId="0" fontId="0" fillId="3" borderId="9" xfId="0" applyFill="1" applyBorder="1" applyAlignment="1">
      <alignment horizontal="center"/>
    </xf>
    <xf numFmtId="0" fontId="0" fillId="2" borderId="12" xfId="0" applyFill="1" applyBorder="1"/>
    <xf numFmtId="0" fontId="0" fillId="2" borderId="9" xfId="0" applyFill="1" applyBorder="1"/>
    <xf numFmtId="0" fontId="0" fillId="3" borderId="12" xfId="0" applyFill="1" applyBorder="1" applyAlignment="1">
      <alignment horizontal="center" vertical="center"/>
    </xf>
    <xf numFmtId="0" fontId="0" fillId="3" borderId="9" xfId="0" applyFill="1" applyBorder="1" applyAlignment="1">
      <alignment horizontal="center"/>
    </xf>
    <xf numFmtId="0" fontId="0" fillId="7" borderId="9" xfId="0" applyFill="1" applyBorder="1" applyAlignment="1">
      <alignment horizontal="center"/>
    </xf>
    <xf numFmtId="0" fontId="0" fillId="3" borderId="12" xfId="0" applyFill="1" applyBorder="1" applyAlignment="1">
      <alignment horizontal="center"/>
    </xf>
    <xf numFmtId="0" fontId="1" fillId="8" borderId="9" xfId="0" applyFont="1" applyFill="1" applyBorder="1" applyAlignment="1">
      <alignment horizontal="center"/>
    </xf>
    <xf numFmtId="0" fontId="0" fillId="8" borderId="9" xfId="0" applyFill="1" applyBorder="1" applyAlignment="1">
      <alignment horizontal="center" vertical="center"/>
    </xf>
    <xf numFmtId="0" fontId="1" fillId="8" borderId="9" xfId="0" applyFont="1" applyFill="1" applyBorder="1" applyAlignment="1">
      <alignment horizontal="center" vertical="center"/>
    </xf>
    <xf numFmtId="0" fontId="0" fillId="9" borderId="9" xfId="0" applyFill="1" applyBorder="1" applyAlignment="1">
      <alignment horizontal="center" vertical="center"/>
    </xf>
    <xf numFmtId="0" fontId="0" fillId="9" borderId="9" xfId="0" applyFill="1" applyBorder="1"/>
    <xf numFmtId="0" fontId="0" fillId="0" borderId="12" xfId="0" applyBorder="1" applyAlignment="1">
      <alignment horizontal="center"/>
    </xf>
    <xf numFmtId="0" fontId="0" fillId="0" borderId="15" xfId="0" applyBorder="1" applyAlignment="1">
      <alignment horizontal="center"/>
    </xf>
    <xf numFmtId="0" fontId="0" fillId="7" borderId="9" xfId="0" applyFill="1" applyBorder="1"/>
    <xf numFmtId="0" fontId="0" fillId="0" borderId="16" xfId="0" applyBorder="1" applyAlignment="1">
      <alignment horizontal="center"/>
    </xf>
    <xf numFmtId="0" fontId="0" fillId="8" borderId="9" xfId="0" applyFill="1" applyBorder="1" applyAlignment="1">
      <alignment horizontal="center"/>
    </xf>
    <xf numFmtId="0" fontId="0" fillId="10" borderId="9" xfId="0" applyFill="1" applyBorder="1" applyAlignment="1">
      <alignment horizontal="center"/>
    </xf>
    <xf numFmtId="0" fontId="1" fillId="10" borderId="9" xfId="0" applyFont="1" applyFill="1" applyBorder="1" applyAlignment="1">
      <alignment horizontal="center"/>
    </xf>
    <xf numFmtId="0" fontId="0" fillId="5" borderId="9" xfId="0" applyFill="1" applyBorder="1" applyAlignment="1">
      <alignment horizontal="center"/>
    </xf>
    <xf numFmtId="0" fontId="0" fillId="0" borderId="17" xfId="0" applyBorder="1" applyAlignment="1">
      <alignment horizontal="center"/>
    </xf>
    <xf numFmtId="0" fontId="0" fillId="0" borderId="0"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vertical="center"/>
    </xf>
    <xf numFmtId="0" fontId="0" fillId="0" borderId="18" xfId="0" applyBorder="1" applyAlignment="1">
      <alignment horizontal="center"/>
    </xf>
    <xf numFmtId="0" fontId="0" fillId="0" borderId="19" xfId="0" applyBorder="1" applyAlignment="1">
      <alignment horizontal="center"/>
    </xf>
    <xf numFmtId="0" fontId="0" fillId="3" borderId="14" xfId="0" applyFill="1" applyBorder="1" applyAlignment="1">
      <alignment horizontal="center" vertical="center"/>
    </xf>
    <xf numFmtId="0" fontId="1" fillId="3" borderId="9" xfId="0" applyFont="1" applyFill="1" applyBorder="1" applyAlignment="1">
      <alignment horizontal="center"/>
    </xf>
    <xf numFmtId="0" fontId="1" fillId="3" borderId="14" xfId="0" applyFont="1" applyFill="1" applyBorder="1" applyAlignment="1">
      <alignment horizontal="center" vertical="center"/>
    </xf>
    <xf numFmtId="0" fontId="0" fillId="0" borderId="9" xfId="0" applyBorder="1" applyAlignment="1">
      <alignment horizontal="left"/>
    </xf>
    <xf numFmtId="0" fontId="0" fillId="0" borderId="0" xfId="0" applyBorder="1" applyAlignment="1"/>
    <xf numFmtId="0" fontId="0" fillId="0" borderId="0" xfId="0" applyBorder="1" applyAlignment="1">
      <alignment horizontal="center" vertical="center"/>
    </xf>
    <xf numFmtId="0" fontId="0" fillId="0" borderId="9" xfId="0" applyBorder="1" applyAlignment="1">
      <alignment horizontal="left" wrapText="1"/>
    </xf>
    <xf numFmtId="0" fontId="0" fillId="0" borderId="17" xfId="0" applyBorder="1" applyAlignment="1">
      <alignment horizontal="center"/>
    </xf>
    <xf numFmtId="0" fontId="0" fillId="3" borderId="20" xfId="0" applyFill="1" applyBorder="1" applyAlignment="1">
      <alignment horizontal="center"/>
    </xf>
    <xf numFmtId="0" fontId="0" fillId="3" borderId="10" xfId="0" applyFill="1" applyBorder="1" applyAlignment="1">
      <alignment horizontal="center"/>
    </xf>
    <xf numFmtId="0" fontId="0" fillId="0" borderId="9" xfId="0" applyBorder="1" applyAlignment="1">
      <alignment horizontal="left" vertical="top"/>
    </xf>
    <xf numFmtId="0" fontId="0" fillId="0" borderId="0" xfId="0" applyFill="1" applyBorder="1"/>
    <xf numFmtId="0" fontId="0" fillId="5" borderId="9" xfId="0" applyFill="1" applyBorder="1"/>
    <xf numFmtId="0" fontId="0" fillId="3" borderId="9" xfId="0" applyFill="1" applyBorder="1" applyAlignment="1">
      <alignment vertical="center"/>
    </xf>
    <xf numFmtId="0" fontId="0" fillId="3" borderId="9" xfId="0" applyFill="1" applyBorder="1"/>
    <xf numFmtId="0" fontId="0" fillId="0" borderId="22" xfId="0" applyBorder="1" applyAlignment="1">
      <alignment horizontal="center"/>
    </xf>
    <xf numFmtId="0" fontId="2" fillId="0" borderId="9" xfId="0" applyFont="1" applyBorder="1" applyAlignment="1">
      <alignment horizontal="center"/>
    </xf>
    <xf numFmtId="0" fontId="0" fillId="0" borderId="18" xfId="0" applyBorder="1" applyAlignment="1">
      <alignment horizontal="center" vertical="center"/>
    </xf>
    <xf numFmtId="0" fontId="0" fillId="0" borderId="20" xfId="0" applyBorder="1" applyAlignment="1">
      <alignment horizontal="center" vertical="center"/>
    </xf>
    <xf numFmtId="0" fontId="2" fillId="0" borderId="18" xfId="0" applyFont="1" applyBorder="1" applyAlignment="1">
      <alignment horizontal="center"/>
    </xf>
    <xf numFmtId="0" fontId="2" fillId="0" borderId="17" xfId="0" applyFont="1" applyBorder="1" applyAlignment="1">
      <alignment horizontal="center"/>
    </xf>
    <xf numFmtId="0" fontId="0" fillId="0" borderId="10" xfId="0" applyBorder="1" applyAlignment="1">
      <alignment horizontal="center"/>
    </xf>
    <xf numFmtId="0" fontId="0" fillId="2" borderId="12" xfId="0" applyFill="1" applyBorder="1" applyAlignment="1">
      <alignment horizontal="center"/>
    </xf>
    <xf numFmtId="0" fontId="0" fillId="3" borderId="9" xfId="0" applyFill="1" applyBorder="1" applyAlignment="1">
      <alignment horizontal="center" vertic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13" xfId="0" applyFill="1" applyBorder="1" applyAlignment="1">
      <alignment horizontal="center"/>
    </xf>
    <xf numFmtId="0" fontId="1" fillId="11" borderId="9" xfId="0" applyFont="1" applyFill="1" applyBorder="1" applyAlignment="1">
      <alignment horizontal="center"/>
    </xf>
    <xf numFmtId="0" fontId="0" fillId="11" borderId="9" xfId="0" applyFill="1" applyBorder="1" applyAlignment="1">
      <alignment horizontal="center"/>
    </xf>
    <xf numFmtId="0" fontId="0" fillId="0" borderId="17" xfId="0" applyBorder="1" applyAlignment="1">
      <alignment horizontal="center" vertical="center"/>
    </xf>
    <xf numFmtId="0" fontId="0" fillId="0" borderId="10" xfId="0" applyBorder="1" applyAlignment="1">
      <alignment horizontal="center" vertical="center"/>
    </xf>
    <xf numFmtId="0" fontId="2" fillId="0" borderId="16" xfId="0" applyFont="1" applyBorder="1" applyAlignment="1">
      <alignment horizontal="center"/>
    </xf>
    <xf numFmtId="0" fontId="2" fillId="2" borderId="9" xfId="0" applyFont="1" applyFill="1" applyBorder="1" applyAlignment="1">
      <alignment horizontal="center"/>
    </xf>
    <xf numFmtId="0" fontId="0" fillId="3" borderId="0" xfId="0" applyFill="1" applyBorder="1" applyAlignment="1">
      <alignment horizontal="center"/>
    </xf>
    <xf numFmtId="0" fontId="0" fillId="0" borderId="0" xfId="0" applyFill="1" applyBorder="1" applyAlignment="1">
      <alignment vertical="center"/>
    </xf>
    <xf numFmtId="0" fontId="1" fillId="0" borderId="0" xfId="0" applyFont="1" applyFill="1" applyBorder="1" applyAlignment="1">
      <alignment vertical="center"/>
    </xf>
    <xf numFmtId="0" fontId="0" fillId="0" borderId="12" xfId="0" applyFill="1" applyBorder="1" applyAlignment="1">
      <alignment horizontal="center" vertical="center"/>
    </xf>
    <xf numFmtId="0" fontId="3" fillId="0" borderId="0" xfId="0" applyFont="1" applyFill="1" applyBorder="1"/>
    <xf numFmtId="0" fontId="5" fillId="0" borderId="0" xfId="0" applyFont="1" applyBorder="1"/>
    <xf numFmtId="10" fontId="0" fillId="0" borderId="0" xfId="0" applyNumberFormat="1" applyBorder="1"/>
    <xf numFmtId="9" fontId="0" fillId="0" borderId="0" xfId="0" applyNumberFormat="1" applyFill="1" applyBorder="1" applyAlignment="1">
      <alignment horizontal="center"/>
    </xf>
    <xf numFmtId="0" fontId="5" fillId="0" borderId="0" xfId="0" applyFont="1" applyFill="1" applyBorder="1"/>
    <xf numFmtId="10" fontId="0" fillId="0" borderId="0" xfId="0" applyNumberFormat="1" applyFill="1" applyBorder="1" applyAlignment="1">
      <alignment horizontal="center"/>
    </xf>
    <xf numFmtId="10" fontId="0" fillId="0" borderId="0" xfId="0" applyNumberFormat="1" applyFill="1" applyBorder="1"/>
    <xf numFmtId="0" fontId="0" fillId="2" borderId="22" xfId="0" applyFill="1" applyBorder="1"/>
    <xf numFmtId="0" fontId="0" fillId="6" borderId="22" xfId="0" applyFill="1" applyBorder="1"/>
    <xf numFmtId="0" fontId="0" fillId="2" borderId="22" xfId="0" applyFill="1" applyBorder="1" applyAlignment="1">
      <alignment horizontal="center"/>
    </xf>
    <xf numFmtId="9" fontId="0" fillId="6" borderId="22" xfId="0" applyNumberFormat="1" applyFill="1" applyBorder="1" applyAlignment="1">
      <alignment horizontal="center"/>
    </xf>
    <xf numFmtId="0" fontId="0" fillId="7" borderId="22" xfId="0" applyFill="1"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0" fillId="3" borderId="21" xfId="0" applyFill="1" applyBorder="1" applyAlignment="1">
      <alignment horizontal="center"/>
    </xf>
    <xf numFmtId="0" fontId="0" fillId="5" borderId="9" xfId="0" applyFont="1" applyFill="1" applyBorder="1" applyAlignment="1">
      <alignment horizontal="center"/>
    </xf>
    <xf numFmtId="0" fontId="0" fillId="3" borderId="1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558241</xdr:colOff>
      <xdr:row>127</xdr:row>
      <xdr:rowOff>1</xdr:rowOff>
    </xdr:from>
    <xdr:ext cx="2576052" cy="172227"/>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ADB7024E-B81A-E95E-4772-F770F8B98BA1}"/>
                </a:ext>
              </a:extLst>
            </xdr:cNvPr>
            <xdr:cNvSpPr txBox="1"/>
          </xdr:nvSpPr>
          <xdr:spPr>
            <a:xfrm flipH="1">
              <a:off x="558241" y="26586265"/>
              <a:ext cx="25760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acc>
                    <m:accPr>
                      <m:chr m:val="̂"/>
                      <m:ctrlPr>
                        <a:rPr lang="en-US" sz="1100" i="1">
                          <a:latin typeface="Cambria Math" panose="02040503050406030204" pitchFamily="18" charset="0"/>
                        </a:rPr>
                      </m:ctrlPr>
                    </m:accPr>
                    <m:e>
                      <m:r>
                        <a:rPr lang="en-US" sz="1100" b="0" i="1">
                          <a:latin typeface="Cambria Math" panose="02040503050406030204" pitchFamily="18" charset="0"/>
                        </a:rPr>
                        <m:t>𝑦</m:t>
                      </m:r>
                    </m:e>
                  </m:acc>
                </m:oMath>
              </a14:m>
              <a:r>
                <a:rPr lang="en-US" sz="1100"/>
                <a:t> = 32,</a:t>
              </a:r>
              <a:r>
                <a:rPr lang="en-US" sz="1100" baseline="0"/>
                <a:t>9100 + ( -0,0530</a:t>
              </a:r>
              <a14:m>
                <m:oMath xmlns:m="http://schemas.openxmlformats.org/officeDocument/2006/math">
                  <m:sSub>
                    <m:sSubPr>
                      <m:ctrlPr>
                        <a:rPr lang="en-US" sz="1100" i="1" baseline="0">
                          <a:latin typeface="Cambria Math" panose="02040503050406030204" pitchFamily="18" charset="0"/>
                        </a:rPr>
                      </m:ctrlPr>
                    </m:sSubPr>
                    <m:e>
                      <m:r>
                        <a:rPr lang="en-US" sz="1100" b="0" i="1" baseline="0">
                          <a:latin typeface="Cambria Math" panose="02040503050406030204" pitchFamily="18" charset="0"/>
                        </a:rPr>
                        <m:t>𝑥</m:t>
                      </m:r>
                    </m:e>
                    <m:sub>
                      <m:r>
                        <a:rPr lang="en-US" sz="1100" b="0" i="1" baseline="0">
                          <a:latin typeface="Cambria Math" panose="02040503050406030204" pitchFamily="18" charset="0"/>
                        </a:rPr>
                        <m:t>1</m:t>
                      </m:r>
                    </m:sub>
                  </m:sSub>
                </m:oMath>
              </a14:m>
              <a:r>
                <a:rPr lang="en-US" sz="1100"/>
                <a:t>) + 0,9295</a:t>
              </a:r>
              <a14:m>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6</m:t>
                      </m:r>
                    </m:sub>
                  </m:sSub>
                </m:oMath>
              </a14:m>
              <a:endParaRPr lang="en-US" sz="1100"/>
            </a:p>
          </xdr:txBody>
        </xdr:sp>
      </mc:Choice>
      <mc:Fallback>
        <xdr:sp macro="" textlink="">
          <xdr:nvSpPr>
            <xdr:cNvPr id="2" name="TextBox 1">
              <a:extLst>
                <a:ext uri="{FF2B5EF4-FFF2-40B4-BE49-F238E27FC236}">
                  <a16:creationId xmlns:a16="http://schemas.microsoft.com/office/drawing/2014/main" id="{ADB7024E-B81A-E95E-4772-F770F8B98BA1}"/>
                </a:ext>
              </a:extLst>
            </xdr:cNvPr>
            <xdr:cNvSpPr txBox="1"/>
          </xdr:nvSpPr>
          <xdr:spPr>
            <a:xfrm flipH="1">
              <a:off x="558241" y="26586265"/>
              <a:ext cx="257605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𝑦 ̂</a:t>
              </a:r>
              <a:r>
                <a:rPr lang="en-US" sz="1100"/>
                <a:t> = 32,</a:t>
              </a:r>
              <a:r>
                <a:rPr lang="en-US" sz="1100" baseline="0"/>
                <a:t>9100 + ( -0,0530</a:t>
              </a:r>
              <a:r>
                <a:rPr lang="en-US" sz="1100" b="0" i="0" baseline="0">
                  <a:latin typeface="Cambria Math" panose="02040503050406030204" pitchFamily="18" charset="0"/>
                </a:rPr>
                <a:t>𝑥_1</a:t>
              </a:r>
              <a:r>
                <a:rPr lang="en-US" sz="1100"/>
                <a:t>) + 0,9295</a:t>
              </a:r>
              <a:r>
                <a:rPr lang="en-US" sz="1100" b="0" i="0">
                  <a:latin typeface="Cambria Math" panose="02040503050406030204" pitchFamily="18" charset="0"/>
                </a:rPr>
                <a:t>𝑥_6</a:t>
              </a:r>
              <a:endParaRPr lang="en-US" sz="1100"/>
            </a:p>
          </xdr:txBody>
        </xdr:sp>
      </mc:Fallback>
    </mc:AlternateContent>
    <xdr:clientData/>
  </xdr:oneCellAnchor>
  <xdr:oneCellAnchor>
    <xdr:from>
      <xdr:col>3</xdr:col>
      <xdr:colOff>70268</xdr:colOff>
      <xdr:row>237</xdr:row>
      <xdr:rowOff>115887</xdr:rowOff>
    </xdr:from>
    <xdr:ext cx="65" cy="172227"/>
    <xdr:sp macro="" textlink="">
      <xdr:nvSpPr>
        <xdr:cNvPr id="3" name="TextBox 2">
          <a:extLst>
            <a:ext uri="{FF2B5EF4-FFF2-40B4-BE49-F238E27FC236}">
              <a16:creationId xmlns:a16="http://schemas.microsoft.com/office/drawing/2014/main" id="{61DB10C9-962F-659B-296B-707DC50899FA}"/>
            </a:ext>
          </a:extLst>
        </xdr:cNvPr>
        <xdr:cNvSpPr txBox="1"/>
      </xdr:nvSpPr>
      <xdr:spPr>
        <a:xfrm>
          <a:off x="3181768" y="48375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0</xdr:col>
      <xdr:colOff>290890</xdr:colOff>
      <xdr:row>235</xdr:row>
      <xdr:rowOff>27416</xdr:rowOff>
    </xdr:from>
    <xdr:ext cx="480793" cy="175369"/>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04349873-4022-5F64-6B9E-2A95955258C1}"/>
                </a:ext>
              </a:extLst>
            </xdr:cNvPr>
            <xdr:cNvSpPr txBox="1"/>
          </xdr:nvSpPr>
          <xdr:spPr>
            <a:xfrm>
              <a:off x="290890" y="46481194"/>
              <a:ext cx="480793"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𝑅</m:t>
                      </m:r>
                    </m:e>
                    <m:sup>
                      <m:r>
                        <a:rPr lang="en-US" sz="1100" b="0" i="1">
                          <a:latin typeface="Cambria Math" panose="02040503050406030204" pitchFamily="18" charset="0"/>
                        </a:rPr>
                        <m:t>2</m:t>
                      </m:r>
                    </m:sup>
                  </m:sSup>
                </m:oMath>
              </a14:m>
              <a:r>
                <a:rPr lang="en-US" sz="1100" i="1"/>
                <a:t>(Adj)</a:t>
              </a:r>
            </a:p>
          </xdr:txBody>
        </xdr:sp>
      </mc:Choice>
      <mc:Fallback>
        <xdr:sp macro="" textlink="">
          <xdr:nvSpPr>
            <xdr:cNvPr id="4" name="TextBox 3">
              <a:extLst>
                <a:ext uri="{FF2B5EF4-FFF2-40B4-BE49-F238E27FC236}">
                  <a16:creationId xmlns:a16="http://schemas.microsoft.com/office/drawing/2014/main" id="{04349873-4022-5F64-6B9E-2A95955258C1}"/>
                </a:ext>
              </a:extLst>
            </xdr:cNvPr>
            <xdr:cNvSpPr txBox="1"/>
          </xdr:nvSpPr>
          <xdr:spPr>
            <a:xfrm>
              <a:off x="290890" y="46481194"/>
              <a:ext cx="480793"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𝑅^2</a:t>
              </a:r>
              <a:r>
                <a:rPr lang="en-US" sz="1100" i="1"/>
                <a:t>(Adj)</a:t>
              </a:r>
            </a:p>
          </xdr:txBody>
        </xdr:sp>
      </mc:Fallback>
    </mc:AlternateContent>
    <xdr:clientData/>
  </xdr:oneCellAnchor>
  <xdr:oneCellAnchor>
    <xdr:from>
      <xdr:col>3</xdr:col>
      <xdr:colOff>283343</xdr:colOff>
      <xdr:row>235</xdr:row>
      <xdr:rowOff>12839</xdr:rowOff>
    </xdr:from>
    <xdr:ext cx="647547" cy="181332"/>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02E37198-F6AD-DA83-38D9-DE6BC36DB083}"/>
                </a:ext>
              </a:extLst>
            </xdr:cNvPr>
            <xdr:cNvSpPr txBox="1"/>
          </xdr:nvSpPr>
          <xdr:spPr>
            <a:xfrm>
              <a:off x="3401825" y="48465666"/>
              <a:ext cx="647547" cy="1813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𝑅</m:t>
                        </m:r>
                      </m:e>
                      <m:sup>
                        <m:r>
                          <a:rPr lang="en-US" sz="1100" b="0" i="1">
                            <a:latin typeface="Cambria Math" panose="02040503050406030204" pitchFamily="18" charset="0"/>
                          </a:rPr>
                          <m:t>2 </m:t>
                        </m:r>
                      </m:sup>
                    </m:sSup>
                    <m:r>
                      <m:rPr>
                        <m:sty m:val="p"/>
                      </m:rPr>
                      <a:rPr lang="en-US" sz="1100" b="0" i="0">
                        <a:latin typeface="Cambria Math" panose="02040503050406030204" pitchFamily="18" charset="0"/>
                      </a:rPr>
                      <m:t>Adj</m:t>
                    </m:r>
                    <m:r>
                      <a:rPr lang="en-US" sz="1100" b="0" i="0">
                        <a:latin typeface="Cambria Math" panose="02040503050406030204" pitchFamily="18" charset="0"/>
                      </a:rPr>
                      <m:t> (%)</m:t>
                    </m:r>
                  </m:oMath>
                </m:oMathPara>
              </a14:m>
              <a:endParaRPr lang="en-US" sz="1100"/>
            </a:p>
          </xdr:txBody>
        </xdr:sp>
      </mc:Choice>
      <mc:Fallback>
        <xdr:sp macro="" textlink="">
          <xdr:nvSpPr>
            <xdr:cNvPr id="5" name="TextBox 4">
              <a:extLst>
                <a:ext uri="{FF2B5EF4-FFF2-40B4-BE49-F238E27FC236}">
                  <a16:creationId xmlns:a16="http://schemas.microsoft.com/office/drawing/2014/main" id="{02E37198-F6AD-DA83-38D9-DE6BC36DB083}"/>
                </a:ext>
              </a:extLst>
            </xdr:cNvPr>
            <xdr:cNvSpPr txBox="1"/>
          </xdr:nvSpPr>
          <xdr:spPr>
            <a:xfrm>
              <a:off x="3401825" y="48465666"/>
              <a:ext cx="647547" cy="1813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𝑅^(2 ) Adj (%)</a:t>
              </a:r>
              <a:endParaRPr lang="en-US" sz="1100"/>
            </a:p>
          </xdr:txBody>
        </xdr:sp>
      </mc:Fallback>
    </mc:AlternateContent>
    <xdr:clientData/>
  </xdr:oneCellAnchor>
  <xdr:oneCellAnchor>
    <xdr:from>
      <xdr:col>6</xdr:col>
      <xdr:colOff>349903</xdr:colOff>
      <xdr:row>235</xdr:row>
      <xdr:rowOff>23501</xdr:rowOff>
    </xdr:from>
    <xdr:ext cx="191270" cy="175369"/>
    <mc:AlternateContent xmlns:mc="http://schemas.openxmlformats.org/markup-compatibility/2006">
      <mc:Choice xmlns:a14="http://schemas.microsoft.com/office/drawing/2010/main" Requires="a14">
        <xdr:sp macro="" textlink="">
          <xdr:nvSpPr>
            <xdr:cNvPr id="6" name="TextBox 5">
              <a:extLst>
                <a:ext uri="{FF2B5EF4-FFF2-40B4-BE49-F238E27FC236}">
                  <a16:creationId xmlns:a16="http://schemas.microsoft.com/office/drawing/2014/main" id="{28735EE5-B99F-37B2-53AA-FD8B1FDBF013}"/>
                </a:ext>
              </a:extLst>
            </xdr:cNvPr>
            <xdr:cNvSpPr txBox="1"/>
          </xdr:nvSpPr>
          <xdr:spPr>
            <a:xfrm>
              <a:off x="6177660" y="47464529"/>
              <a:ext cx="19127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𝑅</m:t>
                        </m:r>
                      </m:e>
                      <m:sup>
                        <m:r>
                          <a:rPr lang="en-US" sz="1100" b="0" i="1">
                            <a:latin typeface="Cambria Math" panose="02040503050406030204" pitchFamily="18" charset="0"/>
                          </a:rPr>
                          <m:t>2</m:t>
                        </m:r>
                      </m:sup>
                    </m:sSup>
                  </m:oMath>
                </m:oMathPara>
              </a14:m>
              <a:endParaRPr lang="en-US" sz="1100"/>
            </a:p>
          </xdr:txBody>
        </xdr:sp>
      </mc:Choice>
      <mc:Fallback>
        <xdr:sp macro="" textlink="">
          <xdr:nvSpPr>
            <xdr:cNvPr id="6" name="TextBox 5">
              <a:extLst>
                <a:ext uri="{FF2B5EF4-FFF2-40B4-BE49-F238E27FC236}">
                  <a16:creationId xmlns:a16="http://schemas.microsoft.com/office/drawing/2014/main" id="{28735EE5-B99F-37B2-53AA-FD8B1FDBF013}"/>
                </a:ext>
              </a:extLst>
            </xdr:cNvPr>
            <xdr:cNvSpPr txBox="1"/>
          </xdr:nvSpPr>
          <xdr:spPr>
            <a:xfrm>
              <a:off x="6177660" y="47464529"/>
              <a:ext cx="19127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𝑅^2</a:t>
              </a:r>
              <a:endParaRPr lang="en-US" sz="1100"/>
            </a:p>
          </xdr:txBody>
        </xdr:sp>
      </mc:Fallback>
    </mc:AlternateContent>
    <xdr:clientData/>
  </xdr:oneCellAnchor>
  <xdr:oneCellAnchor>
    <xdr:from>
      <xdr:col>9</xdr:col>
      <xdr:colOff>292960</xdr:colOff>
      <xdr:row>235</xdr:row>
      <xdr:rowOff>10160</xdr:rowOff>
    </xdr:from>
    <xdr:ext cx="641760" cy="142240"/>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FE53F300-9A0B-EB46-BE87-6CE7A2764DBB}"/>
                </a:ext>
              </a:extLst>
            </xdr:cNvPr>
            <xdr:cNvSpPr txBox="1"/>
          </xdr:nvSpPr>
          <xdr:spPr>
            <a:xfrm>
              <a:off x="8735920" y="47782480"/>
              <a:ext cx="641760" cy="142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𝑅</m:t>
                      </m:r>
                    </m:e>
                    <m:sup>
                      <m:r>
                        <a:rPr lang="en-US" sz="1100" b="0" i="1">
                          <a:latin typeface="Cambria Math" panose="02040503050406030204" pitchFamily="18" charset="0"/>
                        </a:rPr>
                        <m:t>2</m:t>
                      </m:r>
                    </m:sup>
                  </m:sSup>
                </m:oMath>
              </a14:m>
              <a:r>
                <a:rPr lang="en-US" sz="1100"/>
                <a:t> (%)</a:t>
              </a:r>
            </a:p>
            <a:p>
              <a:endParaRPr lang="en-US" sz="1100"/>
            </a:p>
          </xdr:txBody>
        </xdr:sp>
      </mc:Choice>
      <mc:Fallback>
        <xdr:sp macro="" textlink="">
          <xdr:nvSpPr>
            <xdr:cNvPr id="7" name="TextBox 6">
              <a:extLst>
                <a:ext uri="{FF2B5EF4-FFF2-40B4-BE49-F238E27FC236}">
                  <a16:creationId xmlns:a16="http://schemas.microsoft.com/office/drawing/2014/main" id="{FE53F300-9A0B-EB46-BE87-6CE7A2764DBB}"/>
                </a:ext>
              </a:extLst>
            </xdr:cNvPr>
            <xdr:cNvSpPr txBox="1"/>
          </xdr:nvSpPr>
          <xdr:spPr>
            <a:xfrm>
              <a:off x="8735920" y="47782480"/>
              <a:ext cx="641760" cy="142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b="0" i="0">
                  <a:latin typeface="Cambria Math" panose="02040503050406030204" pitchFamily="18" charset="0"/>
                </a:rPr>
                <a:t>𝑅^2</a:t>
              </a:r>
              <a:r>
                <a:rPr lang="en-US" sz="1100"/>
                <a:t> (%)</a:t>
              </a:r>
            </a:p>
            <a:p>
              <a:endParaRPr lang="en-US"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1069739</xdr:colOff>
      <xdr:row>11</xdr:row>
      <xdr:rowOff>42855</xdr:rowOff>
    </xdr:from>
    <xdr:ext cx="2321060" cy="172227"/>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21E1C63C-3BDB-BDCC-076A-9095220AF519}"/>
                </a:ext>
              </a:extLst>
            </xdr:cNvPr>
            <xdr:cNvSpPr txBox="1"/>
          </xdr:nvSpPr>
          <xdr:spPr>
            <a:xfrm>
              <a:off x="1892353" y="2265355"/>
              <a:ext cx="232106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acc>
                    <m:accPr>
                      <m:chr m:val="̂"/>
                      <m:ctrlPr>
                        <a:rPr lang="en-US" sz="1100" i="1">
                          <a:latin typeface="Cambria Math" panose="02040503050406030204" pitchFamily="18" charset="0"/>
                        </a:rPr>
                      </m:ctrlPr>
                    </m:accPr>
                    <m:e>
                      <m:r>
                        <a:rPr lang="en-US" sz="1100" b="0" i="1">
                          <a:latin typeface="Cambria Math" panose="02040503050406030204" pitchFamily="18" charset="0"/>
                        </a:rPr>
                        <m:t>𝑦</m:t>
                      </m:r>
                    </m:e>
                  </m:acc>
                </m:oMath>
              </a14:m>
              <a:r>
                <a:rPr lang="en-US" sz="1100"/>
                <a:t> = 32,9100 + (-0,0530</a:t>
              </a:r>
              <a14:m>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1</m:t>
                      </m:r>
                    </m:sub>
                  </m:sSub>
                </m:oMath>
              </a14:m>
              <a:r>
                <a:rPr lang="en-US" sz="1100"/>
                <a:t>) + 0,9295</a:t>
              </a:r>
              <a14:m>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6</m:t>
                      </m:r>
                    </m:sub>
                  </m:sSub>
                </m:oMath>
              </a14:m>
              <a:endParaRPr lang="en-US" sz="1100"/>
            </a:p>
          </xdr:txBody>
        </xdr:sp>
      </mc:Choice>
      <mc:Fallback>
        <xdr:sp macro="" textlink="">
          <xdr:nvSpPr>
            <xdr:cNvPr id="3" name="TextBox 2">
              <a:extLst>
                <a:ext uri="{FF2B5EF4-FFF2-40B4-BE49-F238E27FC236}">
                  <a16:creationId xmlns:a16="http://schemas.microsoft.com/office/drawing/2014/main" id="{21E1C63C-3BDB-BDCC-076A-9095220AF519}"/>
                </a:ext>
              </a:extLst>
            </xdr:cNvPr>
            <xdr:cNvSpPr txBox="1"/>
          </xdr:nvSpPr>
          <xdr:spPr>
            <a:xfrm>
              <a:off x="1892353" y="2265355"/>
              <a:ext cx="2321060"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𝑦 ̂</a:t>
              </a:r>
              <a:r>
                <a:rPr lang="en-US" sz="1100"/>
                <a:t> = 32,9100 + (-0,0530</a:t>
              </a:r>
              <a:r>
                <a:rPr lang="en-US" sz="1100" b="0" i="0">
                  <a:latin typeface="Cambria Math" panose="02040503050406030204" pitchFamily="18" charset="0"/>
                </a:rPr>
                <a:t>𝑥_1</a:t>
              </a:r>
              <a:r>
                <a:rPr lang="en-US" sz="1100"/>
                <a:t>) + 0,9295</a:t>
              </a:r>
              <a:r>
                <a:rPr lang="en-US" sz="1100" b="0" i="0">
                  <a:latin typeface="Cambria Math" panose="02040503050406030204" pitchFamily="18" charset="0"/>
                </a:rPr>
                <a:t>𝑥_6</a:t>
              </a:r>
              <a:endParaRPr lang="en-US" sz="1100"/>
            </a:p>
          </xdr:txBody>
        </xdr:sp>
      </mc:Fallback>
    </mc:AlternateContent>
    <xdr:clientData/>
  </xdr:oneCellAnchor>
  <xdr:oneCellAnchor>
    <xdr:from>
      <xdr:col>3</xdr:col>
      <xdr:colOff>58770</xdr:colOff>
      <xdr:row>33</xdr:row>
      <xdr:rowOff>21469</xdr:rowOff>
    </xdr:from>
    <xdr:ext cx="198979" cy="175304"/>
    <xdr:sp macro="" textlink="">
      <xdr:nvSpPr>
        <xdr:cNvPr id="4" name="TextBox 3">
          <a:extLst>
            <a:ext uri="{FF2B5EF4-FFF2-40B4-BE49-F238E27FC236}">
              <a16:creationId xmlns:a16="http://schemas.microsoft.com/office/drawing/2014/main" id="{ADFE783A-4FC3-DF14-0FAE-EE876FE2DCC3}"/>
            </a:ext>
          </a:extLst>
        </xdr:cNvPr>
        <xdr:cNvSpPr txBox="1"/>
      </xdr:nvSpPr>
      <xdr:spPr>
        <a:xfrm>
          <a:off x="2687811" y="6671395"/>
          <a:ext cx="198979" cy="175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endParaRPr lang="en-US" sz="1100"/>
        </a:p>
      </xdr:txBody>
    </xdr:sp>
    <xdr:clientData/>
  </xdr:oneCellAnchor>
  <xdr:twoCellAnchor editAs="oneCell">
    <xdr:from>
      <xdr:col>4</xdr:col>
      <xdr:colOff>346036</xdr:colOff>
      <xdr:row>34</xdr:row>
      <xdr:rowOff>24110</xdr:rowOff>
    </xdr:from>
    <xdr:to>
      <xdr:col>5</xdr:col>
      <xdr:colOff>113393</xdr:colOff>
      <xdr:row>34</xdr:row>
      <xdr:rowOff>199479</xdr:rowOff>
    </xdr:to>
    <mc:AlternateContent xmlns:mc="http://schemas.openxmlformats.org/markup-compatibility/2006">
      <mc:Choice xmlns:a14="http://schemas.microsoft.com/office/drawing/2010/main" Requires="a14">
        <xdr:sp macro="" textlink="">
          <xdr:nvSpPr>
            <xdr:cNvPr id="6" name="TextBox 3">
              <a:extLst>
                <a:ext uri="{FF2B5EF4-FFF2-40B4-BE49-F238E27FC236}">
                  <a16:creationId xmlns:a16="http://schemas.microsoft.com/office/drawing/2014/main" id="{04349873-4022-5F64-6B9E-2A95955258C1}"/>
                </a:ext>
              </a:extLst>
            </xdr:cNvPr>
            <xdr:cNvSpPr txBox="1"/>
          </xdr:nvSpPr>
          <xdr:spPr>
            <a:xfrm>
              <a:off x="5255947" y="6963753"/>
              <a:ext cx="855928" cy="17536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14:m>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𝑅</m:t>
                      </m:r>
                    </m:e>
                    <m:sup>
                      <m:r>
                        <a:rPr lang="en-US" sz="1100" b="0" i="1">
                          <a:latin typeface="Cambria Math" panose="02040503050406030204" pitchFamily="18" charset="0"/>
                        </a:rPr>
                        <m:t>2</m:t>
                      </m:r>
                    </m:sup>
                  </m:sSup>
                </m:oMath>
              </a14:m>
              <a:r>
                <a:rPr lang="en-US" sz="1100" i="1"/>
                <a:t>(Adj) %</a:t>
              </a:r>
            </a:p>
          </xdr:txBody>
        </xdr:sp>
      </mc:Choice>
      <mc:Fallback>
        <xdr:sp macro="" textlink="">
          <xdr:nvSpPr>
            <xdr:cNvPr id="6" name="TextBox 3">
              <a:extLst>
                <a:ext uri="{FF2B5EF4-FFF2-40B4-BE49-F238E27FC236}">
                  <a16:creationId xmlns:a16="http://schemas.microsoft.com/office/drawing/2014/main" id="{04349873-4022-5F64-6B9E-2A95955258C1}"/>
                </a:ext>
              </a:extLst>
            </xdr:cNvPr>
            <xdr:cNvSpPr txBox="1"/>
          </xdr:nvSpPr>
          <xdr:spPr>
            <a:xfrm>
              <a:off x="5255947" y="6963753"/>
              <a:ext cx="855928" cy="17536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r>
                <a:rPr lang="en-US" sz="1100" b="0" i="0">
                  <a:latin typeface="Cambria Math" panose="02040503050406030204" pitchFamily="18" charset="0"/>
                </a:rPr>
                <a:t>𝑅^2</a:t>
              </a:r>
              <a:r>
                <a:rPr lang="en-US" sz="1100" i="1"/>
                <a:t>(Adj) %</a:t>
              </a:r>
            </a:p>
          </xdr:txBody>
        </xdr:sp>
      </mc:Fallback>
    </mc:AlternateContent>
    <xdr:clientData/>
  </xdr:twoCellAnchor>
  <xdr:oneCellAnchor>
    <xdr:from>
      <xdr:col>7</xdr:col>
      <xdr:colOff>339765</xdr:colOff>
      <xdr:row>34</xdr:row>
      <xdr:rowOff>36329</xdr:rowOff>
    </xdr:from>
    <xdr:ext cx="191270" cy="175369"/>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4845EEE2-98AA-7520-ECE4-EF837DBB14F4}"/>
                </a:ext>
              </a:extLst>
            </xdr:cNvPr>
            <xdr:cNvSpPr txBox="1"/>
          </xdr:nvSpPr>
          <xdr:spPr>
            <a:xfrm>
              <a:off x="7993783" y="6975972"/>
              <a:ext cx="19127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𝑅</m:t>
                        </m:r>
                      </m:e>
                      <m:sup>
                        <m:r>
                          <a:rPr lang="en-US" sz="1100" b="0" i="1">
                            <a:latin typeface="Cambria Math" panose="02040503050406030204" pitchFamily="18" charset="0"/>
                          </a:rPr>
                          <m:t>2</m:t>
                        </m:r>
                      </m:sup>
                    </m:sSup>
                  </m:oMath>
                </m:oMathPara>
              </a14:m>
              <a:endParaRPr lang="en-US" sz="1100"/>
            </a:p>
          </xdr:txBody>
        </xdr:sp>
      </mc:Choice>
      <mc:Fallback>
        <xdr:sp macro="" textlink="">
          <xdr:nvSpPr>
            <xdr:cNvPr id="7" name="TextBox 6">
              <a:extLst>
                <a:ext uri="{FF2B5EF4-FFF2-40B4-BE49-F238E27FC236}">
                  <a16:creationId xmlns:a16="http://schemas.microsoft.com/office/drawing/2014/main" id="{4845EEE2-98AA-7520-ECE4-EF837DBB14F4}"/>
                </a:ext>
              </a:extLst>
            </xdr:cNvPr>
            <xdr:cNvSpPr txBox="1"/>
          </xdr:nvSpPr>
          <xdr:spPr>
            <a:xfrm>
              <a:off x="7993783" y="6975972"/>
              <a:ext cx="191270"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𝑅^2</a:t>
              </a:r>
              <a:endParaRPr lang="en-US" sz="1100"/>
            </a:p>
          </xdr:txBody>
        </xdr:sp>
      </mc:Fallback>
    </mc:AlternateContent>
    <xdr:clientData/>
  </xdr:oneCellAnchor>
  <xdr:oneCellAnchor>
    <xdr:from>
      <xdr:col>10</xdr:col>
      <xdr:colOff>295077</xdr:colOff>
      <xdr:row>34</xdr:row>
      <xdr:rowOff>25693</xdr:rowOff>
    </xdr:from>
    <xdr:ext cx="430637" cy="175304"/>
    <mc:AlternateContent xmlns:mc="http://schemas.openxmlformats.org/markup-compatibility/2006">
      <mc:Choice xmlns:a14="http://schemas.microsoft.com/office/drawing/2010/main" Requires="a14">
        <xdr:sp macro="" textlink="">
          <xdr:nvSpPr>
            <xdr:cNvPr id="8" name="TextBox 7">
              <a:extLst>
                <a:ext uri="{FF2B5EF4-FFF2-40B4-BE49-F238E27FC236}">
                  <a16:creationId xmlns:a16="http://schemas.microsoft.com/office/drawing/2014/main" id="{808F8772-9888-C33D-9047-1947B1450185}"/>
                </a:ext>
              </a:extLst>
            </xdr:cNvPr>
            <xdr:cNvSpPr txBox="1"/>
          </xdr:nvSpPr>
          <xdr:spPr>
            <a:xfrm>
              <a:off x="10432398" y="6965336"/>
              <a:ext cx="430637" cy="175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𝑅</m:t>
                      </m:r>
                    </m:e>
                    <m:sup>
                      <m:r>
                        <a:rPr lang="en-US" sz="1100" b="0" i="1">
                          <a:latin typeface="Cambria Math" panose="02040503050406030204" pitchFamily="18" charset="0"/>
                        </a:rPr>
                        <m:t>2</m:t>
                      </m:r>
                    </m:sup>
                  </m:sSup>
                </m:oMath>
              </a14:m>
              <a:r>
                <a:rPr lang="en-US" sz="1100"/>
                <a:t> %</a:t>
              </a:r>
            </a:p>
          </xdr:txBody>
        </xdr:sp>
      </mc:Choice>
      <mc:Fallback>
        <xdr:sp macro="" textlink="">
          <xdr:nvSpPr>
            <xdr:cNvPr id="8" name="TextBox 7">
              <a:extLst>
                <a:ext uri="{FF2B5EF4-FFF2-40B4-BE49-F238E27FC236}">
                  <a16:creationId xmlns:a16="http://schemas.microsoft.com/office/drawing/2014/main" id="{808F8772-9888-C33D-9047-1947B1450185}"/>
                </a:ext>
              </a:extLst>
            </xdr:cNvPr>
            <xdr:cNvSpPr txBox="1"/>
          </xdr:nvSpPr>
          <xdr:spPr>
            <a:xfrm>
              <a:off x="10432398" y="6965336"/>
              <a:ext cx="430637" cy="175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𝑅^2</a:t>
              </a:r>
              <a:r>
                <a:rPr lang="en-US" sz="1100"/>
                <a:t> %</a:t>
              </a:r>
            </a:p>
          </xdr:txBody>
        </xdr:sp>
      </mc:Fallback>
    </mc:AlternateContent>
    <xdr:clientData/>
  </xdr:oneCellAnchor>
  <xdr:oneCellAnchor>
    <xdr:from>
      <xdr:col>1</xdr:col>
      <xdr:colOff>508000</xdr:colOff>
      <xdr:row>34</xdr:row>
      <xdr:rowOff>10031</xdr:rowOff>
    </xdr:from>
    <xdr:ext cx="434414" cy="175304"/>
    <mc:AlternateContent xmlns:mc="http://schemas.openxmlformats.org/markup-compatibility/2006">
      <mc:Choice xmlns:a14="http://schemas.microsoft.com/office/drawing/2010/main" Requires="a14">
        <xdr:sp macro="" textlink="">
          <xdr:nvSpPr>
            <xdr:cNvPr id="9" name="TextBox 8">
              <a:extLst>
                <a:ext uri="{FF2B5EF4-FFF2-40B4-BE49-F238E27FC236}">
                  <a16:creationId xmlns:a16="http://schemas.microsoft.com/office/drawing/2014/main" id="{7FE74C9A-8E34-7B7D-921A-CE14BE47BD3C}"/>
                </a:ext>
              </a:extLst>
            </xdr:cNvPr>
            <xdr:cNvSpPr txBox="1"/>
          </xdr:nvSpPr>
          <xdr:spPr>
            <a:xfrm>
              <a:off x="1330960" y="6918831"/>
              <a:ext cx="434414" cy="175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𝑅</m:t>
                      </m:r>
                    </m:e>
                    <m:sup>
                      <m:r>
                        <a:rPr lang="en-US" sz="1100" b="0" i="1">
                          <a:latin typeface="Cambria Math" panose="02040503050406030204" pitchFamily="18" charset="0"/>
                        </a:rPr>
                        <m:t>2</m:t>
                      </m:r>
                    </m:sup>
                  </m:sSup>
                </m:oMath>
              </a14:m>
              <a:r>
                <a:rPr lang="en-US" sz="1100" i="1"/>
                <a:t>(Adj)</a:t>
              </a:r>
            </a:p>
          </xdr:txBody>
        </xdr:sp>
      </mc:Choice>
      <mc:Fallback>
        <xdr:sp macro="" textlink="">
          <xdr:nvSpPr>
            <xdr:cNvPr id="9" name="TextBox 8">
              <a:extLst>
                <a:ext uri="{FF2B5EF4-FFF2-40B4-BE49-F238E27FC236}">
                  <a16:creationId xmlns:a16="http://schemas.microsoft.com/office/drawing/2014/main" id="{7FE74C9A-8E34-7B7D-921A-CE14BE47BD3C}"/>
                </a:ext>
              </a:extLst>
            </xdr:cNvPr>
            <xdr:cNvSpPr txBox="1"/>
          </xdr:nvSpPr>
          <xdr:spPr>
            <a:xfrm>
              <a:off x="1330960" y="6918831"/>
              <a:ext cx="434414" cy="175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𝑅^2</a:t>
              </a:r>
              <a:r>
                <a:rPr lang="en-US" sz="1100" i="1"/>
                <a:t>(Adj)</a:t>
              </a:r>
            </a:p>
          </xdr:txBody>
        </xdr:sp>
      </mc:Fallback>
    </mc:AlternateContent>
    <xdr:clientData/>
  </xdr:oneCellAnchor>
  <xdr:oneCellAnchor>
    <xdr:from>
      <xdr:col>4</xdr:col>
      <xdr:colOff>70268</xdr:colOff>
      <xdr:row>37</xdr:row>
      <xdr:rowOff>115887</xdr:rowOff>
    </xdr:from>
    <xdr:ext cx="65" cy="172227"/>
    <xdr:sp macro="" textlink="">
      <xdr:nvSpPr>
        <xdr:cNvPr id="10" name="TextBox 9">
          <a:extLst>
            <a:ext uri="{FF2B5EF4-FFF2-40B4-BE49-F238E27FC236}">
              <a16:creationId xmlns:a16="http://schemas.microsoft.com/office/drawing/2014/main" id="{4843DEC8-3249-9E49-B97F-0E7C6B150BD5}"/>
            </a:ext>
          </a:extLst>
        </xdr:cNvPr>
        <xdr:cNvSpPr txBox="1"/>
      </xdr:nvSpPr>
      <xdr:spPr>
        <a:xfrm>
          <a:off x="3181768" y="482996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70268</xdr:colOff>
      <xdr:row>40</xdr:row>
      <xdr:rowOff>115887</xdr:rowOff>
    </xdr:from>
    <xdr:ext cx="65" cy="172227"/>
    <xdr:sp macro="" textlink="">
      <xdr:nvSpPr>
        <xdr:cNvPr id="11" name="TextBox 10">
          <a:extLst>
            <a:ext uri="{FF2B5EF4-FFF2-40B4-BE49-F238E27FC236}">
              <a16:creationId xmlns:a16="http://schemas.microsoft.com/office/drawing/2014/main" id="{09CC7DEB-CF34-434B-B000-E85FF174B1DA}"/>
            </a:ext>
          </a:extLst>
        </xdr:cNvPr>
        <xdr:cNvSpPr txBox="1"/>
      </xdr:nvSpPr>
      <xdr:spPr>
        <a:xfrm>
          <a:off x="3626268" y="7634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152400</xdr:colOff>
      <xdr:row>50</xdr:row>
      <xdr:rowOff>14268</xdr:rowOff>
    </xdr:from>
    <xdr:ext cx="619321" cy="172098"/>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57CF21CF-77AC-BA36-C053-51179DDC57CE}"/>
                </a:ext>
              </a:extLst>
            </xdr:cNvPr>
            <xdr:cNvSpPr txBox="1"/>
          </xdr:nvSpPr>
          <xdr:spPr>
            <a:xfrm flipH="1">
              <a:off x="2628900" y="10174268"/>
              <a:ext cx="619321"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1</m:t>
                        </m:r>
                      </m:sub>
                    </m:sSub>
                  </m:oMath>
                </m:oMathPara>
              </a14:m>
              <a:endParaRPr lang="en-US" sz="1100"/>
            </a:p>
          </xdr:txBody>
        </xdr:sp>
      </mc:Choice>
      <mc:Fallback>
        <xdr:sp macro="" textlink="">
          <xdr:nvSpPr>
            <xdr:cNvPr id="2" name="TextBox 1">
              <a:extLst>
                <a:ext uri="{FF2B5EF4-FFF2-40B4-BE49-F238E27FC236}">
                  <a16:creationId xmlns:a16="http://schemas.microsoft.com/office/drawing/2014/main" id="{57CF21CF-77AC-BA36-C053-51179DDC57CE}"/>
                </a:ext>
              </a:extLst>
            </xdr:cNvPr>
            <xdr:cNvSpPr txBox="1"/>
          </xdr:nvSpPr>
          <xdr:spPr>
            <a:xfrm flipH="1">
              <a:off x="2628900" y="10174268"/>
              <a:ext cx="619321"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𝑥_1</a:t>
              </a:r>
              <a:endParaRPr lang="en-US" sz="1100"/>
            </a:p>
          </xdr:txBody>
        </xdr:sp>
      </mc:Fallback>
    </mc:AlternateContent>
    <xdr:clientData/>
  </xdr:oneCellAnchor>
  <xdr:oneCellAnchor>
    <xdr:from>
      <xdr:col>4</xdr:col>
      <xdr:colOff>247413</xdr:colOff>
      <xdr:row>50</xdr:row>
      <xdr:rowOff>8708</xdr:rowOff>
    </xdr:from>
    <xdr:ext cx="324129" cy="172098"/>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CA8CD875-1BD4-AF0D-3765-86FBBC4568E2}"/>
                </a:ext>
              </a:extLst>
            </xdr:cNvPr>
            <xdr:cNvSpPr txBox="1"/>
          </xdr:nvSpPr>
          <xdr:spPr>
            <a:xfrm flipH="1">
              <a:off x="3539253" y="10168708"/>
              <a:ext cx="324129"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6</m:t>
                        </m:r>
                      </m:sub>
                    </m:sSub>
                  </m:oMath>
                </m:oMathPara>
              </a14:m>
              <a:endParaRPr lang="en-US" sz="1100"/>
            </a:p>
          </xdr:txBody>
        </xdr:sp>
      </mc:Choice>
      <mc:Fallback>
        <xdr:sp macro="" textlink="">
          <xdr:nvSpPr>
            <xdr:cNvPr id="3" name="TextBox 2">
              <a:extLst>
                <a:ext uri="{FF2B5EF4-FFF2-40B4-BE49-F238E27FC236}">
                  <a16:creationId xmlns:a16="http://schemas.microsoft.com/office/drawing/2014/main" id="{CA8CD875-1BD4-AF0D-3765-86FBBC4568E2}"/>
                </a:ext>
              </a:extLst>
            </xdr:cNvPr>
            <xdr:cNvSpPr txBox="1"/>
          </xdr:nvSpPr>
          <xdr:spPr>
            <a:xfrm flipH="1">
              <a:off x="3539253" y="10168708"/>
              <a:ext cx="324129"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𝑥_6</a:t>
              </a:r>
              <a:endParaRPr lang="en-US" sz="1100"/>
            </a:p>
          </xdr:txBody>
        </xdr:sp>
      </mc:Fallback>
    </mc:AlternateContent>
    <xdr:clientData/>
  </xdr:oneCellAnchor>
  <xdr:oneCellAnchor>
    <xdr:from>
      <xdr:col>3</xdr:col>
      <xdr:colOff>303899</xdr:colOff>
      <xdr:row>4</xdr:row>
      <xdr:rowOff>192310</xdr:rowOff>
    </xdr:from>
    <xdr:ext cx="248274" cy="172098"/>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4133F292-F703-CB9F-9353-2D7F2CE93F5B}"/>
                </a:ext>
              </a:extLst>
            </xdr:cNvPr>
            <xdr:cNvSpPr txBox="1"/>
          </xdr:nvSpPr>
          <xdr:spPr>
            <a:xfrm>
              <a:off x="2788682" y="987440"/>
              <a:ext cx="248274"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1</m:t>
                        </m:r>
                      </m:sub>
                    </m:sSub>
                  </m:oMath>
                </m:oMathPara>
              </a14:m>
              <a:endParaRPr lang="en-US" sz="1100"/>
            </a:p>
          </xdr:txBody>
        </xdr:sp>
      </mc:Choice>
      <mc:Fallback>
        <xdr:sp macro="" textlink="">
          <xdr:nvSpPr>
            <xdr:cNvPr id="4" name="TextBox 3">
              <a:extLst>
                <a:ext uri="{FF2B5EF4-FFF2-40B4-BE49-F238E27FC236}">
                  <a16:creationId xmlns:a16="http://schemas.microsoft.com/office/drawing/2014/main" id="{4133F292-F703-CB9F-9353-2D7F2CE93F5B}"/>
                </a:ext>
              </a:extLst>
            </xdr:cNvPr>
            <xdr:cNvSpPr txBox="1"/>
          </xdr:nvSpPr>
          <xdr:spPr>
            <a:xfrm>
              <a:off x="2788682" y="987440"/>
              <a:ext cx="248274"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𝑥_1</a:t>
              </a:r>
              <a:endParaRPr lang="en-US" sz="1100"/>
            </a:p>
          </xdr:txBody>
        </xdr:sp>
      </mc:Fallback>
    </mc:AlternateContent>
    <xdr:clientData/>
  </xdr:oneCellAnchor>
  <xdr:oneCellAnchor>
    <xdr:from>
      <xdr:col>4</xdr:col>
      <xdr:colOff>293052</xdr:colOff>
      <xdr:row>4</xdr:row>
      <xdr:rowOff>205361</xdr:rowOff>
    </xdr:from>
    <xdr:ext cx="220352" cy="176414"/>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2FAFB870-7355-4FCC-3394-B0506DA4C320}"/>
                </a:ext>
              </a:extLst>
            </xdr:cNvPr>
            <xdr:cNvSpPr txBox="1"/>
          </xdr:nvSpPr>
          <xdr:spPr>
            <a:xfrm>
              <a:off x="3600456" y="1026808"/>
              <a:ext cx="220352" cy="176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𝑥</m:t>
                        </m:r>
                      </m:e>
                      <m:sub>
                        <m:r>
                          <a:rPr lang="en-US" sz="1100" b="0" i="1">
                            <a:latin typeface="Cambria Math" panose="02040503050406030204" pitchFamily="18" charset="0"/>
                          </a:rPr>
                          <m:t>6</m:t>
                        </m:r>
                      </m:sub>
                    </m:sSub>
                  </m:oMath>
                </m:oMathPara>
              </a14:m>
              <a:endParaRPr lang="en-US" sz="1100"/>
            </a:p>
          </xdr:txBody>
        </xdr:sp>
      </mc:Choice>
      <mc:Fallback>
        <xdr:sp macro="" textlink="">
          <xdr:nvSpPr>
            <xdr:cNvPr id="5" name="TextBox 4">
              <a:extLst>
                <a:ext uri="{FF2B5EF4-FFF2-40B4-BE49-F238E27FC236}">
                  <a16:creationId xmlns:a16="http://schemas.microsoft.com/office/drawing/2014/main" id="{2FAFB870-7355-4FCC-3394-B0506DA4C320}"/>
                </a:ext>
              </a:extLst>
            </xdr:cNvPr>
            <xdr:cNvSpPr txBox="1"/>
          </xdr:nvSpPr>
          <xdr:spPr>
            <a:xfrm>
              <a:off x="3600456" y="1026808"/>
              <a:ext cx="220352" cy="1764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𝑥_6</a:t>
              </a:r>
              <a:endParaRPr lang="en-US" sz="1100"/>
            </a:p>
          </xdr:txBody>
        </xdr:sp>
      </mc:Fallback>
    </mc:AlternateContent>
    <xdr:clientData/>
  </xdr:oneCellAnchor>
  <xdr:oneCellAnchor>
    <xdr:from>
      <xdr:col>6</xdr:col>
      <xdr:colOff>396474</xdr:colOff>
      <xdr:row>50</xdr:row>
      <xdr:rowOff>12971</xdr:rowOff>
    </xdr:from>
    <xdr:ext cx="739614" cy="172098"/>
    <mc:AlternateContent xmlns:mc="http://schemas.openxmlformats.org/markup-compatibility/2006">
      <mc:Choice xmlns:a14="http://schemas.microsoft.com/office/drawing/2010/main" Requires="a14">
        <xdr:sp macro="" textlink="">
          <xdr:nvSpPr>
            <xdr:cNvPr id="6" name="TextBox 5">
              <a:extLst>
                <a:ext uri="{FF2B5EF4-FFF2-40B4-BE49-F238E27FC236}">
                  <a16:creationId xmlns:a16="http://schemas.microsoft.com/office/drawing/2014/main" id="{557D68FB-C863-5EE0-B6A0-F920B789CE8D}"/>
                </a:ext>
              </a:extLst>
            </xdr:cNvPr>
            <xdr:cNvSpPr txBox="1"/>
          </xdr:nvSpPr>
          <xdr:spPr>
            <a:xfrm>
              <a:off x="5531691" y="10136159"/>
              <a:ext cx="739614"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𝑆</m:t>
                        </m:r>
                      </m:e>
                      <m:sub>
                        <m:r>
                          <a:rPr lang="en-US" sz="1100" b="0" i="1">
                            <a:latin typeface="Cambria Math" panose="02040503050406030204" pitchFamily="18" charset="0"/>
                          </a:rPr>
                          <m:t>𝑥𝑥</m:t>
                        </m:r>
                      </m:sub>
                    </m:sSub>
                    <m:r>
                      <a:rPr lang="en-US" sz="1100" b="0" i="0">
                        <a:latin typeface="Cambria Math" panose="02040503050406030204" pitchFamily="18" charset="0"/>
                      </a:rPr>
                      <m:t>(</m:t>
                    </m:r>
                    <m:r>
                      <m:rPr>
                        <m:sty m:val="p"/>
                      </m:rPr>
                      <a:rPr lang="en-US" sz="1100" b="0" i="0">
                        <a:latin typeface="Cambria Math" panose="02040503050406030204" pitchFamily="18" charset="0"/>
                      </a:rPr>
                      <m:t>X</m:t>
                    </m:r>
                    <m:r>
                      <a:rPr lang="en-US" sz="1100" b="0" i="0">
                        <a:latin typeface="Cambria Math" panose="02040503050406030204" pitchFamily="18" charset="0"/>
                      </a:rPr>
                      <m:t>1)</m:t>
                    </m:r>
                  </m:oMath>
                </m:oMathPara>
              </a14:m>
              <a:endParaRPr lang="en-US" sz="1100"/>
            </a:p>
          </xdr:txBody>
        </xdr:sp>
      </mc:Choice>
      <mc:Fallback>
        <xdr:sp macro="" textlink="">
          <xdr:nvSpPr>
            <xdr:cNvPr id="6" name="TextBox 5">
              <a:extLst>
                <a:ext uri="{FF2B5EF4-FFF2-40B4-BE49-F238E27FC236}">
                  <a16:creationId xmlns:a16="http://schemas.microsoft.com/office/drawing/2014/main" id="{557D68FB-C863-5EE0-B6A0-F920B789CE8D}"/>
                </a:ext>
              </a:extLst>
            </xdr:cNvPr>
            <xdr:cNvSpPr txBox="1"/>
          </xdr:nvSpPr>
          <xdr:spPr>
            <a:xfrm>
              <a:off x="5531691" y="10136159"/>
              <a:ext cx="739614"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𝑆_𝑥𝑥 (X1)</a:t>
              </a:r>
              <a:endParaRPr lang="en-US" sz="1100"/>
            </a:p>
          </xdr:txBody>
        </xdr:sp>
      </mc:Fallback>
    </mc:AlternateContent>
    <xdr:clientData/>
  </xdr:oneCellAnchor>
  <xdr:oneCellAnchor>
    <xdr:from>
      <xdr:col>7</xdr:col>
      <xdr:colOff>178441</xdr:colOff>
      <xdr:row>50</xdr:row>
      <xdr:rowOff>23691</xdr:rowOff>
    </xdr:from>
    <xdr:ext cx="506071" cy="206382"/>
    <mc:AlternateContent xmlns:mc="http://schemas.openxmlformats.org/markup-compatibility/2006">
      <mc:Choice xmlns:a14="http://schemas.microsoft.com/office/drawing/2010/main" Requires="a14">
        <xdr:sp macro="" textlink="">
          <xdr:nvSpPr>
            <xdr:cNvPr id="7" name="TextBox 6">
              <a:extLst>
                <a:ext uri="{FF2B5EF4-FFF2-40B4-BE49-F238E27FC236}">
                  <a16:creationId xmlns:a16="http://schemas.microsoft.com/office/drawing/2014/main" id="{9175FD4F-D665-544F-AC8C-2998808E977D}"/>
                </a:ext>
              </a:extLst>
            </xdr:cNvPr>
            <xdr:cNvSpPr txBox="1"/>
          </xdr:nvSpPr>
          <xdr:spPr>
            <a:xfrm>
              <a:off x="6820541" y="10183691"/>
              <a:ext cx="506071" cy="2063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𝑆</m:t>
                      </m:r>
                    </m:e>
                    <m:sub>
                      <m:r>
                        <a:rPr lang="en-US" sz="1100" b="0" i="1">
                          <a:latin typeface="Cambria Math" panose="02040503050406030204" pitchFamily="18" charset="0"/>
                        </a:rPr>
                        <m:t>𝑥𝑥</m:t>
                      </m:r>
                    </m:sub>
                  </m:sSub>
                </m:oMath>
              </a14:m>
              <a:r>
                <a:rPr lang="en-US" sz="1100"/>
                <a:t>(X6)</a:t>
              </a:r>
            </a:p>
          </xdr:txBody>
        </xdr:sp>
      </mc:Choice>
      <mc:Fallback>
        <xdr:sp macro="" textlink="">
          <xdr:nvSpPr>
            <xdr:cNvPr id="7" name="TextBox 6">
              <a:extLst>
                <a:ext uri="{FF2B5EF4-FFF2-40B4-BE49-F238E27FC236}">
                  <a16:creationId xmlns:a16="http://schemas.microsoft.com/office/drawing/2014/main" id="{9175FD4F-D665-544F-AC8C-2998808E977D}"/>
                </a:ext>
              </a:extLst>
            </xdr:cNvPr>
            <xdr:cNvSpPr txBox="1"/>
          </xdr:nvSpPr>
          <xdr:spPr>
            <a:xfrm>
              <a:off x="6820541" y="10183691"/>
              <a:ext cx="506071" cy="2063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b="0" i="0">
                  <a:latin typeface="Cambria Math" panose="02040503050406030204" pitchFamily="18" charset="0"/>
                </a:rPr>
                <a:t>𝑆_𝑥𝑥</a:t>
              </a:r>
              <a:r>
                <a:rPr lang="en-US" sz="1100"/>
                <a:t>(X6)</a:t>
              </a:r>
            </a:p>
          </xdr:txBody>
        </xdr:sp>
      </mc:Fallback>
    </mc:AlternateContent>
    <xdr:clientData/>
  </xdr:oneCellAnchor>
  <xdr:oneCellAnchor>
    <xdr:from>
      <xdr:col>6</xdr:col>
      <xdr:colOff>635332</xdr:colOff>
      <xdr:row>86</xdr:row>
      <xdr:rowOff>2443</xdr:rowOff>
    </xdr:from>
    <xdr:ext cx="65" cy="172098"/>
    <xdr:sp macro="" textlink="">
      <xdr:nvSpPr>
        <xdr:cNvPr id="69" name="TextBox 68">
          <a:extLst>
            <a:ext uri="{FF2B5EF4-FFF2-40B4-BE49-F238E27FC236}">
              <a16:creationId xmlns:a16="http://schemas.microsoft.com/office/drawing/2014/main" id="{847ECA6F-EB00-0E15-7A9C-B45FF6F35127}"/>
            </a:ext>
          </a:extLst>
        </xdr:cNvPr>
        <xdr:cNvSpPr txBox="1"/>
      </xdr:nvSpPr>
      <xdr:spPr>
        <a:xfrm>
          <a:off x="5753432" y="17477643"/>
          <a:ext cx="65"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855328</xdr:colOff>
      <xdr:row>46</xdr:row>
      <xdr:rowOff>41702</xdr:rowOff>
    </xdr:from>
    <xdr:ext cx="1865593" cy="172098"/>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800428C5-B44B-4D53-7FCD-44A12493429E}"/>
                </a:ext>
              </a:extLst>
            </xdr:cNvPr>
            <xdr:cNvSpPr txBox="1"/>
          </xdr:nvSpPr>
          <xdr:spPr>
            <a:xfrm>
              <a:off x="855328" y="9414302"/>
              <a:ext cx="1865593"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acc>
                    <m:accPr>
                      <m:chr m:val="̂"/>
                      <m:ctrlPr>
                        <a:rPr lang="en-US" sz="1100" i="1">
                          <a:latin typeface="Cambria Math" panose="02040503050406030204" pitchFamily="18" charset="0"/>
                        </a:rPr>
                      </m:ctrlPr>
                    </m:accPr>
                    <m:e>
                      <m:r>
                        <a:rPr lang="en-US" sz="1100" b="0" i="1">
                          <a:latin typeface="Cambria Math" panose="02040503050406030204" pitchFamily="18" charset="0"/>
                        </a:rPr>
                        <m:t>𝑦</m:t>
                      </m:r>
                    </m:e>
                  </m:acc>
                </m:oMath>
              </a14:m>
              <a:r>
                <a:rPr lang="en-US" sz="1100"/>
                <a:t> = 78,9700</a:t>
              </a:r>
              <a:r>
                <a:rPr lang="en-US" sz="1100" baseline="0"/>
                <a:t> + 20,2292</a:t>
              </a:r>
              <a14:m>
                <m:oMath xmlns:m="http://schemas.openxmlformats.org/officeDocument/2006/math">
                  <m:sSub>
                    <m:sSubPr>
                      <m:ctrlPr>
                        <a:rPr lang="en-US" sz="1100" i="1" baseline="0">
                          <a:latin typeface="Cambria Math" panose="02040503050406030204" pitchFamily="18" charset="0"/>
                        </a:rPr>
                      </m:ctrlPr>
                    </m:sSubPr>
                    <m:e>
                      <m:r>
                        <a:rPr lang="en-US" sz="1100" b="0" i="1" baseline="0">
                          <a:latin typeface="Cambria Math" panose="02040503050406030204" pitchFamily="18" charset="0"/>
                        </a:rPr>
                        <m:t>𝑥</m:t>
                      </m:r>
                    </m:e>
                    <m:sub>
                      <m:r>
                        <a:rPr lang="en-US" sz="1100" b="0" i="1" baseline="0">
                          <a:latin typeface="Cambria Math" panose="02040503050406030204" pitchFamily="18" charset="0"/>
                        </a:rPr>
                        <m:t>2</m:t>
                      </m:r>
                    </m:sub>
                  </m:sSub>
                </m:oMath>
              </a14:m>
              <a:endParaRPr lang="en-US" sz="1100"/>
            </a:p>
          </xdr:txBody>
        </xdr:sp>
      </mc:Choice>
      <mc:Fallback>
        <xdr:sp macro="" textlink="">
          <xdr:nvSpPr>
            <xdr:cNvPr id="2" name="TextBox 1">
              <a:extLst>
                <a:ext uri="{FF2B5EF4-FFF2-40B4-BE49-F238E27FC236}">
                  <a16:creationId xmlns:a16="http://schemas.microsoft.com/office/drawing/2014/main" id="{800428C5-B44B-4D53-7FCD-44A12493429E}"/>
                </a:ext>
              </a:extLst>
            </xdr:cNvPr>
            <xdr:cNvSpPr txBox="1"/>
          </xdr:nvSpPr>
          <xdr:spPr>
            <a:xfrm>
              <a:off x="855328" y="9414302"/>
              <a:ext cx="1865593" cy="1720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b="0" i="0">
                  <a:latin typeface="Cambria Math" panose="02040503050406030204" pitchFamily="18" charset="0"/>
                </a:rPr>
                <a:t>𝑦 ̂</a:t>
              </a:r>
              <a:r>
                <a:rPr lang="en-US" sz="1100"/>
                <a:t> = 78,9700</a:t>
              </a:r>
              <a:r>
                <a:rPr lang="en-US" sz="1100" baseline="0"/>
                <a:t> + 20,2292</a:t>
              </a:r>
              <a:r>
                <a:rPr lang="en-US" sz="1100" b="0" i="0" baseline="0">
                  <a:latin typeface="Cambria Math" panose="02040503050406030204" pitchFamily="18" charset="0"/>
                </a:rPr>
                <a:t>𝑥_2</a:t>
              </a:r>
              <a:endParaRPr 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FFA43-83F0-FE4B-B6BE-034BE020866C}">
  <dimension ref="A1:F6"/>
  <sheetViews>
    <sheetView workbookViewId="0">
      <selection activeCell="G33" sqref="G33"/>
    </sheetView>
  </sheetViews>
  <sheetFormatPr baseColWidth="10" defaultRowHeight="16" x14ac:dyDescent="0.2"/>
  <sheetData>
    <row r="1" spans="1:6" x14ac:dyDescent="0.2">
      <c r="A1" s="2" t="s">
        <v>1</v>
      </c>
      <c r="B1" s="3"/>
      <c r="C1" s="3"/>
      <c r="D1" s="4"/>
    </row>
    <row r="2" spans="1:6" x14ac:dyDescent="0.2">
      <c r="A2" s="5" t="s">
        <v>0</v>
      </c>
      <c r="B2" s="6"/>
      <c r="C2" s="6"/>
      <c r="D2" s="7"/>
    </row>
    <row r="3" spans="1:6" ht="17" thickBot="1" x14ac:dyDescent="0.25">
      <c r="A3" s="8" t="s">
        <v>2</v>
      </c>
      <c r="B3" s="9"/>
      <c r="C3" s="9"/>
      <c r="D3" s="10"/>
    </row>
    <row r="4" spans="1:6" ht="17" thickBot="1" x14ac:dyDescent="0.25"/>
    <row r="5" spans="1:6" x14ac:dyDescent="0.2">
      <c r="B5" s="11" t="s">
        <v>3</v>
      </c>
      <c r="C5" s="12"/>
      <c r="D5" s="12"/>
      <c r="E5" s="12"/>
      <c r="F5" s="13"/>
    </row>
    <row r="6" spans="1:6" ht="17" thickBot="1" x14ac:dyDescent="0.25">
      <c r="B6" s="14"/>
      <c r="C6" s="15"/>
      <c r="D6" s="15"/>
      <c r="E6" s="15"/>
      <c r="F6" s="16"/>
    </row>
  </sheetData>
  <mergeCells count="4">
    <mergeCell ref="A1:D1"/>
    <mergeCell ref="A2:D2"/>
    <mergeCell ref="A3:D3"/>
    <mergeCell ref="B5: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4E6C4-8BA9-4C4C-A562-AE0BF2151E2D}">
  <dimension ref="A1:AJ307"/>
  <sheetViews>
    <sheetView tabSelected="1" topLeftCell="A279" zoomScale="140" zoomScaleNormal="44" workbookViewId="0">
      <selection activeCell="D308" sqref="D308"/>
    </sheetView>
  </sheetViews>
  <sheetFormatPr baseColWidth="10" defaultRowHeight="16" x14ac:dyDescent="0.2"/>
  <cols>
    <col min="1" max="1" width="13.83203125" customWidth="1"/>
    <col min="2" max="2" width="13.1640625" customWidth="1"/>
    <col min="3" max="3" width="13.83203125" customWidth="1"/>
    <col min="4" max="4" width="13" customWidth="1"/>
    <col min="5" max="5" width="11.6640625" bestFit="1" customWidth="1"/>
    <col min="6" max="6" width="10.83203125" customWidth="1"/>
    <col min="7" max="7" width="12.6640625" customWidth="1"/>
    <col min="8" max="8" width="14" customWidth="1"/>
    <col min="10" max="10" width="14" customWidth="1"/>
    <col min="14" max="14" width="11.33203125" bestFit="1" customWidth="1"/>
    <col min="36" max="36" width="16" customWidth="1"/>
  </cols>
  <sheetData>
    <row r="1" spans="2:14" ht="17" thickBot="1" x14ac:dyDescent="0.25"/>
    <row r="2" spans="2:14" x14ac:dyDescent="0.2">
      <c r="B2" s="21"/>
      <c r="C2" s="21"/>
      <c r="D2" s="21"/>
      <c r="F2" s="11" t="s">
        <v>4</v>
      </c>
      <c r="G2" s="12"/>
      <c r="H2" s="12"/>
      <c r="I2" s="13"/>
    </row>
    <row r="3" spans="2:14" ht="17" thickBot="1" x14ac:dyDescent="0.25">
      <c r="B3" s="21"/>
      <c r="C3" s="21"/>
      <c r="D3" s="21"/>
      <c r="F3" s="14"/>
      <c r="G3" s="15"/>
      <c r="H3" s="15"/>
      <c r="I3" s="16"/>
    </row>
    <row r="6" spans="2:14" x14ac:dyDescent="0.2">
      <c r="B6" s="45" t="s">
        <v>5</v>
      </c>
      <c r="C6" s="46" t="s">
        <v>6</v>
      </c>
      <c r="D6" s="46" t="s">
        <v>7</v>
      </c>
      <c r="E6" s="46" t="s">
        <v>8</v>
      </c>
      <c r="F6" s="46" t="s">
        <v>9</v>
      </c>
      <c r="G6" s="46" t="s">
        <v>10</v>
      </c>
      <c r="H6" s="46" t="s">
        <v>11</v>
      </c>
      <c r="I6" s="46" t="s">
        <v>12</v>
      </c>
      <c r="J6" s="46" t="s">
        <v>13</v>
      </c>
      <c r="K6" s="46" t="s">
        <v>14</v>
      </c>
      <c r="L6" s="46" t="s">
        <v>15</v>
      </c>
      <c r="M6" s="46" t="s">
        <v>16</v>
      </c>
      <c r="N6" s="46" t="s">
        <v>17</v>
      </c>
    </row>
    <row r="7" spans="2:14" x14ac:dyDescent="0.2">
      <c r="B7" s="19" t="s">
        <v>18</v>
      </c>
      <c r="C7" s="18">
        <v>18.899999999999999</v>
      </c>
      <c r="D7" s="18">
        <v>350</v>
      </c>
      <c r="E7" s="18">
        <v>165</v>
      </c>
      <c r="F7" s="18">
        <v>260</v>
      </c>
      <c r="G7" s="18" t="s">
        <v>52</v>
      </c>
      <c r="H7" s="18" t="s">
        <v>59</v>
      </c>
      <c r="I7" s="18">
        <v>4</v>
      </c>
      <c r="J7" s="18">
        <v>3</v>
      </c>
      <c r="K7" s="18">
        <v>200.3</v>
      </c>
      <c r="L7" s="18">
        <v>69.900000000000006</v>
      </c>
      <c r="M7" s="18">
        <v>3910</v>
      </c>
      <c r="N7" s="20" t="s">
        <v>50</v>
      </c>
    </row>
    <row r="8" spans="2:14" x14ac:dyDescent="0.2">
      <c r="B8" s="19" t="s">
        <v>19</v>
      </c>
      <c r="C8" s="18">
        <v>17</v>
      </c>
      <c r="D8" s="18">
        <v>350</v>
      </c>
      <c r="E8" s="18">
        <v>170</v>
      </c>
      <c r="F8" s="18">
        <v>275</v>
      </c>
      <c r="G8" s="18" t="s">
        <v>53</v>
      </c>
      <c r="H8" s="18" t="s">
        <v>59</v>
      </c>
      <c r="I8" s="18">
        <v>4</v>
      </c>
      <c r="J8" s="18">
        <v>3</v>
      </c>
      <c r="K8" s="18">
        <v>199.6</v>
      </c>
      <c r="L8" s="18">
        <v>72.900000000000006</v>
      </c>
      <c r="M8" s="18">
        <v>2860</v>
      </c>
      <c r="N8" s="20" t="s">
        <v>50</v>
      </c>
    </row>
    <row r="9" spans="2:14" x14ac:dyDescent="0.2">
      <c r="B9" s="19" t="s">
        <v>20</v>
      </c>
      <c r="C9" s="18">
        <v>20</v>
      </c>
      <c r="D9" s="18">
        <v>250</v>
      </c>
      <c r="E9" s="18">
        <v>105</v>
      </c>
      <c r="F9" s="18">
        <v>185</v>
      </c>
      <c r="G9" s="18" t="s">
        <v>54</v>
      </c>
      <c r="H9" s="18" t="s">
        <v>60</v>
      </c>
      <c r="I9" s="18">
        <v>1</v>
      </c>
      <c r="J9" s="18">
        <v>3</v>
      </c>
      <c r="K9" s="18">
        <v>196.7</v>
      </c>
      <c r="L9" s="18">
        <v>72.2</v>
      </c>
      <c r="M9" s="18">
        <v>3510</v>
      </c>
      <c r="N9" s="20" t="s">
        <v>50</v>
      </c>
    </row>
    <row r="10" spans="2:14" x14ac:dyDescent="0.2">
      <c r="B10" s="19" t="s">
        <v>21</v>
      </c>
      <c r="C10" s="18">
        <v>18.25</v>
      </c>
      <c r="D10" s="18">
        <v>351</v>
      </c>
      <c r="E10" s="18">
        <v>143</v>
      </c>
      <c r="F10" s="18">
        <v>255</v>
      </c>
      <c r="G10" s="18" t="s">
        <v>52</v>
      </c>
      <c r="H10" s="18" t="s">
        <v>61</v>
      </c>
      <c r="I10" s="18">
        <v>2</v>
      </c>
      <c r="J10" s="18">
        <v>3</v>
      </c>
      <c r="K10" s="18">
        <v>199.9</v>
      </c>
      <c r="L10" s="18">
        <v>74</v>
      </c>
      <c r="M10" s="18">
        <v>3890</v>
      </c>
      <c r="N10" s="20" t="s">
        <v>50</v>
      </c>
    </row>
    <row r="11" spans="2:14" x14ac:dyDescent="0.2">
      <c r="B11" s="19" t="s">
        <v>22</v>
      </c>
      <c r="C11" s="18">
        <v>20.07</v>
      </c>
      <c r="D11" s="18">
        <v>225</v>
      </c>
      <c r="E11" s="18">
        <v>95</v>
      </c>
      <c r="F11" s="18">
        <v>170</v>
      </c>
      <c r="G11" s="18" t="s">
        <v>55</v>
      </c>
      <c r="H11" s="18" t="s">
        <v>62</v>
      </c>
      <c r="I11" s="18">
        <v>1</v>
      </c>
      <c r="J11" s="18">
        <v>3</v>
      </c>
      <c r="K11" s="18">
        <v>194.1</v>
      </c>
      <c r="L11" s="18">
        <v>71.8</v>
      </c>
      <c r="M11" s="18">
        <v>3365</v>
      </c>
      <c r="N11" s="20" t="s">
        <v>51</v>
      </c>
    </row>
    <row r="12" spans="2:14" x14ac:dyDescent="0.2">
      <c r="B12" s="19" t="s">
        <v>23</v>
      </c>
      <c r="C12" s="18">
        <v>11.2</v>
      </c>
      <c r="D12" s="18">
        <v>440</v>
      </c>
      <c r="E12" s="18">
        <v>215</v>
      </c>
      <c r="F12" s="18">
        <v>330</v>
      </c>
      <c r="G12" s="18" t="s">
        <v>56</v>
      </c>
      <c r="H12" s="18" t="s">
        <v>63</v>
      </c>
      <c r="I12" s="18">
        <v>4</v>
      </c>
      <c r="J12" s="18">
        <v>3</v>
      </c>
      <c r="K12" s="18">
        <v>184.5</v>
      </c>
      <c r="L12" s="18">
        <v>69</v>
      </c>
      <c r="M12" s="18">
        <v>4215</v>
      </c>
      <c r="N12" s="20" t="s">
        <v>50</v>
      </c>
    </row>
    <row r="13" spans="2:14" x14ac:dyDescent="0.2">
      <c r="B13" s="19" t="s">
        <v>24</v>
      </c>
      <c r="C13" s="18">
        <v>22.12</v>
      </c>
      <c r="D13" s="18">
        <v>231</v>
      </c>
      <c r="E13" s="18">
        <v>110</v>
      </c>
      <c r="F13" s="18">
        <v>175</v>
      </c>
      <c r="G13" s="18" t="s">
        <v>52</v>
      </c>
      <c r="H13" s="18" t="s">
        <v>59</v>
      </c>
      <c r="I13" s="18">
        <v>2</v>
      </c>
      <c r="J13" s="18">
        <v>3</v>
      </c>
      <c r="K13" s="18">
        <v>179.3</v>
      </c>
      <c r="L13" s="18">
        <v>65.400000000000006</v>
      </c>
      <c r="M13" s="18">
        <v>3020</v>
      </c>
      <c r="N13" s="20" t="s">
        <v>50</v>
      </c>
    </row>
    <row r="14" spans="2:14" x14ac:dyDescent="0.2">
      <c r="B14" s="19" t="s">
        <v>25</v>
      </c>
      <c r="C14" s="18">
        <v>21.47</v>
      </c>
      <c r="D14" s="18">
        <v>262</v>
      </c>
      <c r="E14" s="18">
        <v>110</v>
      </c>
      <c r="F14" s="18">
        <v>200</v>
      </c>
      <c r="G14" s="18" t="s">
        <v>53</v>
      </c>
      <c r="H14" s="18" t="s">
        <v>59</v>
      </c>
      <c r="I14" s="18">
        <v>2</v>
      </c>
      <c r="J14" s="18">
        <v>3</v>
      </c>
      <c r="K14" s="18">
        <v>179.3</v>
      </c>
      <c r="L14" s="18">
        <v>65.400000000000006</v>
      </c>
      <c r="M14" s="18">
        <v>3180</v>
      </c>
      <c r="N14" s="20" t="s">
        <v>50</v>
      </c>
    </row>
    <row r="15" spans="2:14" x14ac:dyDescent="0.2">
      <c r="B15" s="19" t="s">
        <v>26</v>
      </c>
      <c r="C15" s="18">
        <v>34.700000000000003</v>
      </c>
      <c r="D15" s="18">
        <v>89.7</v>
      </c>
      <c r="E15" s="18">
        <v>70</v>
      </c>
      <c r="F15" s="18">
        <v>81</v>
      </c>
      <c r="G15" s="18" t="s">
        <v>56</v>
      </c>
      <c r="H15" s="18" t="s">
        <v>64</v>
      </c>
      <c r="I15" s="18">
        <v>2</v>
      </c>
      <c r="J15" s="18">
        <v>4</v>
      </c>
      <c r="K15" s="18">
        <v>155.69999999999999</v>
      </c>
      <c r="L15" s="18">
        <v>64</v>
      </c>
      <c r="M15" s="18">
        <v>1905</v>
      </c>
      <c r="N15" s="20" t="s">
        <v>51</v>
      </c>
    </row>
    <row r="16" spans="2:14" x14ac:dyDescent="0.2">
      <c r="B16" s="19" t="s">
        <v>27</v>
      </c>
      <c r="C16" s="18">
        <v>30.4</v>
      </c>
      <c r="D16" s="18">
        <v>96.9</v>
      </c>
      <c r="E16" s="18">
        <v>75</v>
      </c>
      <c r="F16" s="18">
        <v>83</v>
      </c>
      <c r="G16" s="18" t="s">
        <v>57</v>
      </c>
      <c r="H16" s="18" t="s">
        <v>65</v>
      </c>
      <c r="I16" s="18">
        <v>2</v>
      </c>
      <c r="J16" s="18">
        <v>5</v>
      </c>
      <c r="K16" s="18">
        <v>165.2</v>
      </c>
      <c r="L16" s="18">
        <v>65</v>
      </c>
      <c r="M16" s="18">
        <v>2320</v>
      </c>
      <c r="N16" s="20" t="s">
        <v>51</v>
      </c>
    </row>
    <row r="17" spans="2:14" x14ac:dyDescent="0.2">
      <c r="B17" s="19" t="s">
        <v>28</v>
      </c>
      <c r="C17" s="18">
        <v>16.5</v>
      </c>
      <c r="D17" s="18">
        <v>350</v>
      </c>
      <c r="E17" s="18">
        <v>155</v>
      </c>
      <c r="F17" s="18">
        <v>250</v>
      </c>
      <c r="G17" s="18" t="s">
        <v>53</v>
      </c>
      <c r="H17" s="18" t="s">
        <v>66</v>
      </c>
      <c r="I17" s="18">
        <v>4</v>
      </c>
      <c r="J17" s="18">
        <v>3</v>
      </c>
      <c r="K17" s="18">
        <v>195.4</v>
      </c>
      <c r="L17" s="18">
        <v>74.400000000000006</v>
      </c>
      <c r="M17" s="18">
        <v>3885</v>
      </c>
      <c r="N17" s="20" t="s">
        <v>50</v>
      </c>
    </row>
    <row r="18" spans="2:14" x14ac:dyDescent="0.2">
      <c r="B18" s="19" t="s">
        <v>29</v>
      </c>
      <c r="C18" s="18">
        <v>36.5</v>
      </c>
      <c r="D18" s="18">
        <v>85.3</v>
      </c>
      <c r="E18" s="18">
        <v>80</v>
      </c>
      <c r="F18" s="18">
        <v>83</v>
      </c>
      <c r="G18" s="18" t="s">
        <v>53</v>
      </c>
      <c r="H18" s="18" t="s">
        <v>67</v>
      </c>
      <c r="I18" s="18">
        <v>2</v>
      </c>
      <c r="J18" s="18">
        <v>4</v>
      </c>
      <c r="K18" s="18">
        <v>160.6</v>
      </c>
      <c r="L18" s="18">
        <v>62.2</v>
      </c>
      <c r="M18" s="18">
        <v>2009</v>
      </c>
      <c r="N18" s="20" t="s">
        <v>51</v>
      </c>
    </row>
    <row r="19" spans="2:14" x14ac:dyDescent="0.2">
      <c r="B19" s="19" t="s">
        <v>30</v>
      </c>
      <c r="C19" s="18">
        <v>21.5</v>
      </c>
      <c r="D19" s="18">
        <v>171</v>
      </c>
      <c r="E19" s="18">
        <v>109</v>
      </c>
      <c r="F19" s="18">
        <v>146</v>
      </c>
      <c r="G19" s="18" t="s">
        <v>56</v>
      </c>
      <c r="H19" s="18" t="s">
        <v>68</v>
      </c>
      <c r="I19" s="18">
        <v>2</v>
      </c>
      <c r="J19" s="18">
        <v>4</v>
      </c>
      <c r="K19" s="18">
        <v>170.4</v>
      </c>
      <c r="L19" s="18">
        <v>66.900000000000006</v>
      </c>
      <c r="M19" s="18">
        <v>2655</v>
      </c>
      <c r="N19" s="20" t="s">
        <v>51</v>
      </c>
    </row>
    <row r="20" spans="2:14" x14ac:dyDescent="0.2">
      <c r="B20" s="19" t="s">
        <v>31</v>
      </c>
      <c r="C20" s="18">
        <v>19.7</v>
      </c>
      <c r="D20" s="18">
        <v>258</v>
      </c>
      <c r="E20" s="18">
        <v>110</v>
      </c>
      <c r="F20" s="18">
        <v>195</v>
      </c>
      <c r="G20" s="18" t="s">
        <v>52</v>
      </c>
      <c r="H20" s="18" t="s">
        <v>66</v>
      </c>
      <c r="I20" s="18">
        <v>1</v>
      </c>
      <c r="J20" s="18">
        <v>3</v>
      </c>
      <c r="K20" s="18">
        <v>171.5</v>
      </c>
      <c r="L20" s="18">
        <v>77</v>
      </c>
      <c r="M20" s="18">
        <v>3375</v>
      </c>
      <c r="N20" s="20" t="s">
        <v>50</v>
      </c>
    </row>
    <row r="21" spans="2:14" x14ac:dyDescent="0.2">
      <c r="B21" s="19" t="s">
        <v>32</v>
      </c>
      <c r="C21" s="18">
        <v>20.3</v>
      </c>
      <c r="D21" s="18">
        <v>140</v>
      </c>
      <c r="E21" s="18">
        <v>83</v>
      </c>
      <c r="F21" s="18">
        <v>109</v>
      </c>
      <c r="G21" s="18" t="s">
        <v>55</v>
      </c>
      <c r="H21" s="18" t="s">
        <v>69</v>
      </c>
      <c r="I21" s="18">
        <v>2</v>
      </c>
      <c r="J21" s="18">
        <v>4</v>
      </c>
      <c r="K21" s="18">
        <v>168.8</v>
      </c>
      <c r="L21" s="18">
        <v>69.400000000000006</v>
      </c>
      <c r="M21" s="18">
        <v>2700</v>
      </c>
      <c r="N21" s="20" t="s">
        <v>51</v>
      </c>
    </row>
    <row r="22" spans="2:14" x14ac:dyDescent="0.2">
      <c r="B22" s="19" t="s">
        <v>33</v>
      </c>
      <c r="C22" s="18">
        <v>17.8</v>
      </c>
      <c r="D22" s="18">
        <v>302</v>
      </c>
      <c r="E22" s="18">
        <v>129</v>
      </c>
      <c r="F22" s="18">
        <v>220</v>
      </c>
      <c r="G22" s="18" t="s">
        <v>52</v>
      </c>
      <c r="H22" s="18" t="s">
        <v>70</v>
      </c>
      <c r="I22" s="18">
        <v>2</v>
      </c>
      <c r="J22" s="18">
        <v>3</v>
      </c>
      <c r="K22" s="18">
        <v>199.9</v>
      </c>
      <c r="L22" s="18">
        <v>74</v>
      </c>
      <c r="M22" s="18">
        <v>3890</v>
      </c>
      <c r="N22" s="20" t="s">
        <v>50</v>
      </c>
    </row>
    <row r="23" spans="2:14" x14ac:dyDescent="0.2">
      <c r="B23" s="19" t="s">
        <v>34</v>
      </c>
      <c r="C23" s="18">
        <v>14.39</v>
      </c>
      <c r="D23" s="18">
        <v>500</v>
      </c>
      <c r="E23" s="18">
        <v>190</v>
      </c>
      <c r="F23" s="18">
        <v>360</v>
      </c>
      <c r="G23" s="18" t="s">
        <v>53</v>
      </c>
      <c r="H23" s="18" t="s">
        <v>60</v>
      </c>
      <c r="I23" s="18">
        <v>4</v>
      </c>
      <c r="J23" s="18">
        <v>3</v>
      </c>
      <c r="K23" s="18">
        <v>224.1</v>
      </c>
      <c r="L23" s="18">
        <v>79.8</v>
      </c>
      <c r="M23" s="18">
        <v>5290</v>
      </c>
      <c r="N23" s="20" t="s">
        <v>50</v>
      </c>
    </row>
    <row r="24" spans="2:14" x14ac:dyDescent="0.2">
      <c r="B24" s="19" t="s">
        <v>35</v>
      </c>
      <c r="C24" s="18">
        <v>14.89</v>
      </c>
      <c r="D24" s="18">
        <v>440</v>
      </c>
      <c r="E24" s="18">
        <v>215</v>
      </c>
      <c r="F24" s="18">
        <v>330</v>
      </c>
      <c r="G24" s="18" t="s">
        <v>56</v>
      </c>
      <c r="H24" s="18" t="s">
        <v>71</v>
      </c>
      <c r="I24" s="18">
        <v>4</v>
      </c>
      <c r="J24" s="18">
        <v>3</v>
      </c>
      <c r="K24" s="18">
        <v>231</v>
      </c>
      <c r="L24" s="18">
        <v>79.7</v>
      </c>
      <c r="M24" s="18">
        <v>5185</v>
      </c>
      <c r="N24" s="20" t="s">
        <v>50</v>
      </c>
    </row>
    <row r="25" spans="2:14" x14ac:dyDescent="0.2">
      <c r="B25" s="19" t="s">
        <v>36</v>
      </c>
      <c r="C25" s="18">
        <v>17.8</v>
      </c>
      <c r="D25" s="18">
        <v>350</v>
      </c>
      <c r="E25" s="18">
        <v>155</v>
      </c>
      <c r="F25" s="18">
        <v>250</v>
      </c>
      <c r="G25" s="18" t="s">
        <v>53</v>
      </c>
      <c r="H25" s="18" t="s">
        <v>66</v>
      </c>
      <c r="I25" s="18">
        <v>4</v>
      </c>
      <c r="J25" s="18">
        <v>3</v>
      </c>
      <c r="K25" s="18">
        <v>196.7</v>
      </c>
      <c r="L25" s="18">
        <v>72.2</v>
      </c>
      <c r="M25" s="18">
        <v>3910</v>
      </c>
      <c r="N25" s="20" t="s">
        <v>50</v>
      </c>
    </row>
    <row r="26" spans="2:14" x14ac:dyDescent="0.2">
      <c r="B26" s="19" t="s">
        <v>37</v>
      </c>
      <c r="C26" s="18">
        <v>16.41</v>
      </c>
      <c r="D26" s="18">
        <v>318</v>
      </c>
      <c r="E26" s="18">
        <v>145</v>
      </c>
      <c r="F26" s="18">
        <v>255</v>
      </c>
      <c r="G26" s="18" t="s">
        <v>53</v>
      </c>
      <c r="H26" s="18" t="s">
        <v>72</v>
      </c>
      <c r="I26" s="18">
        <v>2</v>
      </c>
      <c r="J26" s="18">
        <v>3</v>
      </c>
      <c r="K26" s="18">
        <v>197.6</v>
      </c>
      <c r="L26" s="18">
        <v>71</v>
      </c>
      <c r="M26" s="18">
        <v>3660</v>
      </c>
      <c r="N26" s="20" t="s">
        <v>50</v>
      </c>
    </row>
    <row r="27" spans="2:14" x14ac:dyDescent="0.2">
      <c r="B27" s="19" t="s">
        <v>38</v>
      </c>
      <c r="C27" s="18">
        <v>23.54</v>
      </c>
      <c r="D27" s="18">
        <v>231</v>
      </c>
      <c r="E27" s="18">
        <v>110</v>
      </c>
      <c r="F27" s="18">
        <v>175</v>
      </c>
      <c r="G27" s="18" t="s">
        <v>52</v>
      </c>
      <c r="H27" s="18" t="s">
        <v>59</v>
      </c>
      <c r="I27" s="18">
        <v>2</v>
      </c>
      <c r="J27" s="18">
        <v>3</v>
      </c>
      <c r="K27" s="18">
        <v>179.3</v>
      </c>
      <c r="L27" s="18">
        <v>65.400000000000006</v>
      </c>
      <c r="M27" s="18">
        <v>3050</v>
      </c>
      <c r="N27" s="20" t="s">
        <v>50</v>
      </c>
    </row>
    <row r="28" spans="2:14" x14ac:dyDescent="0.2">
      <c r="B28" s="19" t="s">
        <v>39</v>
      </c>
      <c r="C28" s="18">
        <v>21.47</v>
      </c>
      <c r="D28" s="18">
        <v>360</v>
      </c>
      <c r="E28" s="18">
        <v>180</v>
      </c>
      <c r="F28" s="18">
        <v>290</v>
      </c>
      <c r="G28" s="18" t="s">
        <v>55</v>
      </c>
      <c r="H28" s="18" t="s">
        <v>72</v>
      </c>
      <c r="I28" s="18">
        <v>2</v>
      </c>
      <c r="J28" s="18">
        <v>3</v>
      </c>
      <c r="K28" s="18">
        <v>214.2</v>
      </c>
      <c r="L28" s="18">
        <v>76.3</v>
      </c>
      <c r="M28" s="18">
        <v>4250</v>
      </c>
      <c r="N28" s="20" t="s">
        <v>50</v>
      </c>
    </row>
    <row r="29" spans="2:14" x14ac:dyDescent="0.2">
      <c r="B29" s="19" t="s">
        <v>40</v>
      </c>
      <c r="C29" s="18">
        <v>16.59</v>
      </c>
      <c r="D29" s="18">
        <v>400</v>
      </c>
      <c r="E29" s="18">
        <v>185</v>
      </c>
      <c r="F29" s="18" t="s">
        <v>78</v>
      </c>
      <c r="G29" s="18" t="s">
        <v>58</v>
      </c>
      <c r="H29" s="18" t="s">
        <v>66</v>
      </c>
      <c r="I29" s="18">
        <v>4</v>
      </c>
      <c r="J29" s="18">
        <v>3</v>
      </c>
      <c r="K29" s="18">
        <v>196</v>
      </c>
      <c r="L29" s="18">
        <v>73</v>
      </c>
      <c r="M29" s="18">
        <v>3850</v>
      </c>
      <c r="N29" s="20" t="s">
        <v>50</v>
      </c>
    </row>
    <row r="30" spans="2:14" x14ac:dyDescent="0.2">
      <c r="B30" s="19" t="s">
        <v>41</v>
      </c>
      <c r="C30" s="18">
        <v>31.9</v>
      </c>
      <c r="D30" s="18">
        <v>96.9</v>
      </c>
      <c r="E30" s="18">
        <v>75</v>
      </c>
      <c r="F30" s="18">
        <v>83</v>
      </c>
      <c r="G30" s="18" t="s">
        <v>57</v>
      </c>
      <c r="H30" s="18" t="s">
        <v>65</v>
      </c>
      <c r="I30" s="18">
        <v>2</v>
      </c>
      <c r="J30" s="18">
        <v>5</v>
      </c>
      <c r="K30" s="18">
        <v>165.2</v>
      </c>
      <c r="L30" s="18">
        <v>61.8</v>
      </c>
      <c r="M30" s="18">
        <v>2275</v>
      </c>
      <c r="N30" s="20" t="s">
        <v>51</v>
      </c>
    </row>
    <row r="31" spans="2:14" x14ac:dyDescent="0.2">
      <c r="B31" s="19" t="s">
        <v>42</v>
      </c>
      <c r="C31" s="18">
        <v>29.4</v>
      </c>
      <c r="D31" s="18">
        <v>140</v>
      </c>
      <c r="E31" s="18">
        <v>86</v>
      </c>
      <c r="F31" s="18" t="s">
        <v>78</v>
      </c>
      <c r="G31" s="18" t="s">
        <v>52</v>
      </c>
      <c r="H31" s="18" t="s">
        <v>73</v>
      </c>
      <c r="I31" s="18">
        <v>2</v>
      </c>
      <c r="J31" s="18">
        <v>4</v>
      </c>
      <c r="K31" s="18">
        <v>176.4</v>
      </c>
      <c r="L31" s="18">
        <v>65.400000000000006</v>
      </c>
      <c r="M31" s="18">
        <v>2150</v>
      </c>
      <c r="N31" s="20" t="s">
        <v>51</v>
      </c>
    </row>
    <row r="32" spans="2:14" x14ac:dyDescent="0.2">
      <c r="B32" s="19" t="s">
        <v>43</v>
      </c>
      <c r="C32" s="18">
        <v>13.27</v>
      </c>
      <c r="D32" s="18">
        <v>460</v>
      </c>
      <c r="E32" s="18">
        <v>223</v>
      </c>
      <c r="F32" s="18">
        <v>366</v>
      </c>
      <c r="G32" s="18" t="s">
        <v>52</v>
      </c>
      <c r="H32" s="18" t="s">
        <v>61</v>
      </c>
      <c r="I32" s="18">
        <v>4</v>
      </c>
      <c r="J32" s="18">
        <v>3</v>
      </c>
      <c r="K32" s="18">
        <v>228</v>
      </c>
      <c r="L32" s="18">
        <v>79.8</v>
      </c>
      <c r="M32" s="18">
        <v>5430</v>
      </c>
      <c r="N32" s="20" t="s">
        <v>50</v>
      </c>
    </row>
    <row r="33" spans="1:18" x14ac:dyDescent="0.2">
      <c r="B33" s="19" t="s">
        <v>44</v>
      </c>
      <c r="C33" s="18">
        <v>23.9</v>
      </c>
      <c r="D33" s="18">
        <v>133.6</v>
      </c>
      <c r="E33" s="18">
        <v>96</v>
      </c>
      <c r="F33" s="18">
        <v>120</v>
      </c>
      <c r="G33" s="18" t="s">
        <v>55</v>
      </c>
      <c r="H33" s="18" t="s">
        <v>74</v>
      </c>
      <c r="I33" s="18">
        <v>2</v>
      </c>
      <c r="J33" s="18">
        <v>5</v>
      </c>
      <c r="K33" s="18">
        <v>171.5</v>
      </c>
      <c r="L33" s="18">
        <v>63.4</v>
      </c>
      <c r="M33" s="18">
        <v>2535</v>
      </c>
      <c r="N33" s="20" t="s">
        <v>51</v>
      </c>
    </row>
    <row r="34" spans="1:18" x14ac:dyDescent="0.2">
      <c r="B34" s="19" t="s">
        <v>45</v>
      </c>
      <c r="C34" s="18">
        <v>19.73</v>
      </c>
      <c r="D34" s="18">
        <v>318</v>
      </c>
      <c r="E34" s="18">
        <v>140</v>
      </c>
      <c r="F34" s="18">
        <v>255</v>
      </c>
      <c r="G34" s="18" t="s">
        <v>53</v>
      </c>
      <c r="H34" s="18" t="s">
        <v>71</v>
      </c>
      <c r="I34" s="18">
        <v>2</v>
      </c>
      <c r="J34" s="18">
        <v>3</v>
      </c>
      <c r="K34" s="18">
        <v>215.3</v>
      </c>
      <c r="L34" s="18">
        <v>76.3</v>
      </c>
      <c r="M34" s="18">
        <v>4370</v>
      </c>
      <c r="N34" s="20" t="s">
        <v>50</v>
      </c>
    </row>
    <row r="35" spans="1:18" x14ac:dyDescent="0.2">
      <c r="B35" s="19" t="s">
        <v>46</v>
      </c>
      <c r="C35" s="18">
        <v>13.9</v>
      </c>
      <c r="D35" s="18">
        <v>351</v>
      </c>
      <c r="E35" s="18">
        <v>148</v>
      </c>
      <c r="F35" s="18">
        <v>243</v>
      </c>
      <c r="G35" s="18" t="s">
        <v>52</v>
      </c>
      <c r="H35" s="18" t="s">
        <v>75</v>
      </c>
      <c r="I35" s="18">
        <v>2</v>
      </c>
      <c r="J35" s="18">
        <v>3</v>
      </c>
      <c r="K35" s="18">
        <v>215.5</v>
      </c>
      <c r="L35" s="18">
        <v>78.5</v>
      </c>
      <c r="M35" s="18">
        <v>4540</v>
      </c>
      <c r="N35" s="20" t="s">
        <v>50</v>
      </c>
    </row>
    <row r="36" spans="1:18" x14ac:dyDescent="0.2">
      <c r="B36" s="19" t="s">
        <v>47</v>
      </c>
      <c r="C36" s="18">
        <v>13.27</v>
      </c>
      <c r="D36" s="18">
        <v>351</v>
      </c>
      <c r="E36" s="18">
        <v>148</v>
      </c>
      <c r="F36" s="18">
        <v>243</v>
      </c>
      <c r="G36" s="18" t="s">
        <v>52</v>
      </c>
      <c r="H36" s="18" t="s">
        <v>76</v>
      </c>
      <c r="I36" s="18">
        <v>2</v>
      </c>
      <c r="J36" s="18">
        <v>3</v>
      </c>
      <c r="K36" s="18">
        <v>216.1</v>
      </c>
      <c r="L36" s="18">
        <v>78.5</v>
      </c>
      <c r="M36" s="18">
        <v>4715</v>
      </c>
      <c r="N36" s="20" t="s">
        <v>50</v>
      </c>
    </row>
    <row r="37" spans="1:18" x14ac:dyDescent="0.2">
      <c r="B37" s="19" t="s">
        <v>48</v>
      </c>
      <c r="C37" s="18">
        <v>13.77</v>
      </c>
      <c r="D37" s="18">
        <v>360</v>
      </c>
      <c r="E37" s="18">
        <v>195</v>
      </c>
      <c r="F37" s="18">
        <v>295</v>
      </c>
      <c r="G37" s="18" t="s">
        <v>54</v>
      </c>
      <c r="H37" s="18" t="s">
        <v>77</v>
      </c>
      <c r="I37" s="18">
        <v>4</v>
      </c>
      <c r="J37" s="18">
        <v>3</v>
      </c>
      <c r="K37" s="18">
        <v>209.3</v>
      </c>
      <c r="L37" s="18">
        <v>77.400000000000006</v>
      </c>
      <c r="M37" s="18">
        <v>4215</v>
      </c>
      <c r="N37" s="20" t="s">
        <v>50</v>
      </c>
    </row>
    <row r="38" spans="1:18" x14ac:dyDescent="0.2">
      <c r="B38" s="19" t="s">
        <v>49</v>
      </c>
      <c r="C38" s="18">
        <v>16.5</v>
      </c>
      <c r="D38" s="18">
        <v>350</v>
      </c>
      <c r="E38" s="18">
        <v>165</v>
      </c>
      <c r="F38" s="18">
        <v>255</v>
      </c>
      <c r="G38" s="18" t="s">
        <v>53</v>
      </c>
      <c r="H38" s="18" t="s">
        <v>60</v>
      </c>
      <c r="I38" s="18">
        <v>4</v>
      </c>
      <c r="J38" s="18">
        <v>3</v>
      </c>
      <c r="K38" s="18">
        <v>185.2</v>
      </c>
      <c r="L38" s="18">
        <v>69</v>
      </c>
      <c r="M38" s="18">
        <v>3660</v>
      </c>
      <c r="N38" s="20" t="s">
        <v>50</v>
      </c>
    </row>
    <row r="40" spans="1:18" x14ac:dyDescent="0.2">
      <c r="A40" s="81" t="s">
        <v>156</v>
      </c>
      <c r="B40" s="81"/>
      <c r="C40" s="81"/>
      <c r="D40" s="81"/>
      <c r="E40" s="81"/>
      <c r="F40" s="81"/>
      <c r="G40" s="81"/>
    </row>
    <row r="41" spans="1:18" x14ac:dyDescent="0.2">
      <c r="A41" s="82" t="s">
        <v>82</v>
      </c>
      <c r="B41" s="82"/>
      <c r="C41" s="82"/>
      <c r="D41" s="82"/>
      <c r="E41" s="82"/>
      <c r="F41" s="82"/>
      <c r="G41" s="82"/>
    </row>
    <row r="43" spans="1:18" x14ac:dyDescent="0.2">
      <c r="B43" s="46" t="s">
        <v>5</v>
      </c>
      <c r="C43" s="46" t="s">
        <v>117</v>
      </c>
      <c r="D43" s="46" t="s">
        <v>170</v>
      </c>
      <c r="E43" s="46" t="s">
        <v>234</v>
      </c>
      <c r="I43" s="6"/>
      <c r="J43" s="6"/>
      <c r="K43" s="6"/>
      <c r="L43" s="6"/>
      <c r="M43" s="47"/>
      <c r="N43" s="47"/>
      <c r="O43" s="47"/>
      <c r="P43" s="47"/>
      <c r="Q43" s="47"/>
      <c r="R43" s="47"/>
    </row>
    <row r="44" spans="1:18" x14ac:dyDescent="0.2">
      <c r="B44" s="18" t="s">
        <v>18</v>
      </c>
      <c r="C44" s="18">
        <v>18.899999999999999</v>
      </c>
      <c r="D44" s="18">
        <v>350</v>
      </c>
      <c r="E44" s="18">
        <v>4</v>
      </c>
      <c r="I44" s="47"/>
      <c r="J44" s="47"/>
      <c r="K44" s="47"/>
      <c r="L44" s="47"/>
      <c r="M44" s="47"/>
      <c r="N44" s="47"/>
      <c r="O44" s="47"/>
      <c r="P44" s="47"/>
      <c r="Q44" s="47"/>
      <c r="R44" s="47"/>
    </row>
    <row r="45" spans="1:18" x14ac:dyDescent="0.2">
      <c r="B45" s="18" t="s">
        <v>19</v>
      </c>
      <c r="C45" s="18">
        <v>17</v>
      </c>
      <c r="D45" s="18">
        <v>350</v>
      </c>
      <c r="E45" s="18">
        <v>4</v>
      </c>
      <c r="I45" s="47"/>
      <c r="J45" s="47"/>
      <c r="K45" s="47"/>
      <c r="L45" s="47"/>
      <c r="M45" s="47"/>
      <c r="N45" s="47"/>
      <c r="O45" s="47"/>
      <c r="P45" s="47"/>
      <c r="Q45" s="47"/>
      <c r="R45" s="47"/>
    </row>
    <row r="46" spans="1:18" x14ac:dyDescent="0.2">
      <c r="B46" s="18" t="s">
        <v>20</v>
      </c>
      <c r="C46" s="18">
        <v>20</v>
      </c>
      <c r="D46" s="18">
        <v>250</v>
      </c>
      <c r="E46" s="18">
        <v>1</v>
      </c>
      <c r="I46" s="47"/>
      <c r="J46" s="47"/>
      <c r="K46" s="47"/>
      <c r="L46" s="47"/>
      <c r="M46" s="47"/>
      <c r="N46" s="47"/>
      <c r="O46" s="47"/>
      <c r="P46" s="47"/>
      <c r="Q46" s="47"/>
      <c r="R46" s="47"/>
    </row>
    <row r="47" spans="1:18" x14ac:dyDescent="0.2">
      <c r="B47" s="18" t="s">
        <v>21</v>
      </c>
      <c r="C47" s="18">
        <v>18.25</v>
      </c>
      <c r="D47" s="18">
        <v>351</v>
      </c>
      <c r="E47" s="18">
        <v>2</v>
      </c>
      <c r="I47" s="48"/>
      <c r="J47" s="48"/>
      <c r="K47" s="47"/>
      <c r="L47" s="47"/>
      <c r="M47" s="47"/>
      <c r="N47" s="47"/>
      <c r="O47" s="47"/>
      <c r="P47" s="47"/>
      <c r="Q47" s="47"/>
      <c r="R47" s="47"/>
    </row>
    <row r="48" spans="1:18" x14ac:dyDescent="0.2">
      <c r="B48" s="18" t="s">
        <v>22</v>
      </c>
      <c r="C48" s="18">
        <v>20.07</v>
      </c>
      <c r="D48" s="18">
        <v>225</v>
      </c>
      <c r="E48" s="18">
        <v>1</v>
      </c>
      <c r="I48" s="33"/>
      <c r="J48" s="33"/>
      <c r="K48" s="47"/>
      <c r="L48" s="47"/>
      <c r="M48" s="47"/>
      <c r="N48" s="47"/>
      <c r="O48" s="47"/>
      <c r="P48" s="47"/>
      <c r="Q48" s="47"/>
      <c r="R48" s="47"/>
    </row>
    <row r="49" spans="2:18" x14ac:dyDescent="0.2">
      <c r="B49" s="18" t="s">
        <v>23</v>
      </c>
      <c r="C49" s="18">
        <v>11.2</v>
      </c>
      <c r="D49" s="18">
        <v>440</v>
      </c>
      <c r="E49" s="18">
        <v>4</v>
      </c>
      <c r="I49" s="33"/>
      <c r="J49" s="33"/>
      <c r="K49" s="47"/>
      <c r="L49" s="47"/>
      <c r="M49" s="47"/>
      <c r="N49" s="47"/>
      <c r="O49" s="47"/>
      <c r="P49" s="47"/>
      <c r="Q49" s="47"/>
      <c r="R49" s="47"/>
    </row>
    <row r="50" spans="2:18" x14ac:dyDescent="0.2">
      <c r="B50" s="18" t="s">
        <v>24</v>
      </c>
      <c r="C50" s="18">
        <v>22.12</v>
      </c>
      <c r="D50" s="18">
        <v>231</v>
      </c>
      <c r="E50" s="18">
        <v>2</v>
      </c>
      <c r="I50" s="33"/>
      <c r="J50" s="33"/>
      <c r="K50" s="47"/>
      <c r="L50" s="47"/>
      <c r="M50" s="47"/>
      <c r="N50" s="47"/>
      <c r="O50" s="47"/>
      <c r="P50" s="47"/>
      <c r="Q50" s="47"/>
      <c r="R50" s="47"/>
    </row>
    <row r="51" spans="2:18" x14ac:dyDescent="0.2">
      <c r="B51" s="18" t="s">
        <v>25</v>
      </c>
      <c r="C51" s="18">
        <v>21.47</v>
      </c>
      <c r="D51" s="18">
        <v>262</v>
      </c>
      <c r="E51" s="18">
        <v>2</v>
      </c>
      <c r="I51" s="33"/>
      <c r="J51" s="33"/>
      <c r="K51" s="47"/>
      <c r="L51" s="47"/>
      <c r="M51" s="47"/>
      <c r="N51" s="47"/>
      <c r="O51" s="47"/>
      <c r="P51" s="47"/>
      <c r="Q51" s="47"/>
      <c r="R51" s="47"/>
    </row>
    <row r="52" spans="2:18" x14ac:dyDescent="0.2">
      <c r="B52" s="18" t="s">
        <v>26</v>
      </c>
      <c r="C52" s="18">
        <v>34.700000000000003</v>
      </c>
      <c r="D52" s="18">
        <v>89.7</v>
      </c>
      <c r="E52" s="18">
        <v>2</v>
      </c>
      <c r="I52" s="33"/>
      <c r="J52" s="33"/>
      <c r="K52" s="47"/>
      <c r="L52" s="47"/>
      <c r="M52" s="47"/>
      <c r="N52" s="47"/>
      <c r="O52" s="47"/>
      <c r="P52" s="47"/>
      <c r="Q52" s="47"/>
      <c r="R52" s="47"/>
    </row>
    <row r="53" spans="2:18" x14ac:dyDescent="0.2">
      <c r="B53" s="18" t="s">
        <v>27</v>
      </c>
      <c r="C53" s="18">
        <v>30.4</v>
      </c>
      <c r="D53" s="18">
        <v>96.9</v>
      </c>
      <c r="E53" s="18">
        <v>2</v>
      </c>
      <c r="I53" s="47"/>
      <c r="J53" s="47"/>
      <c r="K53" s="47"/>
      <c r="L53" s="47"/>
      <c r="M53" s="47"/>
      <c r="N53" s="47"/>
      <c r="O53" s="47"/>
      <c r="P53" s="47"/>
      <c r="Q53" s="47"/>
      <c r="R53" s="47"/>
    </row>
    <row r="54" spans="2:18" x14ac:dyDescent="0.2">
      <c r="B54" s="18" t="s">
        <v>28</v>
      </c>
      <c r="C54" s="18">
        <v>16.5</v>
      </c>
      <c r="D54" s="18">
        <v>350</v>
      </c>
      <c r="E54" s="18">
        <v>4</v>
      </c>
      <c r="I54" s="47"/>
      <c r="J54" s="47"/>
      <c r="K54" s="47"/>
      <c r="L54" s="47"/>
      <c r="M54" s="47"/>
      <c r="N54" s="47"/>
      <c r="O54" s="47"/>
      <c r="P54" s="47"/>
      <c r="Q54" s="47"/>
      <c r="R54" s="47"/>
    </row>
    <row r="55" spans="2:18" x14ac:dyDescent="0.2">
      <c r="B55" s="18" t="s">
        <v>29</v>
      </c>
      <c r="C55" s="18">
        <v>36.5</v>
      </c>
      <c r="D55" s="18">
        <v>85.3</v>
      </c>
      <c r="E55" s="18">
        <v>2</v>
      </c>
      <c r="I55" s="49"/>
      <c r="J55" s="49"/>
      <c r="K55" s="49"/>
      <c r="L55" s="49"/>
      <c r="M55" s="49"/>
      <c r="N55" s="49"/>
      <c r="O55" s="47"/>
      <c r="P55" s="47"/>
      <c r="Q55" s="47"/>
      <c r="R55" s="47"/>
    </row>
    <row r="56" spans="2:18" x14ac:dyDescent="0.2">
      <c r="B56" s="18" t="s">
        <v>30</v>
      </c>
      <c r="C56" s="18">
        <v>21.5</v>
      </c>
      <c r="D56" s="18">
        <v>171</v>
      </c>
      <c r="E56" s="18">
        <v>2</v>
      </c>
      <c r="I56" s="33"/>
      <c r="J56" s="33"/>
      <c r="K56" s="33"/>
      <c r="L56" s="33"/>
      <c r="M56" s="33"/>
      <c r="N56" s="33"/>
      <c r="O56" s="47"/>
      <c r="P56" s="47"/>
      <c r="Q56" s="47"/>
      <c r="R56" s="47"/>
    </row>
    <row r="57" spans="2:18" x14ac:dyDescent="0.2">
      <c r="B57" s="18" t="s">
        <v>31</v>
      </c>
      <c r="C57" s="18">
        <v>19.7</v>
      </c>
      <c r="D57" s="18">
        <v>258</v>
      </c>
      <c r="E57" s="18">
        <v>1</v>
      </c>
      <c r="I57" s="33"/>
      <c r="J57" s="33"/>
      <c r="K57" s="33"/>
      <c r="L57" s="33"/>
      <c r="M57" s="33"/>
      <c r="N57" s="33"/>
      <c r="O57" s="47"/>
      <c r="P57" s="47"/>
      <c r="Q57" s="47"/>
      <c r="R57" s="47"/>
    </row>
    <row r="58" spans="2:18" x14ac:dyDescent="0.2">
      <c r="B58" s="18" t="s">
        <v>32</v>
      </c>
      <c r="C58" s="18">
        <v>20.3</v>
      </c>
      <c r="D58" s="18">
        <v>140</v>
      </c>
      <c r="E58" s="18">
        <v>2</v>
      </c>
      <c r="I58" s="33"/>
      <c r="J58" s="33"/>
      <c r="K58" s="33"/>
      <c r="L58" s="33"/>
      <c r="M58" s="33"/>
      <c r="N58" s="33"/>
      <c r="O58" s="47"/>
      <c r="P58" s="47"/>
      <c r="Q58" s="47"/>
      <c r="R58" s="47"/>
    </row>
    <row r="59" spans="2:18" x14ac:dyDescent="0.2">
      <c r="B59" s="18" t="s">
        <v>33</v>
      </c>
      <c r="C59" s="18">
        <v>17.8</v>
      </c>
      <c r="D59" s="18">
        <v>302</v>
      </c>
      <c r="E59" s="18">
        <v>2</v>
      </c>
      <c r="I59" s="47"/>
      <c r="J59" s="47"/>
      <c r="K59" s="47"/>
      <c r="L59" s="47"/>
      <c r="M59" s="47"/>
      <c r="N59" s="47"/>
      <c r="O59" s="47"/>
      <c r="P59" s="47"/>
      <c r="Q59" s="47"/>
      <c r="R59" s="47"/>
    </row>
    <row r="60" spans="2:18" x14ac:dyDescent="0.2">
      <c r="B60" s="18" t="s">
        <v>34</v>
      </c>
      <c r="C60" s="18">
        <v>14.39</v>
      </c>
      <c r="D60" s="18">
        <v>500</v>
      </c>
      <c r="E60" s="18">
        <v>4</v>
      </c>
      <c r="I60" s="49"/>
      <c r="J60" s="49"/>
      <c r="K60" s="49"/>
      <c r="L60" s="49"/>
      <c r="M60" s="49"/>
      <c r="N60" s="49"/>
      <c r="O60" s="49"/>
      <c r="P60" s="49"/>
      <c r="Q60" s="49"/>
      <c r="R60" s="47"/>
    </row>
    <row r="61" spans="2:18" x14ac:dyDescent="0.2">
      <c r="B61" s="18" t="s">
        <v>35</v>
      </c>
      <c r="C61" s="18">
        <v>14.89</v>
      </c>
      <c r="D61" s="18">
        <v>440</v>
      </c>
      <c r="E61" s="18">
        <v>4</v>
      </c>
      <c r="I61" s="33"/>
      <c r="J61" s="33"/>
      <c r="K61" s="33"/>
      <c r="L61" s="33"/>
      <c r="M61" s="33"/>
      <c r="N61" s="33"/>
      <c r="O61" s="33"/>
      <c r="P61" s="33"/>
      <c r="Q61" s="33"/>
      <c r="R61" s="47"/>
    </row>
    <row r="62" spans="2:18" x14ac:dyDescent="0.2">
      <c r="B62" s="18" t="s">
        <v>36</v>
      </c>
      <c r="C62" s="18">
        <v>17.8</v>
      </c>
      <c r="D62" s="18">
        <v>350</v>
      </c>
      <c r="E62" s="18">
        <v>4</v>
      </c>
      <c r="I62" s="33"/>
      <c r="J62" s="33"/>
      <c r="K62" s="33"/>
      <c r="L62" s="33"/>
      <c r="M62" s="33"/>
      <c r="N62" s="33"/>
      <c r="O62" s="33"/>
      <c r="P62" s="33"/>
      <c r="Q62" s="33"/>
      <c r="R62" s="47"/>
    </row>
    <row r="63" spans="2:18" x14ac:dyDescent="0.2">
      <c r="B63" s="18" t="s">
        <v>37</v>
      </c>
      <c r="C63" s="18">
        <v>16.41</v>
      </c>
      <c r="D63" s="18">
        <v>318</v>
      </c>
      <c r="E63" s="18">
        <v>2</v>
      </c>
      <c r="I63" s="33"/>
      <c r="J63" s="33"/>
      <c r="K63" s="33"/>
      <c r="L63" s="33"/>
      <c r="M63" s="33"/>
      <c r="N63" s="33"/>
      <c r="O63" s="33"/>
      <c r="P63" s="33"/>
      <c r="Q63" s="33"/>
      <c r="R63" s="47"/>
    </row>
    <row r="64" spans="2:18" x14ac:dyDescent="0.2">
      <c r="B64" s="18" t="s">
        <v>38</v>
      </c>
      <c r="C64" s="18">
        <v>23.54</v>
      </c>
      <c r="D64" s="18">
        <v>231</v>
      </c>
      <c r="E64" s="18">
        <v>2</v>
      </c>
      <c r="I64" s="47"/>
      <c r="J64" s="47"/>
      <c r="K64" s="47"/>
      <c r="L64" s="47"/>
      <c r="M64" s="47"/>
      <c r="N64" s="47"/>
      <c r="O64" s="47"/>
      <c r="P64" s="47"/>
      <c r="Q64" s="47"/>
      <c r="R64" s="47"/>
    </row>
    <row r="65" spans="1:5" x14ac:dyDescent="0.2">
      <c r="B65" s="18" t="s">
        <v>39</v>
      </c>
      <c r="C65" s="18">
        <v>21.47</v>
      </c>
      <c r="D65" s="18">
        <v>360</v>
      </c>
      <c r="E65" s="18">
        <v>2</v>
      </c>
    </row>
    <row r="66" spans="1:5" x14ac:dyDescent="0.2">
      <c r="B66" s="18" t="s">
        <v>40</v>
      </c>
      <c r="C66" s="18">
        <v>16.59</v>
      </c>
      <c r="D66" s="18">
        <v>400</v>
      </c>
      <c r="E66" s="18">
        <v>4</v>
      </c>
    </row>
    <row r="67" spans="1:5" x14ac:dyDescent="0.2">
      <c r="B67" s="18" t="s">
        <v>41</v>
      </c>
      <c r="C67" s="18">
        <v>31.9</v>
      </c>
      <c r="D67" s="18">
        <v>96.9</v>
      </c>
      <c r="E67" s="18">
        <v>2</v>
      </c>
    </row>
    <row r="68" spans="1:5" x14ac:dyDescent="0.2">
      <c r="B68" s="18" t="s">
        <v>42</v>
      </c>
      <c r="C68" s="18">
        <v>29.4</v>
      </c>
      <c r="D68" s="18">
        <v>140</v>
      </c>
      <c r="E68" s="18">
        <v>2</v>
      </c>
    </row>
    <row r="69" spans="1:5" x14ac:dyDescent="0.2">
      <c r="B69" s="18" t="s">
        <v>43</v>
      </c>
      <c r="C69" s="18">
        <v>13.27</v>
      </c>
      <c r="D69" s="18">
        <v>460</v>
      </c>
      <c r="E69" s="18">
        <v>4</v>
      </c>
    </row>
    <row r="70" spans="1:5" x14ac:dyDescent="0.2">
      <c r="B70" s="18" t="s">
        <v>44</v>
      </c>
      <c r="C70" s="18">
        <v>23.9</v>
      </c>
      <c r="D70" s="18">
        <v>133.6</v>
      </c>
      <c r="E70" s="18">
        <v>2</v>
      </c>
    </row>
    <row r="71" spans="1:5" x14ac:dyDescent="0.2">
      <c r="B71" s="18" t="s">
        <v>45</v>
      </c>
      <c r="C71" s="18">
        <v>19.73</v>
      </c>
      <c r="D71" s="18">
        <v>318</v>
      </c>
      <c r="E71" s="18">
        <v>2</v>
      </c>
    </row>
    <row r="72" spans="1:5" x14ac:dyDescent="0.2">
      <c r="B72" s="18" t="s">
        <v>46</v>
      </c>
      <c r="C72" s="18">
        <v>13.9</v>
      </c>
      <c r="D72" s="18">
        <v>351</v>
      </c>
      <c r="E72" s="18">
        <v>2</v>
      </c>
    </row>
    <row r="73" spans="1:5" x14ac:dyDescent="0.2">
      <c r="B73" s="18" t="s">
        <v>47</v>
      </c>
      <c r="C73" s="18">
        <v>13.27</v>
      </c>
      <c r="D73" s="18">
        <v>351</v>
      </c>
      <c r="E73" s="18">
        <v>2</v>
      </c>
    </row>
    <row r="74" spans="1:5" x14ac:dyDescent="0.2">
      <c r="B74" s="18" t="s">
        <v>48</v>
      </c>
      <c r="C74" s="18">
        <v>13.77</v>
      </c>
      <c r="D74" s="18">
        <v>360</v>
      </c>
      <c r="E74" s="18">
        <v>4</v>
      </c>
    </row>
    <row r="75" spans="1:5" x14ac:dyDescent="0.2">
      <c r="B75" s="18" t="s">
        <v>49</v>
      </c>
      <c r="C75" s="18">
        <v>16.5</v>
      </c>
      <c r="D75" s="18">
        <v>350</v>
      </c>
      <c r="E75" s="18">
        <v>4</v>
      </c>
    </row>
    <row r="79" spans="1:5" x14ac:dyDescent="0.2">
      <c r="A79" s="71" t="s">
        <v>83</v>
      </c>
      <c r="B79" s="71"/>
      <c r="C79" s="71"/>
    </row>
    <row r="81" spans="2:10" x14ac:dyDescent="0.2">
      <c r="B81" s="46" t="s">
        <v>5</v>
      </c>
      <c r="C81" s="46" t="s">
        <v>117</v>
      </c>
      <c r="D81" s="46" t="s">
        <v>170</v>
      </c>
      <c r="E81" s="46" t="s">
        <v>234</v>
      </c>
      <c r="F81" s="50" t="s">
        <v>84</v>
      </c>
      <c r="G81" s="50"/>
      <c r="H81" s="50"/>
      <c r="I81" s="51" t="s">
        <v>85</v>
      </c>
      <c r="J81" s="51" t="s">
        <v>86</v>
      </c>
    </row>
    <row r="82" spans="2:10" x14ac:dyDescent="0.2">
      <c r="B82" s="18" t="s">
        <v>18</v>
      </c>
      <c r="C82" s="18">
        <v>18.899999999999999</v>
      </c>
      <c r="D82" s="18">
        <v>350</v>
      </c>
      <c r="E82" s="18">
        <v>4</v>
      </c>
      <c r="F82" s="18">
        <v>1</v>
      </c>
      <c r="G82" s="18">
        <v>350</v>
      </c>
      <c r="H82" s="18">
        <v>4</v>
      </c>
      <c r="I82" s="18">
        <f>$N$122+($N$123*D82)+($N$124*E82)</f>
        <v>18.069374205344836</v>
      </c>
      <c r="J82" s="18">
        <f>C82-I82</f>
        <v>0.83062579465516251</v>
      </c>
    </row>
    <row r="83" spans="2:10" x14ac:dyDescent="0.2">
      <c r="B83" s="18" t="s">
        <v>19</v>
      </c>
      <c r="C83" s="18">
        <v>17</v>
      </c>
      <c r="D83" s="18">
        <v>350</v>
      </c>
      <c r="E83" s="18">
        <v>4</v>
      </c>
      <c r="F83" s="18">
        <v>1</v>
      </c>
      <c r="G83" s="18">
        <v>350</v>
      </c>
      <c r="H83" s="18">
        <v>4</v>
      </c>
      <c r="I83" s="18">
        <f t="shared" ref="I83:I113" si="0">$N$122+($N$123*D83)+($N$124*E83)</f>
        <v>18.069374205344836</v>
      </c>
      <c r="J83" s="18">
        <f t="shared" ref="J83:J113" si="1">C83-I83</f>
        <v>-1.0693742053448361</v>
      </c>
    </row>
    <row r="84" spans="2:10" x14ac:dyDescent="0.2">
      <c r="B84" s="18" t="s">
        <v>20</v>
      </c>
      <c r="C84" s="18">
        <v>20</v>
      </c>
      <c r="D84" s="18">
        <v>250</v>
      </c>
      <c r="E84" s="18">
        <v>1</v>
      </c>
      <c r="F84" s="18">
        <v>1</v>
      </c>
      <c r="G84" s="18">
        <v>250</v>
      </c>
      <c r="H84" s="18">
        <v>1</v>
      </c>
      <c r="I84" s="18">
        <f t="shared" si="0"/>
        <v>20.58335104409047</v>
      </c>
      <c r="J84" s="18">
        <f t="shared" si="1"/>
        <v>-0.58335104409047034</v>
      </c>
    </row>
    <row r="85" spans="2:10" x14ac:dyDescent="0.2">
      <c r="B85" s="18" t="s">
        <v>21</v>
      </c>
      <c r="C85" s="18">
        <v>18.25</v>
      </c>
      <c r="D85" s="18">
        <v>351</v>
      </c>
      <c r="E85" s="18">
        <v>2</v>
      </c>
      <c r="F85" s="18">
        <v>1</v>
      </c>
      <c r="G85" s="18">
        <v>351</v>
      </c>
      <c r="H85" s="18">
        <v>2</v>
      </c>
      <c r="I85" s="18">
        <f t="shared" si="0"/>
        <v>16.157350106619848</v>
      </c>
      <c r="J85" s="18">
        <f t="shared" si="1"/>
        <v>2.0926498933801518</v>
      </c>
    </row>
    <row r="86" spans="2:10" x14ac:dyDescent="0.2">
      <c r="B86" s="18" t="s">
        <v>22</v>
      </c>
      <c r="C86" s="18">
        <v>20.07</v>
      </c>
      <c r="D86" s="18">
        <v>225</v>
      </c>
      <c r="E86" s="18">
        <v>1</v>
      </c>
      <c r="F86" s="18">
        <v>1</v>
      </c>
      <c r="G86" s="18">
        <v>225</v>
      </c>
      <c r="H86" s="18">
        <v>1</v>
      </c>
      <c r="I86" s="18">
        <f t="shared" si="0"/>
        <v>21.908970006364637</v>
      </c>
      <c r="J86" s="18">
        <f t="shared" si="1"/>
        <v>-1.8389700063646366</v>
      </c>
    </row>
    <row r="87" spans="2:10" x14ac:dyDescent="0.2">
      <c r="B87" s="18" t="s">
        <v>23</v>
      </c>
      <c r="C87" s="18">
        <v>11.2</v>
      </c>
      <c r="D87" s="18">
        <v>440</v>
      </c>
      <c r="E87" s="18">
        <v>4</v>
      </c>
      <c r="F87" s="18">
        <v>1</v>
      </c>
      <c r="G87" s="18">
        <v>440</v>
      </c>
      <c r="H87" s="18">
        <v>4</v>
      </c>
      <c r="I87" s="18">
        <f t="shared" si="0"/>
        <v>13.297145941157837</v>
      </c>
      <c r="J87" s="18">
        <f t="shared" si="1"/>
        <v>-2.0971459411578373</v>
      </c>
    </row>
    <row r="88" spans="2:10" x14ac:dyDescent="0.2">
      <c r="B88" s="18" t="s">
        <v>24</v>
      </c>
      <c r="C88" s="18">
        <v>22.12</v>
      </c>
      <c r="D88" s="18">
        <v>231</v>
      </c>
      <c r="E88" s="18">
        <v>2</v>
      </c>
      <c r="F88" s="18">
        <v>1</v>
      </c>
      <c r="G88" s="18">
        <v>231</v>
      </c>
      <c r="H88" s="18">
        <v>2</v>
      </c>
      <c r="I88" s="18">
        <f t="shared" si="0"/>
        <v>22.520321125535848</v>
      </c>
      <c r="J88" s="18">
        <f t="shared" si="1"/>
        <v>-0.40032112553584653</v>
      </c>
    </row>
    <row r="89" spans="2:10" x14ac:dyDescent="0.2">
      <c r="B89" s="18" t="s">
        <v>25</v>
      </c>
      <c r="C89" s="18">
        <v>21.47</v>
      </c>
      <c r="D89" s="18">
        <v>262</v>
      </c>
      <c r="E89" s="18">
        <v>2</v>
      </c>
      <c r="F89" s="18">
        <v>1</v>
      </c>
      <c r="G89" s="18">
        <v>262</v>
      </c>
      <c r="H89" s="18">
        <v>2</v>
      </c>
      <c r="I89" s="18">
        <f t="shared" si="0"/>
        <v>20.876553612315881</v>
      </c>
      <c r="J89" s="18">
        <f t="shared" si="1"/>
        <v>0.59344638768411784</v>
      </c>
    </row>
    <row r="90" spans="2:10" x14ac:dyDescent="0.2">
      <c r="B90" s="18" t="s">
        <v>26</v>
      </c>
      <c r="C90" s="18">
        <v>34.700000000000003</v>
      </c>
      <c r="D90" s="18">
        <v>89.7</v>
      </c>
      <c r="E90" s="18">
        <v>2</v>
      </c>
      <c r="F90" s="18">
        <v>1</v>
      </c>
      <c r="G90" s="18">
        <v>89.7</v>
      </c>
      <c r="H90" s="18">
        <v>2</v>
      </c>
      <c r="I90" s="18">
        <f t="shared" si="0"/>
        <v>30.012719500309437</v>
      </c>
      <c r="J90" s="18">
        <f t="shared" si="1"/>
        <v>4.6872804996905657</v>
      </c>
    </row>
    <row r="91" spans="2:10" x14ac:dyDescent="0.2">
      <c r="B91" s="18" t="s">
        <v>27</v>
      </c>
      <c r="C91" s="18">
        <v>30.4</v>
      </c>
      <c r="D91" s="18">
        <v>96.9</v>
      </c>
      <c r="E91" s="18">
        <v>2</v>
      </c>
      <c r="F91" s="18">
        <v>1</v>
      </c>
      <c r="G91" s="18">
        <v>96.9</v>
      </c>
      <c r="H91" s="18">
        <v>2</v>
      </c>
      <c r="I91" s="18">
        <f t="shared" si="0"/>
        <v>29.630941239174476</v>
      </c>
      <c r="J91" s="18">
        <f t="shared" si="1"/>
        <v>0.76905876082552282</v>
      </c>
    </row>
    <row r="92" spans="2:10" x14ac:dyDescent="0.2">
      <c r="B92" s="18" t="s">
        <v>28</v>
      </c>
      <c r="C92" s="18">
        <v>16.5</v>
      </c>
      <c r="D92" s="18">
        <v>350</v>
      </c>
      <c r="E92" s="18">
        <v>4</v>
      </c>
      <c r="F92" s="18">
        <v>1</v>
      </c>
      <c r="G92" s="18">
        <v>350</v>
      </c>
      <c r="H92" s="18">
        <v>4</v>
      </c>
      <c r="I92" s="18">
        <f t="shared" si="0"/>
        <v>18.069374205344836</v>
      </c>
      <c r="J92" s="18">
        <f t="shared" si="1"/>
        <v>-1.5693742053448361</v>
      </c>
    </row>
    <row r="93" spans="2:10" x14ac:dyDescent="0.2">
      <c r="B93" s="18" t="s">
        <v>29</v>
      </c>
      <c r="C93" s="18">
        <v>36.5</v>
      </c>
      <c r="D93" s="18">
        <v>85.3</v>
      </c>
      <c r="E93" s="18">
        <v>2</v>
      </c>
      <c r="F93" s="18">
        <v>1</v>
      </c>
      <c r="G93" s="18">
        <v>85.3</v>
      </c>
      <c r="H93" s="18">
        <v>2</v>
      </c>
      <c r="I93" s="18">
        <f t="shared" si="0"/>
        <v>30.24602843766969</v>
      </c>
      <c r="J93" s="18">
        <f t="shared" si="1"/>
        <v>6.2539715623303103</v>
      </c>
    </row>
    <row r="94" spans="2:10" x14ac:dyDescent="0.2">
      <c r="B94" s="18" t="s">
        <v>30</v>
      </c>
      <c r="C94" s="18">
        <v>21.5</v>
      </c>
      <c r="D94" s="18">
        <v>171</v>
      </c>
      <c r="E94" s="18">
        <v>2</v>
      </c>
      <c r="F94" s="18">
        <v>1</v>
      </c>
      <c r="G94" s="18">
        <v>171</v>
      </c>
      <c r="H94" s="18">
        <v>2</v>
      </c>
      <c r="I94" s="18">
        <f t="shared" si="0"/>
        <v>25.701806634993847</v>
      </c>
      <c r="J94" s="18">
        <f t="shared" si="1"/>
        <v>-4.2018066349938472</v>
      </c>
    </row>
    <row r="95" spans="2:10" x14ac:dyDescent="0.2">
      <c r="B95" s="18" t="s">
        <v>31</v>
      </c>
      <c r="C95" s="18">
        <v>19.7</v>
      </c>
      <c r="D95" s="18">
        <v>258</v>
      </c>
      <c r="E95" s="18">
        <v>1</v>
      </c>
      <c r="F95" s="18">
        <v>1</v>
      </c>
      <c r="G95" s="18">
        <v>258</v>
      </c>
      <c r="H95" s="18">
        <v>1</v>
      </c>
      <c r="I95" s="18">
        <f t="shared" si="0"/>
        <v>20.159152976162737</v>
      </c>
      <c r="J95" s="18">
        <f t="shared" si="1"/>
        <v>-0.45915297616273776</v>
      </c>
    </row>
    <row r="96" spans="2:10" x14ac:dyDescent="0.2">
      <c r="B96" s="18" t="s">
        <v>32</v>
      </c>
      <c r="C96" s="18">
        <v>20.3</v>
      </c>
      <c r="D96" s="18">
        <v>140</v>
      </c>
      <c r="E96" s="18">
        <v>2</v>
      </c>
      <c r="F96" s="18">
        <v>1</v>
      </c>
      <c r="G96" s="18">
        <v>140</v>
      </c>
      <c r="H96" s="18">
        <v>2</v>
      </c>
      <c r="I96" s="18">
        <f t="shared" si="0"/>
        <v>27.345574148213814</v>
      </c>
      <c r="J96" s="18">
        <f t="shared" si="1"/>
        <v>-7.045574148213813</v>
      </c>
    </row>
    <row r="97" spans="2:10" x14ac:dyDescent="0.2">
      <c r="B97" s="18" t="s">
        <v>33</v>
      </c>
      <c r="C97" s="18">
        <v>17.8</v>
      </c>
      <c r="D97" s="18">
        <v>302</v>
      </c>
      <c r="E97" s="18">
        <v>2</v>
      </c>
      <c r="F97" s="18">
        <v>1</v>
      </c>
      <c r="G97" s="18">
        <v>302</v>
      </c>
      <c r="H97" s="18">
        <v>2</v>
      </c>
      <c r="I97" s="18">
        <f t="shared" si="0"/>
        <v>18.755563272677215</v>
      </c>
      <c r="J97" s="18">
        <f t="shared" si="1"/>
        <v>-0.95556327267721386</v>
      </c>
    </row>
    <row r="98" spans="2:10" x14ac:dyDescent="0.2">
      <c r="B98" s="18" t="s">
        <v>34</v>
      </c>
      <c r="C98" s="18">
        <v>14.39</v>
      </c>
      <c r="D98" s="18">
        <v>500</v>
      </c>
      <c r="E98" s="18">
        <v>4</v>
      </c>
      <c r="F98" s="18">
        <v>1</v>
      </c>
      <c r="G98" s="18">
        <v>500</v>
      </c>
      <c r="H98" s="18">
        <v>4</v>
      </c>
      <c r="I98" s="18">
        <f t="shared" si="0"/>
        <v>10.115660431699837</v>
      </c>
      <c r="J98" s="18">
        <f t="shared" si="1"/>
        <v>4.2743395683001637</v>
      </c>
    </row>
    <row r="99" spans="2:10" x14ac:dyDescent="0.2">
      <c r="B99" s="18" t="s">
        <v>35</v>
      </c>
      <c r="C99" s="18">
        <v>14.89</v>
      </c>
      <c r="D99" s="18">
        <v>440</v>
      </c>
      <c r="E99" s="18">
        <v>4</v>
      </c>
      <c r="F99" s="18">
        <v>1</v>
      </c>
      <c r="G99" s="18">
        <v>440</v>
      </c>
      <c r="H99" s="18">
        <v>4</v>
      </c>
      <c r="I99" s="18">
        <f t="shared" si="0"/>
        <v>13.297145941157837</v>
      </c>
      <c r="J99" s="18">
        <f t="shared" si="1"/>
        <v>1.592854058842164</v>
      </c>
    </row>
    <row r="100" spans="2:10" x14ac:dyDescent="0.2">
      <c r="B100" s="18" t="s">
        <v>36</v>
      </c>
      <c r="C100" s="18">
        <v>17.8</v>
      </c>
      <c r="D100" s="18">
        <v>350</v>
      </c>
      <c r="E100" s="18">
        <v>4</v>
      </c>
      <c r="F100" s="18">
        <v>1</v>
      </c>
      <c r="G100" s="18">
        <v>350</v>
      </c>
      <c r="H100" s="18">
        <v>4</v>
      </c>
      <c r="I100" s="18">
        <f t="shared" si="0"/>
        <v>18.069374205344836</v>
      </c>
      <c r="J100" s="18">
        <f t="shared" si="1"/>
        <v>-0.26937420534483536</v>
      </c>
    </row>
    <row r="101" spans="2:10" x14ac:dyDescent="0.2">
      <c r="B101" s="18" t="s">
        <v>37</v>
      </c>
      <c r="C101" s="18">
        <v>16.41</v>
      </c>
      <c r="D101" s="18">
        <v>318</v>
      </c>
      <c r="E101" s="18">
        <v>2</v>
      </c>
      <c r="F101" s="18">
        <v>1</v>
      </c>
      <c r="G101" s="18">
        <v>318</v>
      </c>
      <c r="H101" s="18">
        <v>2</v>
      </c>
      <c r="I101" s="18">
        <f t="shared" si="0"/>
        <v>17.907167136821748</v>
      </c>
      <c r="J101" s="18">
        <f t="shared" si="1"/>
        <v>-1.4971671368217478</v>
      </c>
    </row>
    <row r="102" spans="2:10" x14ac:dyDescent="0.2">
      <c r="B102" s="18" t="s">
        <v>38</v>
      </c>
      <c r="C102" s="18">
        <v>23.54</v>
      </c>
      <c r="D102" s="18">
        <v>231</v>
      </c>
      <c r="E102" s="18">
        <v>2</v>
      </c>
      <c r="F102" s="18">
        <v>1</v>
      </c>
      <c r="G102" s="18">
        <v>231</v>
      </c>
      <c r="H102" s="18">
        <v>2</v>
      </c>
      <c r="I102" s="18">
        <f t="shared" si="0"/>
        <v>22.520321125535848</v>
      </c>
      <c r="J102" s="18">
        <f t="shared" si="1"/>
        <v>1.0196788744641516</v>
      </c>
    </row>
    <row r="103" spans="2:10" x14ac:dyDescent="0.2">
      <c r="B103" s="18" t="s">
        <v>39</v>
      </c>
      <c r="C103" s="18">
        <v>21.47</v>
      </c>
      <c r="D103" s="18">
        <v>360</v>
      </c>
      <c r="E103" s="18">
        <v>2</v>
      </c>
      <c r="F103" s="18">
        <v>1</v>
      </c>
      <c r="G103" s="18">
        <v>360</v>
      </c>
      <c r="H103" s="18">
        <v>2</v>
      </c>
      <c r="I103" s="18">
        <f t="shared" si="0"/>
        <v>15.680127280201148</v>
      </c>
      <c r="J103" s="18">
        <f t="shared" si="1"/>
        <v>5.7898727197988507</v>
      </c>
    </row>
    <row r="104" spans="2:10" x14ac:dyDescent="0.2">
      <c r="B104" s="18" t="s">
        <v>40</v>
      </c>
      <c r="C104" s="18">
        <v>16.59</v>
      </c>
      <c r="D104" s="18">
        <v>400</v>
      </c>
      <c r="E104" s="18">
        <v>4</v>
      </c>
      <c r="F104" s="18">
        <v>1</v>
      </c>
      <c r="G104" s="18">
        <v>400</v>
      </c>
      <c r="H104" s="18">
        <v>4</v>
      </c>
      <c r="I104" s="18">
        <f t="shared" si="0"/>
        <v>15.418136280796503</v>
      </c>
      <c r="J104" s="18">
        <f t="shared" si="1"/>
        <v>1.1718637192034969</v>
      </c>
    </row>
    <row r="105" spans="2:10" x14ac:dyDescent="0.2">
      <c r="B105" s="18" t="s">
        <v>41</v>
      </c>
      <c r="C105" s="18">
        <v>31.9</v>
      </c>
      <c r="D105" s="18">
        <v>96.9</v>
      </c>
      <c r="E105" s="18">
        <v>2</v>
      </c>
      <c r="F105" s="18">
        <v>1</v>
      </c>
      <c r="G105" s="18">
        <v>96.9</v>
      </c>
      <c r="H105" s="18">
        <v>2</v>
      </c>
      <c r="I105" s="18">
        <f t="shared" si="0"/>
        <v>29.630941239174476</v>
      </c>
      <c r="J105" s="18">
        <f t="shared" si="1"/>
        <v>2.2690587608255228</v>
      </c>
    </row>
    <row r="106" spans="2:10" x14ac:dyDescent="0.2">
      <c r="B106" s="18" t="s">
        <v>42</v>
      </c>
      <c r="C106" s="18">
        <v>29.4</v>
      </c>
      <c r="D106" s="18">
        <v>140</v>
      </c>
      <c r="E106" s="18">
        <v>2</v>
      </c>
      <c r="F106" s="18">
        <v>1</v>
      </c>
      <c r="G106" s="18">
        <v>140</v>
      </c>
      <c r="H106" s="18">
        <v>2</v>
      </c>
      <c r="I106" s="18">
        <f t="shared" si="0"/>
        <v>27.345574148213814</v>
      </c>
      <c r="J106" s="18">
        <f t="shared" si="1"/>
        <v>2.0544258517861849</v>
      </c>
    </row>
    <row r="107" spans="2:10" x14ac:dyDescent="0.2">
      <c r="B107" s="18" t="s">
        <v>43</v>
      </c>
      <c r="C107" s="18">
        <v>13.27</v>
      </c>
      <c r="D107" s="18">
        <v>460</v>
      </c>
      <c r="E107" s="18">
        <v>4</v>
      </c>
      <c r="F107" s="18">
        <v>1</v>
      </c>
      <c r="G107" s="18">
        <v>460</v>
      </c>
      <c r="H107" s="18">
        <v>4</v>
      </c>
      <c r="I107" s="18">
        <f t="shared" si="0"/>
        <v>12.236650771338503</v>
      </c>
      <c r="J107" s="18">
        <f t="shared" si="1"/>
        <v>1.0333492286614963</v>
      </c>
    </row>
    <row r="108" spans="2:10" x14ac:dyDescent="0.2">
      <c r="B108" s="18" t="s">
        <v>44</v>
      </c>
      <c r="C108" s="18">
        <v>23.9</v>
      </c>
      <c r="D108" s="18">
        <v>133.6</v>
      </c>
      <c r="E108" s="18">
        <v>2</v>
      </c>
      <c r="F108" s="18">
        <v>1</v>
      </c>
      <c r="G108" s="18">
        <v>133.6</v>
      </c>
      <c r="H108" s="18">
        <v>2</v>
      </c>
      <c r="I108" s="18">
        <f t="shared" si="0"/>
        <v>27.684932602556</v>
      </c>
      <c r="J108" s="18">
        <f t="shared" si="1"/>
        <v>-3.7849326025560011</v>
      </c>
    </row>
    <row r="109" spans="2:10" x14ac:dyDescent="0.2">
      <c r="B109" s="18" t="s">
        <v>45</v>
      </c>
      <c r="C109" s="18">
        <v>19.73</v>
      </c>
      <c r="D109" s="18">
        <v>318</v>
      </c>
      <c r="E109" s="18">
        <v>2</v>
      </c>
      <c r="F109" s="18">
        <v>1</v>
      </c>
      <c r="G109" s="18">
        <v>318</v>
      </c>
      <c r="H109" s="18">
        <v>2</v>
      </c>
      <c r="I109" s="18">
        <f t="shared" si="0"/>
        <v>17.907167136821748</v>
      </c>
      <c r="J109" s="18">
        <f t="shared" si="1"/>
        <v>1.8228328631782524</v>
      </c>
    </row>
    <row r="110" spans="2:10" x14ac:dyDescent="0.2">
      <c r="B110" s="18" t="s">
        <v>46</v>
      </c>
      <c r="C110" s="18">
        <v>13.9</v>
      </c>
      <c r="D110" s="18">
        <v>351</v>
      </c>
      <c r="E110" s="18">
        <v>2</v>
      </c>
      <c r="F110" s="18">
        <v>1</v>
      </c>
      <c r="G110" s="18">
        <v>351</v>
      </c>
      <c r="H110" s="18">
        <v>2</v>
      </c>
      <c r="I110" s="18">
        <f t="shared" si="0"/>
        <v>16.157350106619848</v>
      </c>
      <c r="J110" s="18">
        <f t="shared" si="1"/>
        <v>-2.2573501066198478</v>
      </c>
    </row>
    <row r="111" spans="2:10" x14ac:dyDescent="0.2">
      <c r="B111" s="18" t="s">
        <v>47</v>
      </c>
      <c r="C111" s="18">
        <v>13.27</v>
      </c>
      <c r="D111" s="18">
        <v>351</v>
      </c>
      <c r="E111" s="18">
        <v>2</v>
      </c>
      <c r="F111" s="18">
        <v>1</v>
      </c>
      <c r="G111" s="18">
        <v>351</v>
      </c>
      <c r="H111" s="18">
        <v>2</v>
      </c>
      <c r="I111" s="18">
        <f t="shared" si="0"/>
        <v>16.157350106619848</v>
      </c>
      <c r="J111" s="18">
        <f t="shared" si="1"/>
        <v>-2.8873501066198486</v>
      </c>
    </row>
    <row r="112" spans="2:10" x14ac:dyDescent="0.2">
      <c r="B112" s="18" t="s">
        <v>48</v>
      </c>
      <c r="C112" s="18">
        <v>13.77</v>
      </c>
      <c r="D112" s="18">
        <v>360</v>
      </c>
      <c r="E112" s="18">
        <v>4</v>
      </c>
      <c r="F112" s="18">
        <v>1</v>
      </c>
      <c r="G112" s="18">
        <v>360</v>
      </c>
      <c r="H112" s="18">
        <v>4</v>
      </c>
      <c r="I112" s="18">
        <f t="shared" si="0"/>
        <v>17.539126620435169</v>
      </c>
      <c r="J112" s="18">
        <f t="shared" si="1"/>
        <v>-3.7691266204351699</v>
      </c>
    </row>
    <row r="113" spans="1:34" x14ac:dyDescent="0.2">
      <c r="B113" s="18" t="s">
        <v>49</v>
      </c>
      <c r="C113" s="18">
        <v>16.5</v>
      </c>
      <c r="D113" s="18">
        <v>350</v>
      </c>
      <c r="E113" s="18">
        <v>4</v>
      </c>
      <c r="F113" s="18">
        <v>1</v>
      </c>
      <c r="G113" s="18">
        <v>350</v>
      </c>
      <c r="H113" s="18">
        <v>4</v>
      </c>
      <c r="I113" s="18">
        <f t="shared" si="0"/>
        <v>18.069374205344836</v>
      </c>
      <c r="J113" s="18">
        <f t="shared" si="1"/>
        <v>-1.5693742053448361</v>
      </c>
      <c r="K113" s="25" t="s">
        <v>105</v>
      </c>
      <c r="L113" s="25"/>
    </row>
    <row r="116" spans="1:34" x14ac:dyDescent="0.2">
      <c r="A116" s="52" t="s">
        <v>88</v>
      </c>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row>
    <row r="117" spans="1:34" x14ac:dyDescent="0.2">
      <c r="A117" s="18">
        <v>1</v>
      </c>
      <c r="B117" s="18">
        <v>1</v>
      </c>
      <c r="C117" s="18">
        <v>1</v>
      </c>
      <c r="D117" s="18">
        <v>1</v>
      </c>
      <c r="E117" s="18">
        <v>1</v>
      </c>
      <c r="F117" s="18">
        <v>1</v>
      </c>
      <c r="G117" s="18">
        <v>1</v>
      </c>
      <c r="H117" s="18">
        <v>1</v>
      </c>
      <c r="I117" s="18">
        <v>1</v>
      </c>
      <c r="J117" s="18">
        <v>1</v>
      </c>
      <c r="K117" s="18">
        <v>1</v>
      </c>
      <c r="L117" s="18">
        <v>1</v>
      </c>
      <c r="M117" s="18">
        <v>1</v>
      </c>
      <c r="N117" s="18">
        <v>1</v>
      </c>
      <c r="O117" s="18">
        <v>1</v>
      </c>
      <c r="P117" s="18">
        <v>1</v>
      </c>
      <c r="Q117" s="18">
        <v>1</v>
      </c>
      <c r="R117" s="18">
        <v>1</v>
      </c>
      <c r="S117" s="18">
        <v>1</v>
      </c>
      <c r="T117" s="18">
        <v>1</v>
      </c>
      <c r="U117" s="18">
        <v>1</v>
      </c>
      <c r="V117" s="18">
        <v>1</v>
      </c>
      <c r="W117" s="18">
        <v>1</v>
      </c>
      <c r="X117" s="18">
        <v>1</v>
      </c>
      <c r="Y117" s="18">
        <v>1</v>
      </c>
      <c r="Z117" s="18">
        <v>1</v>
      </c>
      <c r="AA117" s="18">
        <v>1</v>
      </c>
      <c r="AB117" s="18">
        <v>1</v>
      </c>
      <c r="AC117" s="18">
        <v>1</v>
      </c>
      <c r="AD117" s="18">
        <v>1</v>
      </c>
      <c r="AE117" s="18">
        <v>1</v>
      </c>
      <c r="AF117" s="18">
        <v>1</v>
      </c>
    </row>
    <row r="118" spans="1:34" x14ac:dyDescent="0.2">
      <c r="A118" s="18">
        <v>350</v>
      </c>
      <c r="B118" s="18">
        <v>350</v>
      </c>
      <c r="C118" s="18">
        <v>250</v>
      </c>
      <c r="D118" s="18">
        <v>351</v>
      </c>
      <c r="E118" s="18">
        <v>225</v>
      </c>
      <c r="F118" s="18">
        <v>440</v>
      </c>
      <c r="G118" s="18">
        <v>231</v>
      </c>
      <c r="H118" s="18">
        <v>262</v>
      </c>
      <c r="I118" s="18">
        <v>89.7</v>
      </c>
      <c r="J118" s="18">
        <v>96.9</v>
      </c>
      <c r="K118" s="18">
        <v>350</v>
      </c>
      <c r="L118" s="18">
        <v>85.3</v>
      </c>
      <c r="M118" s="18">
        <v>171</v>
      </c>
      <c r="N118" s="18">
        <v>258</v>
      </c>
      <c r="O118" s="18">
        <v>140</v>
      </c>
      <c r="P118" s="18">
        <v>302</v>
      </c>
      <c r="Q118" s="18">
        <v>500</v>
      </c>
      <c r="R118" s="18">
        <v>440</v>
      </c>
      <c r="S118" s="18">
        <v>350</v>
      </c>
      <c r="T118" s="18">
        <v>318</v>
      </c>
      <c r="U118" s="18">
        <v>231</v>
      </c>
      <c r="V118" s="18">
        <v>360</v>
      </c>
      <c r="W118" s="18">
        <v>400</v>
      </c>
      <c r="X118" s="18">
        <v>96.9</v>
      </c>
      <c r="Y118" s="18">
        <v>140</v>
      </c>
      <c r="Z118" s="18">
        <v>460</v>
      </c>
      <c r="AA118" s="18">
        <v>133.6</v>
      </c>
      <c r="AB118" s="18">
        <v>318</v>
      </c>
      <c r="AC118" s="18">
        <v>351</v>
      </c>
      <c r="AD118" s="18">
        <v>351</v>
      </c>
      <c r="AE118" s="18">
        <v>360</v>
      </c>
      <c r="AF118" s="18">
        <v>350</v>
      </c>
    </row>
    <row r="119" spans="1:34" x14ac:dyDescent="0.2">
      <c r="A119" s="18">
        <v>4</v>
      </c>
      <c r="B119" s="18">
        <v>4</v>
      </c>
      <c r="C119" s="18">
        <v>1</v>
      </c>
      <c r="D119" s="18">
        <v>2</v>
      </c>
      <c r="E119" s="18">
        <v>1</v>
      </c>
      <c r="F119" s="18">
        <v>4</v>
      </c>
      <c r="G119" s="18">
        <v>2</v>
      </c>
      <c r="H119" s="18">
        <v>2</v>
      </c>
      <c r="I119" s="18">
        <v>2</v>
      </c>
      <c r="J119" s="18">
        <v>2</v>
      </c>
      <c r="K119" s="18">
        <v>4</v>
      </c>
      <c r="L119" s="18">
        <v>2</v>
      </c>
      <c r="M119" s="18">
        <v>2</v>
      </c>
      <c r="N119" s="18">
        <v>1</v>
      </c>
      <c r="O119" s="18">
        <v>2</v>
      </c>
      <c r="P119" s="18">
        <v>2</v>
      </c>
      <c r="Q119" s="18">
        <v>4</v>
      </c>
      <c r="R119" s="18">
        <v>4</v>
      </c>
      <c r="S119" s="18">
        <v>4</v>
      </c>
      <c r="T119" s="18">
        <v>2</v>
      </c>
      <c r="U119" s="18">
        <v>2</v>
      </c>
      <c r="V119" s="18">
        <v>2</v>
      </c>
      <c r="W119" s="18">
        <v>4</v>
      </c>
      <c r="X119" s="18">
        <v>2</v>
      </c>
      <c r="Y119" s="18">
        <v>2</v>
      </c>
      <c r="Z119" s="18">
        <v>4</v>
      </c>
      <c r="AA119" s="18">
        <v>2</v>
      </c>
      <c r="AB119" s="18">
        <v>2</v>
      </c>
      <c r="AC119" s="18">
        <v>2</v>
      </c>
      <c r="AD119" s="18">
        <v>2</v>
      </c>
      <c r="AE119" s="18">
        <v>4</v>
      </c>
      <c r="AF119" s="18">
        <v>4</v>
      </c>
      <c r="AG119" s="25" t="s">
        <v>106</v>
      </c>
      <c r="AH119" s="25"/>
    </row>
    <row r="121" spans="1:34" x14ac:dyDescent="0.2">
      <c r="A121" s="53" t="s">
        <v>89</v>
      </c>
      <c r="B121" s="53"/>
      <c r="C121" s="53"/>
      <c r="F121" s="53" t="s">
        <v>91</v>
      </c>
      <c r="G121" s="53"/>
      <c r="H121" s="53"/>
      <c r="K121" s="54" t="s">
        <v>92</v>
      </c>
      <c r="N121" s="55" t="s">
        <v>93</v>
      </c>
      <c r="O121" s="55"/>
    </row>
    <row r="122" spans="1:34" x14ac:dyDescent="0.2">
      <c r="A122" s="18" cm="1">
        <f t="array" ref="A122:C124">MMULT(A117:AF119,F82:H113)</f>
        <v>32</v>
      </c>
      <c r="B122" s="18">
        <v>9111.4</v>
      </c>
      <c r="C122" s="18">
        <v>83</v>
      </c>
      <c r="F122" s="26" cm="1">
        <f t="array" ref="F122:H124">MINVERSE((_xlfn.ANCHORARRAY(A122)))</f>
        <v>0.26019483624997247</v>
      </c>
      <c r="G122" s="26">
        <v>-4.0988885797574922E-4</v>
      </c>
      <c r="H122" s="26">
        <v>-4.3271968908902142E-2</v>
      </c>
      <c r="K122" s="18" cm="1">
        <f t="array" ref="K122:K124">MMULT(A117:AF119,C82:C113)</f>
        <v>647.14</v>
      </c>
      <c r="N122" s="26" cm="1">
        <f t="array" ref="N122:N124">MMULT(_xlfn.ANCHORARRAY(F122),_xlfn.ANCHORARRAY(K122))</f>
        <v>32.910040996715125</v>
      </c>
      <c r="O122" s="59" t="s">
        <v>94</v>
      </c>
    </row>
    <row r="123" spans="1:34" x14ac:dyDescent="0.2">
      <c r="A123" s="18">
        <v>9111.4</v>
      </c>
      <c r="B123" s="18">
        <v>3019001.36</v>
      </c>
      <c r="C123" s="18">
        <v>26189.800000000003</v>
      </c>
      <c r="F123" s="26">
        <v>-4.0988885797574911E-4</v>
      </c>
      <c r="G123" s="26">
        <v>4.138426300846962E-6</v>
      </c>
      <c r="H123" s="26">
        <v>-2.9627004749774733E-4</v>
      </c>
      <c r="K123" s="18">
        <v>164118.14000000004</v>
      </c>
      <c r="L123" s="32"/>
      <c r="N123" s="26">
        <v>-5.3024758490966661E-2</v>
      </c>
      <c r="O123" s="59" t="s">
        <v>95</v>
      </c>
    </row>
    <row r="124" spans="1:34" x14ac:dyDescent="0.2">
      <c r="A124" s="18">
        <v>83</v>
      </c>
      <c r="B124" s="18">
        <v>26189.800000000003</v>
      </c>
      <c r="C124" s="18">
        <v>251</v>
      </c>
      <c r="D124" s="26" t="s">
        <v>90</v>
      </c>
      <c r="F124" s="26">
        <v>-4.3271968908902149E-2</v>
      </c>
      <c r="G124" s="26">
        <v>-2.9627004749774739E-4</v>
      </c>
      <c r="H124" s="26">
        <v>4.9206480913925828E-2</v>
      </c>
      <c r="K124" s="18">
        <v>1576.1299999999997</v>
      </c>
      <c r="L124" s="32" t="s">
        <v>97</v>
      </c>
      <c r="N124" s="26">
        <v>0.92949967011701062</v>
      </c>
      <c r="O124" s="59" t="s">
        <v>149</v>
      </c>
      <c r="P124" t="s">
        <v>96</v>
      </c>
    </row>
    <row r="127" spans="1:34" x14ac:dyDescent="0.2">
      <c r="A127" s="67" t="s">
        <v>98</v>
      </c>
      <c r="B127" s="67"/>
      <c r="C127" s="67"/>
    </row>
    <row r="128" spans="1:34" x14ac:dyDescent="0.2">
      <c r="A128" s="25"/>
      <c r="B128" s="25"/>
      <c r="C128" s="25"/>
      <c r="D128" s="25"/>
    </row>
    <row r="132" spans="1:36" x14ac:dyDescent="0.2">
      <c r="A132" s="72" t="s">
        <v>102</v>
      </c>
      <c r="B132" s="72"/>
      <c r="C132" s="72"/>
    </row>
    <row r="134" spans="1:36" x14ac:dyDescent="0.2">
      <c r="B134" s="46" t="s">
        <v>86</v>
      </c>
      <c r="D134" s="53" t="s">
        <v>103</v>
      </c>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row>
    <row r="135" spans="1:36" x14ac:dyDescent="0.2">
      <c r="B135" s="18">
        <v>0.83062579465516251</v>
      </c>
      <c r="D135" s="18">
        <v>0.83062579465516251</v>
      </c>
      <c r="E135" s="18">
        <v>-1.0693742053448361</v>
      </c>
      <c r="F135" s="18">
        <v>-0.58335104409047034</v>
      </c>
      <c r="G135" s="18">
        <v>2.0926498933801518</v>
      </c>
      <c r="H135" s="18">
        <v>-1.8389700063646366</v>
      </c>
      <c r="I135" s="18">
        <v>-2.0971459411578373</v>
      </c>
      <c r="J135" s="18">
        <v>-0.40032112553584653</v>
      </c>
      <c r="K135" s="18">
        <v>0.59344638768411784</v>
      </c>
      <c r="L135" s="18">
        <v>4.6872804996905657</v>
      </c>
      <c r="M135" s="18">
        <v>0.76905876082552282</v>
      </c>
      <c r="N135" s="18">
        <v>-1.5693742053448361</v>
      </c>
      <c r="O135" s="18">
        <v>6.2539715623303103</v>
      </c>
      <c r="P135" s="18">
        <v>-4.2018066349938472</v>
      </c>
      <c r="Q135" s="18">
        <v>-0.45915297616273776</v>
      </c>
      <c r="R135" s="18">
        <v>-7.045574148213813</v>
      </c>
      <c r="S135" s="18">
        <v>-0.95556327267721386</v>
      </c>
      <c r="T135" s="18">
        <v>4.2743395683001637</v>
      </c>
      <c r="U135" s="18">
        <v>1.592854058842164</v>
      </c>
      <c r="V135" s="18">
        <v>-0.26937420534483536</v>
      </c>
      <c r="W135" s="18">
        <v>-1.4971671368217478</v>
      </c>
      <c r="X135" s="18">
        <v>1.0196788744641516</v>
      </c>
      <c r="Y135" s="18">
        <v>5.7898727197988507</v>
      </c>
      <c r="Z135" s="18">
        <v>1.1718637192034969</v>
      </c>
      <c r="AA135" s="18">
        <v>2.2690587608255228</v>
      </c>
      <c r="AB135" s="18">
        <v>2.0544258517861849</v>
      </c>
      <c r="AC135" s="18">
        <v>1.0333492286614963</v>
      </c>
      <c r="AD135" s="18">
        <v>-3.7849326025560011</v>
      </c>
      <c r="AE135" s="18">
        <v>1.8228328631782524</v>
      </c>
      <c r="AF135" s="18">
        <v>-2.2573501066198478</v>
      </c>
      <c r="AG135" s="18">
        <v>-2.8873501066198486</v>
      </c>
      <c r="AH135" s="18">
        <v>-3.7691266204351699</v>
      </c>
      <c r="AI135" s="18">
        <v>-1.5693742053448361</v>
      </c>
      <c r="AJ135" s="18" t="s">
        <v>104</v>
      </c>
    </row>
    <row r="136" spans="1:36" x14ac:dyDescent="0.2">
      <c r="B136" s="18">
        <v>-1.0693742053448361</v>
      </c>
    </row>
    <row r="137" spans="1:36" x14ac:dyDescent="0.2">
      <c r="B137" s="18">
        <v>-0.58335104409047034</v>
      </c>
      <c r="D137" s="53" t="s">
        <v>108</v>
      </c>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row>
    <row r="138" spans="1:36" x14ac:dyDescent="0.2">
      <c r="B138" s="18">
        <v>2.0926498933801518</v>
      </c>
      <c r="D138" s="18">
        <v>18.899999999999999</v>
      </c>
      <c r="E138" s="18">
        <v>17</v>
      </c>
      <c r="F138" s="18">
        <v>20</v>
      </c>
      <c r="G138" s="18">
        <v>18.25</v>
      </c>
      <c r="H138" s="18">
        <v>20.07</v>
      </c>
      <c r="I138" s="18">
        <v>11.2</v>
      </c>
      <c r="J138" s="18">
        <v>22.12</v>
      </c>
      <c r="K138" s="18">
        <v>21.47</v>
      </c>
      <c r="L138" s="18">
        <v>34.700000000000003</v>
      </c>
      <c r="M138" s="18">
        <v>30.4</v>
      </c>
      <c r="N138" s="18">
        <v>16.5</v>
      </c>
      <c r="O138" s="18">
        <v>36.5</v>
      </c>
      <c r="P138" s="18">
        <v>21.5</v>
      </c>
      <c r="Q138" s="18">
        <v>19.7</v>
      </c>
      <c r="R138" s="18">
        <v>20.3</v>
      </c>
      <c r="S138" s="18">
        <v>17.8</v>
      </c>
      <c r="T138" s="18">
        <v>14.39</v>
      </c>
      <c r="U138" s="18">
        <v>14.89</v>
      </c>
      <c r="V138" s="18">
        <v>17.8</v>
      </c>
      <c r="W138" s="18">
        <v>16.41</v>
      </c>
      <c r="X138" s="18">
        <v>23.54</v>
      </c>
      <c r="Y138" s="18">
        <v>21.47</v>
      </c>
      <c r="Z138" s="18">
        <v>16.59</v>
      </c>
      <c r="AA138" s="18">
        <v>31.9</v>
      </c>
      <c r="AB138" s="18">
        <v>29.4</v>
      </c>
      <c r="AC138" s="18">
        <v>13.27</v>
      </c>
      <c r="AD138" s="18">
        <v>23.9</v>
      </c>
      <c r="AE138" s="18">
        <v>19.73</v>
      </c>
      <c r="AF138" s="18">
        <v>13.9</v>
      </c>
      <c r="AG138" s="18">
        <v>13.27</v>
      </c>
      <c r="AH138" s="18">
        <v>13.77</v>
      </c>
      <c r="AI138" s="18">
        <v>16.5</v>
      </c>
    </row>
    <row r="139" spans="1:36" x14ac:dyDescent="0.2">
      <c r="B139" s="18">
        <v>-1.8389700063646366</v>
      </c>
    </row>
    <row r="140" spans="1:36" x14ac:dyDescent="0.2">
      <c r="B140" s="18">
        <v>-2.0971459411578373</v>
      </c>
      <c r="D140" s="53" t="s">
        <v>109</v>
      </c>
      <c r="E140" s="53"/>
      <c r="F140" s="53"/>
    </row>
    <row r="141" spans="1:36" x14ac:dyDescent="0.2">
      <c r="B141" s="18">
        <v>-0.40032112553584653</v>
      </c>
      <c r="D141" s="26">
        <v>32.910040996715125</v>
      </c>
      <c r="E141" s="26">
        <v>-5.3024758490966661E-2</v>
      </c>
      <c r="F141" s="26">
        <v>0.92949967011701062</v>
      </c>
    </row>
    <row r="142" spans="1:36" x14ac:dyDescent="0.2">
      <c r="B142" s="18">
        <v>0.59344638768411784</v>
      </c>
    </row>
    <row r="143" spans="1:36" x14ac:dyDescent="0.2">
      <c r="B143" s="18">
        <v>4.6872804996905657</v>
      </c>
      <c r="D143" s="55" t="s">
        <v>91</v>
      </c>
      <c r="E143" s="55"/>
      <c r="F143" s="55"/>
    </row>
    <row r="144" spans="1:36" x14ac:dyDescent="0.2">
      <c r="B144" s="18">
        <v>0.76905876082552282</v>
      </c>
      <c r="D144" s="26">
        <v>0.26019483624997247</v>
      </c>
      <c r="E144" s="26">
        <v>-4.0988885797574922E-4</v>
      </c>
      <c r="F144" s="26">
        <v>-4.3271968908902142E-2</v>
      </c>
    </row>
    <row r="145" spans="2:6" x14ac:dyDescent="0.2">
      <c r="B145" s="18">
        <v>-1.5693742053448361</v>
      </c>
      <c r="D145" s="26">
        <v>-4.0988885797574911E-4</v>
      </c>
      <c r="E145" s="26">
        <v>4.138426300846962E-6</v>
      </c>
      <c r="F145" s="26">
        <v>-2.9627004749774733E-4</v>
      </c>
    </row>
    <row r="146" spans="2:6" x14ac:dyDescent="0.2">
      <c r="B146" s="18">
        <v>6.2539715623303103</v>
      </c>
      <c r="D146" s="26">
        <v>-4.3271968908902149E-2</v>
      </c>
      <c r="E146" s="26">
        <v>-2.9627004749774739E-4</v>
      </c>
      <c r="F146" s="26">
        <v>4.9206480913925828E-2</v>
      </c>
    </row>
    <row r="147" spans="2:6" x14ac:dyDescent="0.2">
      <c r="B147" s="18">
        <v>-4.2018066349938472</v>
      </c>
    </row>
    <row r="148" spans="2:6" x14ac:dyDescent="0.2">
      <c r="B148" s="18">
        <v>-0.45915297616273776</v>
      </c>
    </row>
    <row r="149" spans="2:6" x14ac:dyDescent="0.2">
      <c r="B149" s="18">
        <v>-7.045574148213813</v>
      </c>
    </row>
    <row r="150" spans="2:6" x14ac:dyDescent="0.2">
      <c r="B150" s="18">
        <v>-0.95556327267721386</v>
      </c>
    </row>
    <row r="151" spans="2:6" x14ac:dyDescent="0.2">
      <c r="B151" s="18">
        <v>4.2743395683001637</v>
      </c>
    </row>
    <row r="152" spans="2:6" x14ac:dyDescent="0.2">
      <c r="B152" s="18">
        <v>1.592854058842164</v>
      </c>
    </row>
    <row r="153" spans="2:6" x14ac:dyDescent="0.2">
      <c r="B153" s="18">
        <v>-0.26937420534483536</v>
      </c>
    </row>
    <row r="154" spans="2:6" x14ac:dyDescent="0.2">
      <c r="B154" s="18">
        <v>-1.4971671368217478</v>
      </c>
    </row>
    <row r="155" spans="2:6" x14ac:dyDescent="0.2">
      <c r="B155" s="18">
        <v>1.0196788744641516</v>
      </c>
    </row>
    <row r="156" spans="2:6" x14ac:dyDescent="0.2">
      <c r="B156" s="18">
        <v>5.7898727197988507</v>
      </c>
    </row>
    <row r="157" spans="2:6" x14ac:dyDescent="0.2">
      <c r="B157" s="18">
        <v>1.1718637192034969</v>
      </c>
    </row>
    <row r="158" spans="2:6" x14ac:dyDescent="0.2">
      <c r="B158" s="18">
        <v>2.2690587608255228</v>
      </c>
    </row>
    <row r="159" spans="2:6" x14ac:dyDescent="0.2">
      <c r="B159" s="18">
        <v>2.0544258517861849</v>
      </c>
    </row>
    <row r="160" spans="2:6" x14ac:dyDescent="0.2">
      <c r="B160" s="18">
        <v>1.0333492286614963</v>
      </c>
    </row>
    <row r="161" spans="1:5" x14ac:dyDescent="0.2">
      <c r="B161" s="18">
        <v>-3.7849326025560011</v>
      </c>
    </row>
    <row r="162" spans="1:5" x14ac:dyDescent="0.2">
      <c r="B162" s="18">
        <v>1.8228328631782524</v>
      </c>
    </row>
    <row r="163" spans="1:5" x14ac:dyDescent="0.2">
      <c r="B163" s="18">
        <v>-2.2573501066198478</v>
      </c>
    </row>
    <row r="164" spans="1:5" x14ac:dyDescent="0.2">
      <c r="B164" s="18">
        <v>-2.8873501066198486</v>
      </c>
    </row>
    <row r="165" spans="1:5" x14ac:dyDescent="0.2">
      <c r="B165" s="18">
        <v>-3.7691266204351699</v>
      </c>
    </row>
    <row r="166" spans="1:5" x14ac:dyDescent="0.2">
      <c r="B166" s="18">
        <v>-1.5693742053448361</v>
      </c>
      <c r="C166" s="26" t="s">
        <v>107</v>
      </c>
    </row>
    <row r="168" spans="1:5" x14ac:dyDescent="0.2">
      <c r="A168" s="56" t="s">
        <v>110</v>
      </c>
    </row>
    <row r="169" spans="1:5" x14ac:dyDescent="0.2">
      <c r="A169" s="46" t="s">
        <v>114</v>
      </c>
      <c r="B169" s="58">
        <v>32</v>
      </c>
      <c r="D169" s="55" t="s">
        <v>115</v>
      </c>
      <c r="E169" s="55"/>
    </row>
    <row r="170" spans="1:5" x14ac:dyDescent="0.2">
      <c r="A170" s="46" t="s">
        <v>112</v>
      </c>
      <c r="B170" s="58">
        <v>3</v>
      </c>
      <c r="D170" s="37">
        <f>SQRT(B172*D144)</f>
        <v>1.5409294378999077</v>
      </c>
      <c r="E170" s="37" t="s">
        <v>94</v>
      </c>
    </row>
    <row r="171" spans="1:5" x14ac:dyDescent="0.2">
      <c r="A171" s="46" t="s">
        <v>111</v>
      </c>
      <c r="B171" s="58" cm="1">
        <f t="array" ref="B171">MMULT(D135:AI135,B135:B166)</f>
        <v>264.6456918109439</v>
      </c>
      <c r="D171" s="37">
        <f>SQRT(B172*E145)</f>
        <v>6.1454123382216784E-3</v>
      </c>
      <c r="E171" s="37" t="s">
        <v>95</v>
      </c>
    </row>
    <row r="172" spans="1:5" x14ac:dyDescent="0.2">
      <c r="A172" s="46" t="s">
        <v>113</v>
      </c>
      <c r="B172" s="58">
        <f>B171/(B169-B170)</f>
        <v>9.1257135107222034</v>
      </c>
      <c r="D172" s="37">
        <f>SQRT(B172*F146)</f>
        <v>0.67010763888446101</v>
      </c>
      <c r="E172" s="37" t="s">
        <v>149</v>
      </c>
    </row>
    <row r="173" spans="1:5" x14ac:dyDescent="0.2">
      <c r="A173" s="46" t="s">
        <v>127</v>
      </c>
      <c r="B173" s="60">
        <f>B169-B170</f>
        <v>29</v>
      </c>
    </row>
    <row r="176" spans="1:5" x14ac:dyDescent="0.2">
      <c r="A176" s="73" t="s">
        <v>116</v>
      </c>
      <c r="B176" s="73"/>
      <c r="C176" s="73"/>
    </row>
    <row r="178" spans="2:36" x14ac:dyDescent="0.2">
      <c r="B178" s="83" t="s">
        <v>117</v>
      </c>
      <c r="D178" s="55" t="s">
        <v>120</v>
      </c>
      <c r="E178" s="55"/>
      <c r="F178" s="55"/>
    </row>
    <row r="179" spans="2:36" x14ac:dyDescent="0.2">
      <c r="B179" s="37">
        <v>18.899999999999999</v>
      </c>
      <c r="D179" s="26">
        <v>32.910040996715125</v>
      </c>
      <c r="E179" s="26">
        <v>-5.3024758490966661E-2</v>
      </c>
      <c r="F179" s="26">
        <v>0.92949967011701062</v>
      </c>
      <c r="G179" s="26" t="s">
        <v>124</v>
      </c>
    </row>
    <row r="180" spans="2:36" x14ac:dyDescent="0.2">
      <c r="B180" s="37">
        <v>17</v>
      </c>
    </row>
    <row r="181" spans="2:36" x14ac:dyDescent="0.2">
      <c r="B181" s="37">
        <v>20</v>
      </c>
      <c r="D181" s="55" t="s">
        <v>88</v>
      </c>
      <c r="E181" s="55"/>
      <c r="F181" s="55"/>
      <c r="G181" s="55"/>
      <c r="H181" s="55"/>
      <c r="I181" s="55"/>
      <c r="J181" s="55"/>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c r="AI181" s="55"/>
    </row>
    <row r="182" spans="2:36" x14ac:dyDescent="0.2">
      <c r="B182" s="37">
        <v>18.25</v>
      </c>
      <c r="D182" s="37">
        <v>1</v>
      </c>
      <c r="E182" s="37">
        <v>1</v>
      </c>
      <c r="F182" s="37">
        <v>1</v>
      </c>
      <c r="G182" s="37">
        <v>1</v>
      </c>
      <c r="H182" s="37">
        <v>1</v>
      </c>
      <c r="I182" s="37">
        <v>1</v>
      </c>
      <c r="J182" s="37">
        <v>1</v>
      </c>
      <c r="K182" s="37">
        <v>1</v>
      </c>
      <c r="L182" s="37">
        <v>1</v>
      </c>
      <c r="M182" s="37">
        <v>1</v>
      </c>
      <c r="N182" s="37">
        <v>1</v>
      </c>
      <c r="O182" s="37">
        <v>1</v>
      </c>
      <c r="P182" s="37">
        <v>1</v>
      </c>
      <c r="Q182" s="37">
        <v>1</v>
      </c>
      <c r="R182" s="37">
        <v>1</v>
      </c>
      <c r="S182" s="37">
        <v>1</v>
      </c>
      <c r="T182" s="37">
        <v>1</v>
      </c>
      <c r="U182" s="37">
        <v>1</v>
      </c>
      <c r="V182" s="37">
        <v>1</v>
      </c>
      <c r="W182" s="37">
        <v>1</v>
      </c>
      <c r="X182" s="37">
        <v>1</v>
      </c>
      <c r="Y182" s="37">
        <v>1</v>
      </c>
      <c r="Z182" s="37">
        <v>1</v>
      </c>
      <c r="AA182" s="37">
        <v>1</v>
      </c>
      <c r="AB182" s="37">
        <v>1</v>
      </c>
      <c r="AC182" s="37">
        <v>1</v>
      </c>
      <c r="AD182" s="37">
        <v>1</v>
      </c>
      <c r="AE182" s="37">
        <v>1</v>
      </c>
      <c r="AF182" s="37">
        <v>1</v>
      </c>
      <c r="AG182" s="37">
        <v>1</v>
      </c>
      <c r="AH182" s="37">
        <v>1</v>
      </c>
      <c r="AI182" s="37">
        <v>1</v>
      </c>
    </row>
    <row r="183" spans="2:36" x14ac:dyDescent="0.2">
      <c r="B183" s="37">
        <v>20.07</v>
      </c>
      <c r="D183" s="37">
        <v>350</v>
      </c>
      <c r="E183" s="37">
        <v>350</v>
      </c>
      <c r="F183" s="37">
        <v>250</v>
      </c>
      <c r="G183" s="37">
        <v>351</v>
      </c>
      <c r="H183" s="37">
        <v>225</v>
      </c>
      <c r="I183" s="37">
        <v>440</v>
      </c>
      <c r="J183" s="37">
        <v>231</v>
      </c>
      <c r="K183" s="37">
        <v>262</v>
      </c>
      <c r="L183" s="37">
        <v>89.7</v>
      </c>
      <c r="M183" s="37">
        <v>96.9</v>
      </c>
      <c r="N183" s="37">
        <v>350</v>
      </c>
      <c r="O183" s="37">
        <v>85.3</v>
      </c>
      <c r="P183" s="37">
        <v>171</v>
      </c>
      <c r="Q183" s="37">
        <v>258</v>
      </c>
      <c r="R183" s="37">
        <v>140</v>
      </c>
      <c r="S183" s="37">
        <v>302</v>
      </c>
      <c r="T183" s="37">
        <v>500</v>
      </c>
      <c r="U183" s="37">
        <v>440</v>
      </c>
      <c r="V183" s="37">
        <v>350</v>
      </c>
      <c r="W183" s="37">
        <v>318</v>
      </c>
      <c r="X183" s="37">
        <v>231</v>
      </c>
      <c r="Y183" s="37">
        <v>360</v>
      </c>
      <c r="Z183" s="37">
        <v>400</v>
      </c>
      <c r="AA183" s="37">
        <v>96.9</v>
      </c>
      <c r="AB183" s="37">
        <v>140</v>
      </c>
      <c r="AC183" s="37">
        <v>460</v>
      </c>
      <c r="AD183" s="37">
        <v>133.6</v>
      </c>
      <c r="AE183" s="37">
        <v>318</v>
      </c>
      <c r="AF183" s="37">
        <v>351</v>
      </c>
      <c r="AG183" s="37">
        <v>351</v>
      </c>
      <c r="AH183" s="37">
        <v>360</v>
      </c>
      <c r="AI183" s="37">
        <v>350</v>
      </c>
    </row>
    <row r="184" spans="2:36" x14ac:dyDescent="0.2">
      <c r="B184" s="37">
        <v>11.2</v>
      </c>
      <c r="D184" s="37">
        <v>4</v>
      </c>
      <c r="E184" s="37">
        <v>4</v>
      </c>
      <c r="F184" s="37">
        <v>1</v>
      </c>
      <c r="G184" s="37">
        <v>2</v>
      </c>
      <c r="H184" s="37">
        <v>1</v>
      </c>
      <c r="I184" s="37">
        <v>4</v>
      </c>
      <c r="J184" s="37">
        <v>2</v>
      </c>
      <c r="K184" s="37">
        <v>2</v>
      </c>
      <c r="L184" s="37">
        <v>2</v>
      </c>
      <c r="M184" s="37">
        <v>2</v>
      </c>
      <c r="N184" s="37">
        <v>4</v>
      </c>
      <c r="O184" s="37">
        <v>2</v>
      </c>
      <c r="P184" s="37">
        <v>2</v>
      </c>
      <c r="Q184" s="37">
        <v>1</v>
      </c>
      <c r="R184" s="37">
        <v>2</v>
      </c>
      <c r="S184" s="37">
        <v>2</v>
      </c>
      <c r="T184" s="37">
        <v>4</v>
      </c>
      <c r="U184" s="37">
        <v>4</v>
      </c>
      <c r="V184" s="37">
        <v>4</v>
      </c>
      <c r="W184" s="37">
        <v>2</v>
      </c>
      <c r="X184" s="37">
        <v>2</v>
      </c>
      <c r="Y184" s="37">
        <v>2</v>
      </c>
      <c r="Z184" s="37">
        <v>4</v>
      </c>
      <c r="AA184" s="37">
        <v>2</v>
      </c>
      <c r="AB184" s="37">
        <v>2</v>
      </c>
      <c r="AC184" s="37">
        <v>4</v>
      </c>
      <c r="AD184" s="37">
        <v>2</v>
      </c>
      <c r="AE184" s="37">
        <v>2</v>
      </c>
      <c r="AF184" s="37">
        <v>2</v>
      </c>
      <c r="AG184" s="37">
        <v>2</v>
      </c>
      <c r="AH184" s="37">
        <v>4</v>
      </c>
      <c r="AI184" s="37">
        <v>4</v>
      </c>
      <c r="AJ184" s="26" t="s">
        <v>106</v>
      </c>
    </row>
    <row r="185" spans="2:36" x14ac:dyDescent="0.2">
      <c r="B185" s="37">
        <v>22.12</v>
      </c>
    </row>
    <row r="186" spans="2:36" x14ac:dyDescent="0.2">
      <c r="B186" s="37">
        <v>21.47</v>
      </c>
      <c r="D186" s="55" t="s">
        <v>123</v>
      </c>
      <c r="E186" s="55"/>
      <c r="F186" s="55"/>
      <c r="G186" s="55"/>
      <c r="H186" s="55"/>
      <c r="I186" s="55"/>
      <c r="J186" s="55"/>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c r="AI186" s="55"/>
    </row>
    <row r="187" spans="2:36" x14ac:dyDescent="0.2">
      <c r="B187" s="37">
        <v>34.700000000000003</v>
      </c>
      <c r="D187" s="37" cm="1">
        <f t="array" ref="D187:AI187">MMULT(D179:F179,D182:AI184)</f>
        <v>18.069374205344836</v>
      </c>
      <c r="E187" s="37">
        <v>18.069374205344836</v>
      </c>
      <c r="F187" s="37">
        <v>20.58335104409047</v>
      </c>
      <c r="G187" s="37">
        <v>16.157350106619848</v>
      </c>
      <c r="H187" s="37">
        <v>21.908970006364637</v>
      </c>
      <c r="I187" s="37">
        <v>13.297145941157837</v>
      </c>
      <c r="J187" s="37">
        <v>22.520321125535848</v>
      </c>
      <c r="K187" s="37">
        <v>20.876553612315881</v>
      </c>
      <c r="L187" s="37">
        <v>30.012719500309437</v>
      </c>
      <c r="M187" s="37">
        <v>29.630941239174476</v>
      </c>
      <c r="N187" s="37">
        <v>18.069374205344836</v>
      </c>
      <c r="O187" s="37">
        <v>30.24602843766969</v>
      </c>
      <c r="P187" s="37">
        <v>25.701806634993847</v>
      </c>
      <c r="Q187" s="37">
        <v>20.159152976162737</v>
      </c>
      <c r="R187" s="37">
        <v>27.345574148213814</v>
      </c>
      <c r="S187" s="37">
        <v>18.755563272677215</v>
      </c>
      <c r="T187" s="37">
        <v>10.115660431699837</v>
      </c>
      <c r="U187" s="37">
        <v>13.297145941157837</v>
      </c>
      <c r="V187" s="37">
        <v>18.069374205344836</v>
      </c>
      <c r="W187" s="37">
        <v>17.907167136821748</v>
      </c>
      <c r="X187" s="37">
        <v>22.520321125535848</v>
      </c>
      <c r="Y187" s="37">
        <v>15.680127280201148</v>
      </c>
      <c r="Z187" s="37">
        <v>15.418136280796503</v>
      </c>
      <c r="AA187" s="37">
        <v>29.630941239174476</v>
      </c>
      <c r="AB187" s="37">
        <v>27.345574148213814</v>
      </c>
      <c r="AC187" s="37">
        <v>12.236650771338503</v>
      </c>
      <c r="AD187" s="37">
        <v>27.684932602556</v>
      </c>
      <c r="AE187" s="37">
        <v>17.907167136821748</v>
      </c>
      <c r="AF187" s="37">
        <v>16.157350106619848</v>
      </c>
      <c r="AG187" s="37">
        <v>16.157350106619848</v>
      </c>
      <c r="AH187" s="37">
        <v>17.539126620435169</v>
      </c>
      <c r="AI187" s="37">
        <v>18.069374205344836</v>
      </c>
      <c r="AJ187" s="26" t="s">
        <v>104</v>
      </c>
    </row>
    <row r="188" spans="2:36" x14ac:dyDescent="0.2">
      <c r="B188" s="37">
        <v>30.4</v>
      </c>
    </row>
    <row r="189" spans="2:36" x14ac:dyDescent="0.2">
      <c r="B189" s="37">
        <v>16.5</v>
      </c>
    </row>
    <row r="190" spans="2:36" x14ac:dyDescent="0.2">
      <c r="B190" s="37">
        <v>36.5</v>
      </c>
    </row>
    <row r="191" spans="2:36" x14ac:dyDescent="0.2">
      <c r="B191" s="37">
        <v>21.5</v>
      </c>
    </row>
    <row r="192" spans="2:36" x14ac:dyDescent="0.2">
      <c r="B192" s="37">
        <v>19.7</v>
      </c>
    </row>
    <row r="193" spans="2:2" x14ac:dyDescent="0.2">
      <c r="B193" s="37">
        <v>20.3</v>
      </c>
    </row>
    <row r="194" spans="2:2" x14ac:dyDescent="0.2">
      <c r="B194" s="37">
        <v>17.8</v>
      </c>
    </row>
    <row r="195" spans="2:2" x14ac:dyDescent="0.2">
      <c r="B195" s="37">
        <v>14.39</v>
      </c>
    </row>
    <row r="196" spans="2:2" x14ac:dyDescent="0.2">
      <c r="B196" s="37">
        <v>14.89</v>
      </c>
    </row>
    <row r="197" spans="2:2" x14ac:dyDescent="0.2">
      <c r="B197" s="37">
        <v>17.8</v>
      </c>
    </row>
    <row r="198" spans="2:2" x14ac:dyDescent="0.2">
      <c r="B198" s="37">
        <v>16.41</v>
      </c>
    </row>
    <row r="199" spans="2:2" x14ac:dyDescent="0.2">
      <c r="B199" s="37">
        <v>23.54</v>
      </c>
    </row>
    <row r="200" spans="2:2" x14ac:dyDescent="0.2">
      <c r="B200" s="37">
        <v>21.47</v>
      </c>
    </row>
    <row r="201" spans="2:2" x14ac:dyDescent="0.2">
      <c r="B201" s="37">
        <v>16.59</v>
      </c>
    </row>
    <row r="202" spans="2:2" x14ac:dyDescent="0.2">
      <c r="B202" s="37">
        <v>31.9</v>
      </c>
    </row>
    <row r="203" spans="2:2" x14ac:dyDescent="0.2">
      <c r="B203" s="37">
        <v>29.4</v>
      </c>
    </row>
    <row r="204" spans="2:2" x14ac:dyDescent="0.2">
      <c r="B204" s="37">
        <v>13.27</v>
      </c>
    </row>
    <row r="205" spans="2:2" x14ac:dyDescent="0.2">
      <c r="B205" s="37">
        <v>23.9</v>
      </c>
    </row>
    <row r="206" spans="2:2" x14ac:dyDescent="0.2">
      <c r="B206" s="37">
        <v>19.73</v>
      </c>
    </row>
    <row r="207" spans="2:2" x14ac:dyDescent="0.2">
      <c r="B207" s="37">
        <v>13.9</v>
      </c>
    </row>
    <row r="208" spans="2:2" x14ac:dyDescent="0.2">
      <c r="B208" s="37">
        <v>13.27</v>
      </c>
    </row>
    <row r="209" spans="1:16" x14ac:dyDescent="0.2">
      <c r="B209" s="37">
        <v>13.77</v>
      </c>
    </row>
    <row r="210" spans="1:16" x14ac:dyDescent="0.2">
      <c r="B210" s="37">
        <v>16.5</v>
      </c>
    </row>
    <row r="211" spans="1:16" x14ac:dyDescent="0.2">
      <c r="A211" s="57" t="s">
        <v>118</v>
      </c>
      <c r="B211" s="60">
        <f>SUM(B179:B210)</f>
        <v>647.14</v>
      </c>
    </row>
    <row r="212" spans="1:16" x14ac:dyDescent="0.2">
      <c r="A212" s="57" t="s">
        <v>119</v>
      </c>
      <c r="B212" s="60">
        <f>B211^2/B169</f>
        <v>13087.193112499999</v>
      </c>
    </row>
    <row r="214" spans="1:16" x14ac:dyDescent="0.2">
      <c r="A214" s="61" t="s">
        <v>110</v>
      </c>
      <c r="B214" s="38"/>
    </row>
    <row r="215" spans="1:16" x14ac:dyDescent="0.2">
      <c r="A215" s="57" t="s">
        <v>121</v>
      </c>
      <c r="B215" s="60">
        <v>2</v>
      </c>
      <c r="D215" s="57" t="s">
        <v>125</v>
      </c>
      <c r="E215" s="58">
        <f>B216-B212</f>
        <v>972.8983956890952</v>
      </c>
    </row>
    <row r="216" spans="1:16" x14ac:dyDescent="0.2">
      <c r="A216" s="57" t="s">
        <v>122</v>
      </c>
      <c r="B216" s="60" cm="1">
        <f t="array" ref="B216">MMULT(_xlfn.ANCHORARRAY(D187),B179:B210)</f>
        <v>14060.091508189094</v>
      </c>
      <c r="D216" s="57" t="s">
        <v>126</v>
      </c>
      <c r="E216" s="58">
        <f>E215/B215</f>
        <v>486.4491978445476</v>
      </c>
    </row>
    <row r="217" spans="1:16" x14ac:dyDescent="0.2">
      <c r="A217" s="57" t="s">
        <v>113</v>
      </c>
      <c r="B217" s="60">
        <v>9.1257135107222034</v>
      </c>
      <c r="D217" s="57" t="s">
        <v>128</v>
      </c>
      <c r="E217" s="58">
        <f>B215</f>
        <v>2</v>
      </c>
    </row>
    <row r="219" spans="1:16" x14ac:dyDescent="0.2">
      <c r="A219" s="57" t="s">
        <v>129</v>
      </c>
      <c r="B219" s="26">
        <f>E216/B217</f>
        <v>53.305333032096286</v>
      </c>
    </row>
    <row r="220" spans="1:16" x14ac:dyDescent="0.2">
      <c r="A220" s="57" t="s">
        <v>130</v>
      </c>
      <c r="B220" s="26">
        <f>_xlfn.F.INV.RT(0.05,B215,(B169-B170))</f>
        <v>3.3276544985720609</v>
      </c>
    </row>
    <row r="222" spans="1:16" x14ac:dyDescent="0.2">
      <c r="A222" s="64" t="s">
        <v>131</v>
      </c>
      <c r="B222" s="64"/>
      <c r="C222" s="64"/>
    </row>
    <row r="223" spans="1:16" x14ac:dyDescent="0.2">
      <c r="A223" s="65" t="s">
        <v>132</v>
      </c>
      <c r="B223" s="40" t="s">
        <v>133</v>
      </c>
    </row>
    <row r="224" spans="1:16" x14ac:dyDescent="0.2">
      <c r="A224" s="66" t="s">
        <v>134</v>
      </c>
      <c r="B224" s="25" t="s">
        <v>135</v>
      </c>
      <c r="C224" s="25"/>
      <c r="D224" s="25"/>
      <c r="E224" s="25"/>
      <c r="F224" s="25"/>
      <c r="G224" s="25"/>
      <c r="H224" s="25"/>
      <c r="I224" s="25"/>
      <c r="J224" s="25"/>
      <c r="K224" s="25"/>
      <c r="L224" s="25"/>
      <c r="M224" s="25"/>
      <c r="N224" s="25"/>
      <c r="O224" s="25"/>
      <c r="P224" s="25"/>
    </row>
    <row r="228" spans="1:13" x14ac:dyDescent="0.2">
      <c r="A228" s="71" t="s">
        <v>136</v>
      </c>
      <c r="B228" s="71"/>
      <c r="C228" s="71"/>
    </row>
    <row r="230" spans="1:13" x14ac:dyDescent="0.2">
      <c r="A230" s="57" t="s">
        <v>114</v>
      </c>
      <c r="B230" s="60">
        <v>32</v>
      </c>
      <c r="D230" s="57" t="s">
        <v>111</v>
      </c>
      <c r="E230" s="60">
        <v>264.6456918109439</v>
      </c>
    </row>
    <row r="231" spans="1:13" x14ac:dyDescent="0.2">
      <c r="A231" s="57" t="s">
        <v>121</v>
      </c>
      <c r="B231" s="60">
        <v>2</v>
      </c>
      <c r="D231" s="57" t="s">
        <v>125</v>
      </c>
      <c r="E231" s="60">
        <v>972.8983956890952</v>
      </c>
    </row>
    <row r="232" spans="1:13" x14ac:dyDescent="0.2">
      <c r="A232" s="57" t="s">
        <v>112</v>
      </c>
      <c r="B232" s="60">
        <f>B231+1</f>
        <v>3</v>
      </c>
      <c r="D232" s="57" t="s">
        <v>137</v>
      </c>
      <c r="E232" s="60">
        <f>E231+E230</f>
        <v>1237.544087500039</v>
      </c>
    </row>
    <row r="234" spans="1:13" x14ac:dyDescent="0.2">
      <c r="A234" s="57" t="s">
        <v>138</v>
      </c>
      <c r="B234" s="60">
        <f>E230/(B230-B232)</f>
        <v>9.1257135107222034</v>
      </c>
    </row>
    <row r="235" spans="1:13" x14ac:dyDescent="0.2">
      <c r="A235" s="57" t="s">
        <v>139</v>
      </c>
      <c r="B235" s="60">
        <f>E232/(B230-1)</f>
        <v>39.920777016130295</v>
      </c>
    </row>
    <row r="236" spans="1:13" x14ac:dyDescent="0.2">
      <c r="A236" s="66"/>
      <c r="B236" s="59">
        <f>1-(B234/B235)</f>
        <v>0.7714044116166654</v>
      </c>
      <c r="D236" s="57"/>
      <c r="E236" s="62" t="s">
        <v>143</v>
      </c>
      <c r="F236" s="44"/>
      <c r="G236" s="57"/>
      <c r="H236" s="69">
        <f>1-(E230/E232)</f>
        <v>0.78615251409300957</v>
      </c>
      <c r="J236" s="57"/>
      <c r="K236" s="69" t="s">
        <v>145</v>
      </c>
    </row>
    <row r="237" spans="1:13" x14ac:dyDescent="0.2">
      <c r="A237" s="57" t="s">
        <v>140</v>
      </c>
      <c r="B237" s="59">
        <f>1-B236</f>
        <v>0.2285955883833346</v>
      </c>
      <c r="D237" s="57" t="s">
        <v>141</v>
      </c>
      <c r="E237" s="63">
        <v>0.22859560000000001</v>
      </c>
      <c r="F237" s="42"/>
      <c r="G237" s="57" t="s">
        <v>140</v>
      </c>
      <c r="H237" s="69">
        <f>1-H236</f>
        <v>0.21384748590699043</v>
      </c>
      <c r="J237" s="57" t="s">
        <v>141</v>
      </c>
      <c r="K237" s="69" t="s">
        <v>146</v>
      </c>
    </row>
    <row r="239" spans="1:13" x14ac:dyDescent="0.2">
      <c r="A239" s="64" t="s">
        <v>240</v>
      </c>
      <c r="B239" s="64"/>
      <c r="C239" s="64"/>
    </row>
    <row r="240" spans="1:13" x14ac:dyDescent="0.2">
      <c r="A240" s="25" t="s">
        <v>142</v>
      </c>
      <c r="B240" s="25"/>
      <c r="C240" s="25"/>
      <c r="D240" s="25"/>
      <c r="E240" s="25"/>
      <c r="F240" s="25"/>
      <c r="G240" s="25"/>
      <c r="H240" s="25"/>
      <c r="I240" s="25"/>
      <c r="J240" s="25"/>
      <c r="K240" s="25"/>
      <c r="L240" s="25"/>
      <c r="M240" s="25"/>
    </row>
    <row r="241" spans="1:15" x14ac:dyDescent="0.2">
      <c r="A241" s="70" t="s">
        <v>171</v>
      </c>
      <c r="B241" s="70"/>
      <c r="C241" s="70"/>
    </row>
    <row r="242" spans="1:15" x14ac:dyDescent="0.2">
      <c r="A242" s="25" t="s">
        <v>173</v>
      </c>
      <c r="B242" s="25"/>
      <c r="C242" s="25"/>
      <c r="D242" s="25"/>
      <c r="E242" s="25"/>
      <c r="F242" s="25"/>
      <c r="G242" s="25"/>
      <c r="H242" s="25"/>
      <c r="I242" s="25"/>
      <c r="J242" s="25"/>
      <c r="K242" s="25"/>
      <c r="L242" s="25"/>
      <c r="M242" s="25"/>
      <c r="N242" s="25"/>
      <c r="O242" s="25"/>
    </row>
    <row r="244" spans="1:15" x14ac:dyDescent="0.2">
      <c r="A244" s="71" t="s">
        <v>144</v>
      </c>
      <c r="B244" s="71"/>
      <c r="C244" s="71"/>
    </row>
    <row r="246" spans="1:15" x14ac:dyDescent="0.2">
      <c r="B246" s="53" t="s">
        <v>147</v>
      </c>
      <c r="C246" s="53"/>
      <c r="E246" s="55" t="s">
        <v>115</v>
      </c>
      <c r="F246" s="55"/>
      <c r="H246" s="57" t="s">
        <v>112</v>
      </c>
      <c r="I246" s="60">
        <v>3</v>
      </c>
    </row>
    <row r="247" spans="1:15" x14ac:dyDescent="0.2">
      <c r="B247" s="18"/>
      <c r="C247" s="18"/>
      <c r="E247" s="26">
        <v>1.5409294378999077</v>
      </c>
      <c r="F247" s="75" t="s">
        <v>94</v>
      </c>
    </row>
    <row r="248" spans="1:15" x14ac:dyDescent="0.2">
      <c r="B248" s="18">
        <v>32.910040996715125</v>
      </c>
      <c r="C248" s="74" t="s">
        <v>94</v>
      </c>
      <c r="E248" s="26">
        <v>6.1454123382216784E-3</v>
      </c>
      <c r="F248" s="75" t="s">
        <v>95</v>
      </c>
    </row>
    <row r="249" spans="1:15" x14ac:dyDescent="0.2">
      <c r="B249" s="18">
        <v>-5.3024758490966661E-2</v>
      </c>
      <c r="C249" s="74" t="s">
        <v>95</v>
      </c>
      <c r="E249" s="26">
        <v>0.67010763888446101</v>
      </c>
      <c r="F249" s="75" t="s">
        <v>149</v>
      </c>
    </row>
    <row r="250" spans="1:15" x14ac:dyDescent="0.2">
      <c r="B250" s="18">
        <v>0.92949967011701062</v>
      </c>
      <c r="C250" s="74" t="s">
        <v>149</v>
      </c>
    </row>
    <row r="254" spans="1:15" x14ac:dyDescent="0.2">
      <c r="A254" s="64" t="s">
        <v>148</v>
      </c>
      <c r="B254" s="64"/>
    </row>
    <row r="256" spans="1:15" x14ac:dyDescent="0.2">
      <c r="A256" s="57" t="s">
        <v>150</v>
      </c>
      <c r="B256" s="78">
        <f>ABS(B249/E248)</f>
        <v>8.6283483634087013</v>
      </c>
    </row>
    <row r="257" spans="1:5" x14ac:dyDescent="0.2">
      <c r="A257" s="57" t="s">
        <v>151</v>
      </c>
      <c r="B257" s="78">
        <f>_xlfn.T.INV.2T(0.05,(B230-I246))</f>
        <v>2.0452296421327048</v>
      </c>
    </row>
    <row r="258" spans="1:5" x14ac:dyDescent="0.2">
      <c r="A258" s="57" t="s">
        <v>152</v>
      </c>
      <c r="B258" s="77" t="s">
        <v>133</v>
      </c>
      <c r="C258" s="25"/>
    </row>
    <row r="259" spans="1:5" x14ac:dyDescent="0.2">
      <c r="A259" s="57" t="s">
        <v>134</v>
      </c>
      <c r="B259" s="77" t="s">
        <v>185</v>
      </c>
      <c r="C259" s="25"/>
      <c r="D259" s="25"/>
      <c r="E259" s="25"/>
    </row>
    <row r="261" spans="1:5" x14ac:dyDescent="0.2">
      <c r="A261" s="64" t="s">
        <v>153</v>
      </c>
      <c r="B261" s="64"/>
    </row>
    <row r="262" spans="1:5" x14ac:dyDescent="0.2">
      <c r="A262" s="1"/>
      <c r="B262" s="1"/>
    </row>
    <row r="263" spans="1:5" x14ac:dyDescent="0.2">
      <c r="A263" s="57" t="s">
        <v>150</v>
      </c>
      <c r="B263" s="60">
        <f>B250/E249</f>
        <v>1.3870900974422016</v>
      </c>
    </row>
    <row r="264" spans="1:5" x14ac:dyDescent="0.2">
      <c r="A264" s="57" t="s">
        <v>151</v>
      </c>
      <c r="B264" s="60">
        <f>_xlfn.T.INV.2T(0.05,(B230-I246))</f>
        <v>2.0452296421327048</v>
      </c>
    </row>
    <row r="265" spans="1:5" x14ac:dyDescent="0.2">
      <c r="A265" s="57" t="s">
        <v>152</v>
      </c>
      <c r="B265" s="79" t="s">
        <v>186</v>
      </c>
      <c r="C265" s="76"/>
    </row>
    <row r="266" spans="1:5" x14ac:dyDescent="0.2">
      <c r="A266" s="57" t="s">
        <v>134</v>
      </c>
      <c r="B266" s="77" t="s">
        <v>244</v>
      </c>
      <c r="C266" s="25"/>
      <c r="D266" s="25"/>
      <c r="E266" s="25"/>
    </row>
    <row r="270" spans="1:5" x14ac:dyDescent="0.2">
      <c r="A270" s="80" t="s">
        <v>155</v>
      </c>
      <c r="B270" s="80"/>
      <c r="C270" s="80"/>
    </row>
    <row r="272" spans="1:5" x14ac:dyDescent="0.2">
      <c r="A272" s="1"/>
      <c r="B272" s="1"/>
    </row>
    <row r="273" spans="1:14" x14ac:dyDescent="0.2">
      <c r="B273" s="55" t="s">
        <v>147</v>
      </c>
      <c r="C273" s="55"/>
      <c r="E273" s="55" t="s">
        <v>115</v>
      </c>
      <c r="F273" s="55"/>
      <c r="H273" s="104" t="s">
        <v>151</v>
      </c>
      <c r="I273" s="26">
        <v>2.0452296421327048</v>
      </c>
    </row>
    <row r="274" spans="1:14" x14ac:dyDescent="0.2">
      <c r="B274" s="26"/>
      <c r="C274" s="26"/>
      <c r="E274" s="26">
        <v>1.5409294378999077</v>
      </c>
      <c r="F274" s="75" t="s">
        <v>94</v>
      </c>
    </row>
    <row r="275" spans="1:14" x14ac:dyDescent="0.2">
      <c r="B275" s="26">
        <v>32.910040996715125</v>
      </c>
      <c r="C275" s="75" t="s">
        <v>94</v>
      </c>
      <c r="E275" s="26">
        <v>6.1454123382216784E-3</v>
      </c>
      <c r="F275" s="75" t="s">
        <v>95</v>
      </c>
    </row>
    <row r="276" spans="1:14" x14ac:dyDescent="0.2">
      <c r="B276" s="26">
        <v>-5.3024758490966661E-2</v>
      </c>
      <c r="C276" s="75" t="s">
        <v>95</v>
      </c>
      <c r="E276" s="26">
        <v>0.67010763888446101</v>
      </c>
      <c r="F276" s="75" t="s">
        <v>149</v>
      </c>
    </row>
    <row r="277" spans="1:14" x14ac:dyDescent="0.2">
      <c r="B277" s="26">
        <v>0.92949967011701062</v>
      </c>
      <c r="C277" s="75" t="s">
        <v>149</v>
      </c>
    </row>
    <row r="279" spans="1:14" x14ac:dyDescent="0.2">
      <c r="A279" s="25" t="s">
        <v>255</v>
      </c>
      <c r="B279" s="25"/>
      <c r="C279" s="25"/>
    </row>
    <row r="280" spans="1:14" x14ac:dyDescent="0.2">
      <c r="A280" s="100" t="s">
        <v>177</v>
      </c>
      <c r="B280" s="143"/>
      <c r="H280" s="145" t="s">
        <v>260</v>
      </c>
      <c r="I280" s="125"/>
      <c r="J280" s="125"/>
    </row>
    <row r="281" spans="1:14" x14ac:dyDescent="0.2">
      <c r="A281" s="66" t="s">
        <v>178</v>
      </c>
      <c r="B281" s="26">
        <f>B276-(I273*E275)</f>
        <v>-6.5593537968225687E-2</v>
      </c>
      <c r="H281" s="66" t="s">
        <v>178</v>
      </c>
      <c r="I281" s="26">
        <f>B277-(I273*E276)</f>
        <v>-0.44102433634904736</v>
      </c>
    </row>
    <row r="282" spans="1:14" x14ac:dyDescent="0.2">
      <c r="A282" s="65" t="s">
        <v>179</v>
      </c>
      <c r="B282" s="35">
        <f>B276+(I273*E275)</f>
        <v>-4.0455979013707628E-2</v>
      </c>
      <c r="H282" s="65" t="s">
        <v>179</v>
      </c>
      <c r="I282" s="35">
        <f>B277+(I273*E276)</f>
        <v>2.3000236765830686</v>
      </c>
    </row>
    <row r="283" spans="1:14" x14ac:dyDescent="0.2">
      <c r="A283" s="66" t="s">
        <v>134</v>
      </c>
      <c r="B283" s="25" t="s">
        <v>180</v>
      </c>
      <c r="C283" s="25"/>
      <c r="D283" s="25"/>
      <c r="E283" s="25"/>
      <c r="F283" s="25"/>
      <c r="H283" s="66" t="s">
        <v>134</v>
      </c>
      <c r="I283" s="25" t="s">
        <v>261</v>
      </c>
      <c r="J283" s="25"/>
      <c r="K283" s="25"/>
      <c r="L283" s="25"/>
      <c r="M283" s="25"/>
      <c r="N283" s="25"/>
    </row>
    <row r="285" spans="1:14" x14ac:dyDescent="0.2">
      <c r="A285" s="76" t="s">
        <v>256</v>
      </c>
      <c r="B285" s="76"/>
    </row>
    <row r="286" spans="1:14" x14ac:dyDescent="0.2">
      <c r="A286" s="43" t="s">
        <v>258</v>
      </c>
      <c r="B286" s="43"/>
      <c r="C286" s="43"/>
    </row>
    <row r="288" spans="1:14" x14ac:dyDescent="0.2">
      <c r="A288" s="144" t="s">
        <v>93</v>
      </c>
      <c r="B288" s="144"/>
    </row>
    <row r="289" spans="1:11" x14ac:dyDescent="0.2">
      <c r="A289" s="26">
        <v>32.910040996715125</v>
      </c>
      <c r="B289" s="26" t="s">
        <v>94</v>
      </c>
      <c r="D289" s="37" t="s">
        <v>170</v>
      </c>
      <c r="E289" s="37">
        <v>275</v>
      </c>
    </row>
    <row r="290" spans="1:11" x14ac:dyDescent="0.2">
      <c r="A290" s="26">
        <v>-5.3024758490966661E-2</v>
      </c>
      <c r="B290" s="26" t="s">
        <v>95</v>
      </c>
      <c r="D290" s="37" t="s">
        <v>234</v>
      </c>
      <c r="E290" s="37">
        <v>2</v>
      </c>
    </row>
    <row r="291" spans="1:11" x14ac:dyDescent="0.2">
      <c r="A291" s="26">
        <v>0.92949967011701062</v>
      </c>
      <c r="B291" s="26" t="s">
        <v>149</v>
      </c>
    </row>
    <row r="293" spans="1:11" x14ac:dyDescent="0.2">
      <c r="A293" s="57" t="s">
        <v>178</v>
      </c>
      <c r="B293" s="26">
        <f>A289+(B281*E289)+(B282*E290)</f>
        <v>14.790906097425646</v>
      </c>
    </row>
    <row r="294" spans="1:11" x14ac:dyDescent="0.2">
      <c r="A294" s="57" t="s">
        <v>179</v>
      </c>
      <c r="B294" s="26">
        <f>A289+(B282*E289)+(I282*E290)</f>
        <v>26.384694121111664</v>
      </c>
    </row>
    <row r="295" spans="1:11" x14ac:dyDescent="0.2">
      <c r="A295" s="57" t="s">
        <v>134</v>
      </c>
      <c r="B295" s="25" t="s">
        <v>263</v>
      </c>
      <c r="C295" s="25"/>
      <c r="D295" s="25"/>
      <c r="E295" s="25"/>
      <c r="F295" s="25"/>
      <c r="G295" s="25"/>
      <c r="H295" s="25"/>
      <c r="I295" s="25"/>
      <c r="J295" s="25"/>
      <c r="K295" s="25"/>
    </row>
    <row r="297" spans="1:11" x14ac:dyDescent="0.2">
      <c r="A297" s="76" t="s">
        <v>257</v>
      </c>
      <c r="B297" s="76"/>
    </row>
    <row r="298" spans="1:11" x14ac:dyDescent="0.2">
      <c r="A298" s="43" t="s">
        <v>259</v>
      </c>
      <c r="B298" s="43"/>
      <c r="C298" s="43"/>
    </row>
    <row r="300" spans="1:11" x14ac:dyDescent="0.2">
      <c r="A300" s="116" t="s">
        <v>93</v>
      </c>
      <c r="B300" s="117"/>
    </row>
    <row r="301" spans="1:11" x14ac:dyDescent="0.2">
      <c r="A301" s="37">
        <v>32.910040996715125</v>
      </c>
      <c r="B301" s="37" t="s">
        <v>94</v>
      </c>
      <c r="D301" s="37" t="s">
        <v>170</v>
      </c>
      <c r="E301" s="37">
        <v>275</v>
      </c>
    </row>
    <row r="302" spans="1:11" x14ac:dyDescent="0.2">
      <c r="A302" s="37">
        <v>-5.3024758490966661E-2</v>
      </c>
      <c r="B302" s="37" t="s">
        <v>95</v>
      </c>
      <c r="D302" s="37" t="s">
        <v>234</v>
      </c>
      <c r="E302" s="37">
        <v>2</v>
      </c>
    </row>
    <row r="303" spans="1:11" x14ac:dyDescent="0.2">
      <c r="A303" s="37">
        <v>0.92949967011701062</v>
      </c>
      <c r="B303" s="37" t="s">
        <v>149</v>
      </c>
    </row>
    <row r="305" spans="1:11" x14ac:dyDescent="0.2">
      <c r="A305" s="57" t="s">
        <v>178</v>
      </c>
      <c r="B305" s="26">
        <f>A301+(B281*E301)+(I281*E302)</f>
        <v>13.989769382754968</v>
      </c>
    </row>
    <row r="306" spans="1:11" x14ac:dyDescent="0.2">
      <c r="A306" s="57" t="s">
        <v>179</v>
      </c>
      <c r="B306" s="26">
        <f>A301+(B282*E301)+(I282*E302)</f>
        <v>26.384694121111664</v>
      </c>
    </row>
    <row r="307" spans="1:11" x14ac:dyDescent="0.2">
      <c r="A307" s="57" t="s">
        <v>134</v>
      </c>
      <c r="B307" s="25" t="s">
        <v>264</v>
      </c>
      <c r="C307" s="25"/>
      <c r="D307" s="25"/>
      <c r="E307" s="25"/>
      <c r="F307" s="25"/>
      <c r="G307" s="25"/>
      <c r="H307" s="25"/>
      <c r="I307" s="25"/>
      <c r="J307" s="25"/>
      <c r="K307" s="25"/>
    </row>
  </sheetData>
  <mergeCells count="56">
    <mergeCell ref="H280:J280"/>
    <mergeCell ref="I283:N283"/>
    <mergeCell ref="B307:K307"/>
    <mergeCell ref="B295:K295"/>
    <mergeCell ref="A285:B285"/>
    <mergeCell ref="A286:C286"/>
    <mergeCell ref="A288:B288"/>
    <mergeCell ref="A297:B297"/>
    <mergeCell ref="A298:C298"/>
    <mergeCell ref="A300:B300"/>
    <mergeCell ref="B273:C273"/>
    <mergeCell ref="E273:F273"/>
    <mergeCell ref="A280:B280"/>
    <mergeCell ref="B283:F283"/>
    <mergeCell ref="A239:C239"/>
    <mergeCell ref="A241:C241"/>
    <mergeCell ref="A242:O242"/>
    <mergeCell ref="A279:C279"/>
    <mergeCell ref="B265:C265"/>
    <mergeCell ref="B266:E266"/>
    <mergeCell ref="A261:B261"/>
    <mergeCell ref="A270:C270"/>
    <mergeCell ref="A40:G40"/>
    <mergeCell ref="B246:C246"/>
    <mergeCell ref="E246:F246"/>
    <mergeCell ref="A254:B254"/>
    <mergeCell ref="B258:C258"/>
    <mergeCell ref="B259:E259"/>
    <mergeCell ref="B224:P224"/>
    <mergeCell ref="A240:M240"/>
    <mergeCell ref="A244:C244"/>
    <mergeCell ref="A228:C228"/>
    <mergeCell ref="D178:F178"/>
    <mergeCell ref="D181:AI181"/>
    <mergeCell ref="D186:AI186"/>
    <mergeCell ref="A222:C222"/>
    <mergeCell ref="D134:AI134"/>
    <mergeCell ref="D137:AI137"/>
    <mergeCell ref="D140:F140"/>
    <mergeCell ref="D143:F143"/>
    <mergeCell ref="D169:E169"/>
    <mergeCell ref="A176:C176"/>
    <mergeCell ref="A127:C127"/>
    <mergeCell ref="A128:D128"/>
    <mergeCell ref="I43:L43"/>
    <mergeCell ref="A132:C132"/>
    <mergeCell ref="AG119:AH119"/>
    <mergeCell ref="A116:AF116"/>
    <mergeCell ref="A121:C121"/>
    <mergeCell ref="F121:H121"/>
    <mergeCell ref="K113:L113"/>
    <mergeCell ref="N121:O121"/>
    <mergeCell ref="F2:I3"/>
    <mergeCell ref="A41:G41"/>
    <mergeCell ref="A79:C79"/>
    <mergeCell ref="F81:H8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A6B1D-DAD5-A845-88F3-37FB4F28FA66}">
  <dimension ref="A2:AC87"/>
  <sheetViews>
    <sheetView topLeftCell="A70" zoomScale="150" workbookViewId="0">
      <selection activeCell="C86" sqref="C86:L86"/>
    </sheetView>
  </sheetViews>
  <sheetFormatPr baseColWidth="10" defaultRowHeight="16" x14ac:dyDescent="0.2"/>
  <cols>
    <col min="2" max="2" width="17" customWidth="1"/>
    <col min="3" max="3" width="17.1640625" customWidth="1"/>
    <col min="4" max="4" width="19.5" customWidth="1"/>
    <col min="5" max="5" width="14.33203125" customWidth="1"/>
  </cols>
  <sheetData>
    <row r="2" spans="1:29" x14ac:dyDescent="0.2">
      <c r="B2" s="27" t="s">
        <v>166</v>
      </c>
      <c r="C2" s="27"/>
      <c r="D2" s="27"/>
      <c r="E2" s="27"/>
      <c r="F2" s="27"/>
    </row>
    <row r="3" spans="1:29" x14ac:dyDescent="0.2">
      <c r="B3" s="27"/>
      <c r="C3" s="27"/>
      <c r="D3" s="27"/>
      <c r="E3" s="27"/>
      <c r="F3" s="27"/>
    </row>
    <row r="7" spans="1:29" x14ac:dyDescent="0.2">
      <c r="A7" s="95" t="s">
        <v>164</v>
      </c>
      <c r="B7" s="95"/>
      <c r="C7" s="95"/>
      <c r="D7" s="95"/>
      <c r="E7" s="95"/>
    </row>
    <row r="9" spans="1:29" x14ac:dyDescent="0.2">
      <c r="A9" s="95" t="s">
        <v>165</v>
      </c>
      <c r="B9" s="95"/>
      <c r="C9" s="95"/>
      <c r="D9" s="95"/>
      <c r="E9" s="95"/>
      <c r="F9" s="95"/>
      <c r="G9" s="95"/>
      <c r="H9" s="95"/>
      <c r="I9" s="95"/>
      <c r="J9" s="95"/>
      <c r="K9" s="95"/>
      <c r="L9" s="95"/>
    </row>
    <row r="11" spans="1:29" x14ac:dyDescent="0.2">
      <c r="B11" s="64" t="s">
        <v>98</v>
      </c>
      <c r="C11" s="64"/>
      <c r="D11" s="64"/>
    </row>
    <row r="12" spans="1:29" x14ac:dyDescent="0.2">
      <c r="B12" s="25"/>
      <c r="C12" s="25"/>
      <c r="D12" s="25"/>
    </row>
    <row r="13" spans="1:29" x14ac:dyDescent="0.2">
      <c r="B13" s="44"/>
    </row>
    <row r="14" spans="1:29" x14ac:dyDescent="0.2">
      <c r="B14" s="70" t="s">
        <v>167</v>
      </c>
      <c r="C14" s="70"/>
      <c r="D14" s="70"/>
    </row>
    <row r="15" spans="1:29" x14ac:dyDescent="0.2">
      <c r="B15" s="25" t="s">
        <v>239</v>
      </c>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row>
    <row r="18" spans="1:20" x14ac:dyDescent="0.2">
      <c r="A18" s="95" t="s">
        <v>168</v>
      </c>
      <c r="B18" s="95"/>
      <c r="C18" s="95"/>
      <c r="D18" s="95"/>
      <c r="E18" s="95"/>
      <c r="F18" s="95"/>
      <c r="G18" s="95"/>
      <c r="H18" s="95"/>
      <c r="I18" s="95"/>
      <c r="J18" s="95"/>
      <c r="K18" s="95"/>
      <c r="L18" s="95"/>
    </row>
    <row r="20" spans="1:20" x14ac:dyDescent="0.2">
      <c r="B20" s="64" t="s">
        <v>169</v>
      </c>
      <c r="C20" s="64"/>
      <c r="D20" s="64"/>
      <c r="E20" s="64"/>
      <c r="F20" s="64"/>
    </row>
    <row r="21" spans="1:20" x14ac:dyDescent="0.2">
      <c r="C21" s="112"/>
      <c r="D21" s="112"/>
    </row>
    <row r="22" spans="1:20" x14ac:dyDescent="0.2">
      <c r="B22" s="111" t="s">
        <v>202</v>
      </c>
      <c r="C22" s="112" t="s">
        <v>204</v>
      </c>
      <c r="D22" s="112" t="s">
        <v>203</v>
      </c>
      <c r="E22" s="112" t="s">
        <v>205</v>
      </c>
      <c r="F22" s="123" t="s">
        <v>206</v>
      </c>
    </row>
    <row r="23" spans="1:20" x14ac:dyDescent="0.2">
      <c r="B23" s="121" t="s">
        <v>99</v>
      </c>
      <c r="C23" s="121">
        <v>2</v>
      </c>
      <c r="D23" s="121">
        <v>972.8983956890952</v>
      </c>
      <c r="E23" s="121">
        <v>486.4491978445476</v>
      </c>
      <c r="F23" s="121">
        <v>53.305333032096286</v>
      </c>
    </row>
    <row r="24" spans="1:20" x14ac:dyDescent="0.2">
      <c r="B24" s="97" t="s">
        <v>100</v>
      </c>
      <c r="C24" s="34">
        <v>29</v>
      </c>
      <c r="D24" s="97">
        <v>264.6456918109439</v>
      </c>
      <c r="E24" s="97">
        <v>9.1257135107222034</v>
      </c>
      <c r="F24" s="97"/>
    </row>
    <row r="25" spans="1:20" x14ac:dyDescent="0.2">
      <c r="B25" s="122" t="s">
        <v>101</v>
      </c>
      <c r="C25" s="122">
        <f>32-1</f>
        <v>31</v>
      </c>
      <c r="D25" s="122">
        <v>1237.544087500039</v>
      </c>
      <c r="E25" s="122"/>
      <c r="F25" s="122"/>
    </row>
    <row r="28" spans="1:20" x14ac:dyDescent="0.2">
      <c r="B28" s="17"/>
    </row>
    <row r="29" spans="1:20" x14ac:dyDescent="0.2">
      <c r="B29" s="64" t="s">
        <v>131</v>
      </c>
      <c r="C29" s="64"/>
      <c r="D29" s="64"/>
      <c r="E29" s="64"/>
      <c r="F29" s="64"/>
    </row>
    <row r="30" spans="1:20" x14ac:dyDescent="0.2">
      <c r="B30" s="66" t="s">
        <v>132</v>
      </c>
      <c r="C30" s="35" t="s">
        <v>133</v>
      </c>
      <c r="S30" s="66" t="s">
        <v>129</v>
      </c>
      <c r="T30" s="26">
        <v>53.305333032096286</v>
      </c>
    </row>
    <row r="31" spans="1:20" x14ac:dyDescent="0.2">
      <c r="B31" s="66" t="s">
        <v>134</v>
      </c>
      <c r="C31" s="25" t="s">
        <v>135</v>
      </c>
      <c r="D31" s="25"/>
      <c r="E31" s="25"/>
      <c r="F31" s="25"/>
      <c r="G31" s="25"/>
      <c r="H31" s="25"/>
      <c r="I31" s="25"/>
      <c r="J31" s="25"/>
      <c r="K31" s="25"/>
      <c r="L31" s="25"/>
      <c r="M31" s="25"/>
      <c r="N31" s="25"/>
      <c r="O31" s="25"/>
      <c r="P31" s="25"/>
      <c r="Q31" s="25"/>
      <c r="S31" s="66" t="s">
        <v>130</v>
      </c>
      <c r="T31" s="26">
        <v>3.3276544985720609</v>
      </c>
    </row>
    <row r="34" spans="1:22" x14ac:dyDescent="0.2">
      <c r="A34" s="98" t="s">
        <v>174</v>
      </c>
      <c r="B34" s="95"/>
      <c r="C34" s="95"/>
      <c r="D34" s="95"/>
      <c r="E34" s="95"/>
      <c r="F34" s="95"/>
      <c r="G34" s="95"/>
      <c r="H34" s="95"/>
      <c r="I34" s="95"/>
      <c r="J34" s="95"/>
      <c r="K34" s="95"/>
      <c r="L34" s="95"/>
    </row>
    <row r="35" spans="1:22" x14ac:dyDescent="0.2">
      <c r="B35" s="136"/>
      <c r="C35" s="137">
        <v>0.7714044116166654</v>
      </c>
      <c r="E35" s="138"/>
      <c r="F35" s="139" t="s">
        <v>143</v>
      </c>
      <c r="G35" s="44"/>
      <c r="H35" s="138"/>
      <c r="I35" s="140">
        <v>0.78615251409300957</v>
      </c>
      <c r="K35" s="138"/>
      <c r="L35" s="140" t="s">
        <v>145</v>
      </c>
      <c r="M35" s="39"/>
      <c r="N35" s="132"/>
      <c r="O35" s="130"/>
      <c r="P35" s="39"/>
      <c r="Q35" s="39"/>
      <c r="R35" s="103"/>
      <c r="S35" s="39"/>
      <c r="T35" s="39"/>
    </row>
    <row r="36" spans="1:22" x14ac:dyDescent="0.2">
      <c r="B36" s="57" t="s">
        <v>140</v>
      </c>
      <c r="C36" s="59">
        <v>0.2285955883833346</v>
      </c>
      <c r="E36" s="57" t="s">
        <v>141</v>
      </c>
      <c r="F36" s="63">
        <v>0.22859560000000001</v>
      </c>
      <c r="G36" s="42"/>
      <c r="H36" s="57" t="s">
        <v>140</v>
      </c>
      <c r="I36" s="69">
        <v>0.21384748590699043</v>
      </c>
      <c r="K36" s="57" t="s">
        <v>141</v>
      </c>
      <c r="L36" s="69" t="s">
        <v>146</v>
      </c>
      <c r="M36" s="39"/>
      <c r="N36" s="134"/>
      <c r="O36" s="131"/>
      <c r="P36" s="39"/>
      <c r="Q36" s="39"/>
      <c r="R36" s="103"/>
      <c r="S36" s="39"/>
      <c r="T36" s="39"/>
    </row>
    <row r="37" spans="1:22" x14ac:dyDescent="0.2">
      <c r="B37" s="129"/>
      <c r="C37" s="129"/>
      <c r="D37" s="103"/>
      <c r="E37" s="103"/>
      <c r="F37" s="103"/>
      <c r="G37" s="103"/>
      <c r="H37" s="103"/>
      <c r="O37" s="47"/>
      <c r="P37" s="47"/>
      <c r="Q37" s="47"/>
      <c r="R37" s="47"/>
      <c r="S37" s="47"/>
      <c r="T37" s="47"/>
    </row>
    <row r="38" spans="1:22" x14ac:dyDescent="0.2">
      <c r="J38" s="103"/>
      <c r="K38" s="103"/>
      <c r="L38" s="103"/>
      <c r="M38" s="39"/>
      <c r="N38" s="132"/>
      <c r="O38" s="133"/>
      <c r="P38" s="39"/>
      <c r="Q38" s="39"/>
      <c r="R38" s="103"/>
      <c r="S38" s="39"/>
      <c r="T38" s="39"/>
    </row>
    <row r="39" spans="1:22" x14ac:dyDescent="0.2">
      <c r="B39" s="70" t="s">
        <v>171</v>
      </c>
      <c r="C39" s="70"/>
      <c r="D39" s="70"/>
      <c r="J39" s="39"/>
      <c r="K39" s="103"/>
      <c r="L39" s="103"/>
      <c r="M39" s="39"/>
      <c r="N39" s="134"/>
      <c r="O39" s="135"/>
      <c r="P39" s="39"/>
      <c r="Q39" s="39"/>
      <c r="R39" s="103"/>
      <c r="S39" s="39"/>
      <c r="T39" s="39"/>
    </row>
    <row r="40" spans="1:22" x14ac:dyDescent="0.2">
      <c r="B40" s="25" t="s">
        <v>241</v>
      </c>
      <c r="C40" s="25"/>
      <c r="D40" s="25"/>
      <c r="E40" s="25"/>
      <c r="F40" s="25"/>
      <c r="G40" s="25"/>
      <c r="H40" s="25"/>
      <c r="I40" s="25"/>
      <c r="J40" s="25"/>
      <c r="K40" s="25"/>
      <c r="L40" s="25"/>
      <c r="M40" s="25"/>
      <c r="N40" s="25"/>
      <c r="O40" s="25"/>
      <c r="P40" s="25"/>
    </row>
    <row r="42" spans="1:22" x14ac:dyDescent="0.2">
      <c r="B42" s="70" t="s">
        <v>172</v>
      </c>
      <c r="C42" s="70"/>
      <c r="D42" s="70"/>
    </row>
    <row r="43" spans="1:22" x14ac:dyDescent="0.2">
      <c r="B43" s="25" t="s">
        <v>242</v>
      </c>
      <c r="C43" s="25"/>
      <c r="D43" s="25"/>
      <c r="E43" s="25"/>
      <c r="F43" s="25"/>
      <c r="G43" s="25"/>
      <c r="H43" s="25"/>
      <c r="I43" s="25"/>
      <c r="J43" s="25"/>
      <c r="K43" s="25"/>
      <c r="L43" s="25"/>
      <c r="M43" s="25"/>
      <c r="N43" s="25"/>
      <c r="O43" s="25"/>
      <c r="P43" s="25"/>
    </row>
    <row r="45" spans="1:22" x14ac:dyDescent="0.2">
      <c r="B45" s="64" t="s">
        <v>175</v>
      </c>
      <c r="C45" s="64"/>
      <c r="D45" s="64"/>
    </row>
    <row r="46" spans="1:22" x14ac:dyDescent="0.2">
      <c r="B46" s="25" t="s">
        <v>243</v>
      </c>
      <c r="C46" s="25"/>
      <c r="D46" s="25"/>
      <c r="E46" s="25"/>
      <c r="F46" s="25"/>
      <c r="G46" s="25"/>
      <c r="H46" s="25"/>
      <c r="I46" s="25"/>
      <c r="J46" s="25"/>
      <c r="K46" s="25"/>
      <c r="L46" s="25"/>
      <c r="M46" s="25"/>
      <c r="N46" s="25"/>
      <c r="O46" s="25"/>
      <c r="P46" s="25"/>
      <c r="Q46" s="25"/>
      <c r="R46" s="25"/>
      <c r="S46" s="25"/>
      <c r="T46" s="25"/>
      <c r="U46" s="25"/>
      <c r="V46" s="25"/>
    </row>
    <row r="49" spans="1:12" x14ac:dyDescent="0.2">
      <c r="A49" s="102" t="s">
        <v>176</v>
      </c>
      <c r="B49" s="102"/>
      <c r="C49" s="102"/>
      <c r="D49" s="102"/>
      <c r="E49" s="102"/>
      <c r="F49" s="102"/>
      <c r="G49" s="102"/>
      <c r="H49" s="102"/>
      <c r="I49" s="102"/>
      <c r="J49" s="102"/>
      <c r="K49" s="102"/>
      <c r="L49" s="102"/>
    </row>
    <row r="51" spans="1:12" x14ac:dyDescent="0.2">
      <c r="B51" s="105" t="s">
        <v>177</v>
      </c>
      <c r="C51" s="106"/>
      <c r="D51" s="106"/>
    </row>
    <row r="52" spans="1:12" x14ac:dyDescent="0.2">
      <c r="B52" s="66" t="s">
        <v>178</v>
      </c>
      <c r="C52" s="26">
        <v>-6.5593537968225687E-2</v>
      </c>
    </row>
    <row r="53" spans="1:12" x14ac:dyDescent="0.2">
      <c r="B53" s="65" t="s">
        <v>179</v>
      </c>
      <c r="C53" s="35">
        <v>-4.0455979013707628E-2</v>
      </c>
    </row>
    <row r="54" spans="1:12" x14ac:dyDescent="0.2">
      <c r="B54" s="66" t="s">
        <v>134</v>
      </c>
      <c r="C54" s="25" t="s">
        <v>180</v>
      </c>
      <c r="D54" s="25"/>
      <c r="E54" s="25"/>
      <c r="F54" s="25"/>
      <c r="G54" s="25"/>
      <c r="H54" s="25"/>
    </row>
    <row r="57" spans="1:12" x14ac:dyDescent="0.2">
      <c r="A57" s="95" t="s">
        <v>181</v>
      </c>
      <c r="B57" s="95"/>
      <c r="C57" s="95"/>
      <c r="D57" s="95"/>
      <c r="E57" s="95"/>
      <c r="F57" s="95"/>
      <c r="G57" s="95"/>
      <c r="H57" s="95"/>
      <c r="I57" s="95"/>
      <c r="J57" s="95"/>
      <c r="K57" s="95"/>
      <c r="L57" s="95"/>
    </row>
    <row r="60" spans="1:12" x14ac:dyDescent="0.2">
      <c r="B60" s="64" t="s">
        <v>148</v>
      </c>
      <c r="C60" s="64"/>
    </row>
    <row r="62" spans="1:12" x14ac:dyDescent="0.2">
      <c r="B62" s="66" t="s">
        <v>150</v>
      </c>
      <c r="C62" s="26">
        <v>8.6283483634087013</v>
      </c>
    </row>
    <row r="63" spans="1:12" x14ac:dyDescent="0.2">
      <c r="B63" s="66" t="s">
        <v>151</v>
      </c>
      <c r="C63" s="26">
        <v>2.0452296421327048</v>
      </c>
    </row>
    <row r="64" spans="1:12" x14ac:dyDescent="0.2">
      <c r="B64" s="65" t="s">
        <v>152</v>
      </c>
      <c r="C64" s="77" t="s">
        <v>133</v>
      </c>
      <c r="D64" s="25"/>
    </row>
    <row r="65" spans="1:12" x14ac:dyDescent="0.2">
      <c r="B65" s="66" t="s">
        <v>134</v>
      </c>
      <c r="C65" s="77" t="s">
        <v>185</v>
      </c>
      <c r="D65" s="25"/>
      <c r="E65" s="25"/>
      <c r="F65" s="25"/>
    </row>
    <row r="67" spans="1:12" x14ac:dyDescent="0.2">
      <c r="B67" s="64" t="s">
        <v>153</v>
      </c>
      <c r="C67" s="64"/>
    </row>
    <row r="69" spans="1:12" x14ac:dyDescent="0.2">
      <c r="B69" s="66" t="s">
        <v>150</v>
      </c>
      <c r="C69" s="26">
        <v>1.3870900974422016</v>
      </c>
    </row>
    <row r="70" spans="1:12" x14ac:dyDescent="0.2">
      <c r="B70" s="66" t="s">
        <v>151</v>
      </c>
      <c r="C70" s="26">
        <v>2.0452296421327048</v>
      </c>
    </row>
    <row r="71" spans="1:12" x14ac:dyDescent="0.2">
      <c r="B71" s="65" t="s">
        <v>152</v>
      </c>
      <c r="C71" s="40" t="s">
        <v>186</v>
      </c>
      <c r="D71" s="38"/>
    </row>
    <row r="72" spans="1:12" x14ac:dyDescent="0.2">
      <c r="B72" s="66" t="s">
        <v>134</v>
      </c>
      <c r="C72" s="25" t="s">
        <v>244</v>
      </c>
      <c r="D72" s="25"/>
      <c r="E72" s="25"/>
      <c r="F72" s="25"/>
    </row>
    <row r="73" spans="1:12" x14ac:dyDescent="0.2">
      <c r="C73" s="96"/>
      <c r="D73" s="96"/>
      <c r="E73" s="96"/>
      <c r="F73" s="96"/>
    </row>
    <row r="75" spans="1:12" x14ac:dyDescent="0.2">
      <c r="A75" s="95" t="s">
        <v>182</v>
      </c>
      <c r="B75" s="95"/>
      <c r="C75" s="95"/>
      <c r="D75" s="95"/>
      <c r="E75" s="95"/>
      <c r="F75" s="95"/>
      <c r="G75" s="95"/>
      <c r="H75" s="95"/>
      <c r="I75" s="95"/>
      <c r="J75" s="95"/>
      <c r="K75" s="95"/>
      <c r="L75" s="95"/>
    </row>
    <row r="77" spans="1:12" x14ac:dyDescent="0.2">
      <c r="B77" s="66" t="s">
        <v>178</v>
      </c>
      <c r="C77" s="26">
        <v>14.790906097425646</v>
      </c>
    </row>
    <row r="78" spans="1:12" x14ac:dyDescent="0.2">
      <c r="B78" s="66" t="s">
        <v>179</v>
      </c>
      <c r="C78" s="35">
        <v>26.384694121111664</v>
      </c>
    </row>
    <row r="79" spans="1:12" x14ac:dyDescent="0.2">
      <c r="B79" s="66" t="s">
        <v>134</v>
      </c>
      <c r="C79" s="25" t="s">
        <v>263</v>
      </c>
      <c r="D79" s="25"/>
      <c r="E79" s="25"/>
      <c r="F79" s="25"/>
      <c r="G79" s="25"/>
      <c r="H79" s="25"/>
      <c r="I79" s="25"/>
      <c r="J79" s="25"/>
      <c r="K79" s="25"/>
      <c r="L79" s="25"/>
    </row>
    <row r="80" spans="1:12" x14ac:dyDescent="0.2">
      <c r="C80" s="6"/>
      <c r="D80" s="6"/>
      <c r="E80" s="6"/>
      <c r="F80" s="6"/>
    </row>
    <row r="82" spans="1:12" x14ac:dyDescent="0.2">
      <c r="A82" s="95" t="s">
        <v>262</v>
      </c>
      <c r="B82" s="95"/>
      <c r="C82" s="95"/>
      <c r="D82" s="95"/>
      <c r="E82" s="95"/>
      <c r="F82" s="95"/>
      <c r="G82" s="95"/>
      <c r="H82" s="95"/>
      <c r="I82" s="95"/>
      <c r="J82" s="95"/>
      <c r="K82" s="95"/>
      <c r="L82" s="95"/>
    </row>
    <row r="84" spans="1:12" x14ac:dyDescent="0.2">
      <c r="B84" s="57" t="s">
        <v>178</v>
      </c>
      <c r="C84" s="37">
        <v>13.989769382754968</v>
      </c>
    </row>
    <row r="85" spans="1:12" x14ac:dyDescent="0.2">
      <c r="B85" s="114" t="s">
        <v>179</v>
      </c>
      <c r="C85" s="40">
        <v>26.384694121111664</v>
      </c>
    </row>
    <row r="86" spans="1:12" x14ac:dyDescent="0.2">
      <c r="B86" s="57" t="s">
        <v>134</v>
      </c>
      <c r="C86" s="25" t="s">
        <v>264</v>
      </c>
      <c r="D86" s="25"/>
      <c r="E86" s="25"/>
      <c r="F86" s="25"/>
      <c r="G86" s="25"/>
      <c r="H86" s="25"/>
      <c r="I86" s="25"/>
      <c r="J86" s="25"/>
      <c r="K86" s="25"/>
      <c r="L86" s="25"/>
    </row>
    <row r="87" spans="1:12" x14ac:dyDescent="0.2">
      <c r="C87" s="6"/>
      <c r="D87" s="6"/>
      <c r="E87" s="6"/>
      <c r="F87" s="6"/>
    </row>
  </sheetData>
  <mergeCells count="32">
    <mergeCell ref="C87:F87"/>
    <mergeCell ref="C79:L79"/>
    <mergeCell ref="C86:L86"/>
    <mergeCell ref="B15:AC15"/>
    <mergeCell ref="B46:V46"/>
    <mergeCell ref="A82:L82"/>
    <mergeCell ref="C80:F80"/>
    <mergeCell ref="B67:C67"/>
    <mergeCell ref="C72:F72"/>
    <mergeCell ref="A75:L75"/>
    <mergeCell ref="C54:H54"/>
    <mergeCell ref="C64:D64"/>
    <mergeCell ref="C65:F65"/>
    <mergeCell ref="B43:P43"/>
    <mergeCell ref="B45:D45"/>
    <mergeCell ref="A49:L49"/>
    <mergeCell ref="A57:L57"/>
    <mergeCell ref="B60:C60"/>
    <mergeCell ref="A34:L34"/>
    <mergeCell ref="B39:D39"/>
    <mergeCell ref="B42:D42"/>
    <mergeCell ref="B40:P40"/>
    <mergeCell ref="A18:L18"/>
    <mergeCell ref="B20:F20"/>
    <mergeCell ref="C31:Q31"/>
    <mergeCell ref="B29:F29"/>
    <mergeCell ref="B2:F3"/>
    <mergeCell ref="A7:E7"/>
    <mergeCell ref="A9:L9"/>
    <mergeCell ref="B11:D11"/>
    <mergeCell ref="B12:D12"/>
    <mergeCell ref="B14:D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B796E-FD53-7647-92CE-A0C381A6D6D7}">
  <dimension ref="A2:V102"/>
  <sheetViews>
    <sheetView topLeftCell="A81" workbookViewId="0">
      <selection activeCell="E95" sqref="E95"/>
    </sheetView>
  </sheetViews>
  <sheetFormatPr baseColWidth="10" defaultRowHeight="16" x14ac:dyDescent="0.2"/>
  <cols>
    <col min="1" max="1" width="14.1640625" customWidth="1"/>
    <col min="2" max="2" width="14" customWidth="1"/>
    <col min="6" max="6" width="13" bestFit="1" customWidth="1"/>
    <col min="7" max="7" width="20" customWidth="1"/>
    <col min="11" max="11" width="19.6640625" customWidth="1"/>
  </cols>
  <sheetData>
    <row r="2" spans="1:7" x14ac:dyDescent="0.2">
      <c r="B2" s="82" t="s">
        <v>157</v>
      </c>
      <c r="C2" s="81"/>
      <c r="D2" s="81"/>
      <c r="E2" s="81"/>
      <c r="F2" s="81"/>
    </row>
    <row r="4" spans="1:7" x14ac:dyDescent="0.2">
      <c r="A4" s="82" t="s">
        <v>232</v>
      </c>
      <c r="B4" s="81"/>
      <c r="C4" s="81"/>
      <c r="D4" s="81"/>
      <c r="E4" s="33"/>
      <c r="F4" s="33"/>
    </row>
    <row r="6" spans="1:7" x14ac:dyDescent="0.2">
      <c r="B6" s="57" t="s">
        <v>5</v>
      </c>
      <c r="C6" s="57" t="s">
        <v>117</v>
      </c>
      <c r="D6" s="57"/>
      <c r="E6" s="57"/>
      <c r="F6" s="57" t="s">
        <v>86</v>
      </c>
      <c r="G6" s="68" t="s">
        <v>159</v>
      </c>
    </row>
    <row r="7" spans="1:7" x14ac:dyDescent="0.2">
      <c r="B7" s="37" t="s">
        <v>18</v>
      </c>
      <c r="C7" s="37">
        <v>18.899999999999999</v>
      </c>
      <c r="D7" s="37">
        <v>350</v>
      </c>
      <c r="E7" s="37">
        <v>4</v>
      </c>
      <c r="F7" s="37">
        <v>0.83062579465516251</v>
      </c>
      <c r="G7" s="37">
        <f>F7/SQRT($B$42)</f>
        <v>0.274961569733847</v>
      </c>
    </row>
    <row r="8" spans="1:7" x14ac:dyDescent="0.2">
      <c r="B8" s="37" t="s">
        <v>19</v>
      </c>
      <c r="C8" s="37">
        <v>17</v>
      </c>
      <c r="D8" s="37">
        <v>350</v>
      </c>
      <c r="E8" s="37">
        <v>4</v>
      </c>
      <c r="F8" s="37">
        <v>-1.0693742053448361</v>
      </c>
      <c r="G8" s="37">
        <f t="shared" ref="G8:G38" si="0">F8/SQRT($B$42)</f>
        <v>-0.35399431612471399</v>
      </c>
    </row>
    <row r="9" spans="1:7" x14ac:dyDescent="0.2">
      <c r="B9" s="37" t="s">
        <v>20</v>
      </c>
      <c r="C9" s="37">
        <v>20</v>
      </c>
      <c r="D9" s="37">
        <v>250</v>
      </c>
      <c r="E9" s="37">
        <v>1</v>
      </c>
      <c r="F9" s="37">
        <v>-0.58335104409047034</v>
      </c>
      <c r="G9" s="37">
        <f t="shared" si="0"/>
        <v>-0.19310635405391502</v>
      </c>
    </row>
    <row r="10" spans="1:7" x14ac:dyDescent="0.2">
      <c r="B10" s="37" t="s">
        <v>21</v>
      </c>
      <c r="C10" s="37">
        <v>18.25</v>
      </c>
      <c r="D10" s="37">
        <v>351</v>
      </c>
      <c r="E10" s="37">
        <v>2</v>
      </c>
      <c r="F10" s="37">
        <v>2.0926498933801518</v>
      </c>
      <c r="G10" s="37">
        <f t="shared" si="0"/>
        <v>0.69272866709617775</v>
      </c>
    </row>
    <row r="11" spans="1:7" x14ac:dyDescent="0.2">
      <c r="B11" s="37" t="s">
        <v>22</v>
      </c>
      <c r="C11" s="37">
        <v>20.07</v>
      </c>
      <c r="D11" s="37">
        <v>225</v>
      </c>
      <c r="E11" s="37">
        <v>1</v>
      </c>
      <c r="F11" s="37">
        <v>-1.8389700063646366</v>
      </c>
      <c r="G11" s="37">
        <f t="shared" si="0"/>
        <v>-0.6087531628528392</v>
      </c>
    </row>
    <row r="12" spans="1:7" x14ac:dyDescent="0.2">
      <c r="B12" s="37" t="s">
        <v>23</v>
      </c>
      <c r="C12" s="37">
        <v>11.2</v>
      </c>
      <c r="D12" s="37">
        <v>440</v>
      </c>
      <c r="E12" s="37">
        <v>4</v>
      </c>
      <c r="F12" s="37">
        <v>-2.0971459411578373</v>
      </c>
      <c r="G12" s="37">
        <f t="shared" si="0"/>
        <v>-0.69421699115558644</v>
      </c>
    </row>
    <row r="13" spans="1:7" x14ac:dyDescent="0.2">
      <c r="B13" s="37" t="s">
        <v>24</v>
      </c>
      <c r="C13" s="37">
        <v>22.12</v>
      </c>
      <c r="D13" s="37">
        <v>231</v>
      </c>
      <c r="E13" s="37">
        <v>2</v>
      </c>
      <c r="F13" s="37">
        <v>-0.40032112553584653</v>
      </c>
      <c r="G13" s="37">
        <f t="shared" si="0"/>
        <v>-0.13251806744173408</v>
      </c>
    </row>
    <row r="14" spans="1:7" x14ac:dyDescent="0.2">
      <c r="B14" s="37" t="s">
        <v>25</v>
      </c>
      <c r="C14" s="37">
        <v>21.47</v>
      </c>
      <c r="D14" s="37">
        <v>262</v>
      </c>
      <c r="E14" s="37">
        <v>2</v>
      </c>
      <c r="F14" s="37">
        <v>0.59344638768411784</v>
      </c>
      <c r="G14" s="37">
        <f t="shared" si="0"/>
        <v>0.19644820972390928</v>
      </c>
    </row>
    <row r="15" spans="1:7" x14ac:dyDescent="0.2">
      <c r="B15" s="37" t="s">
        <v>26</v>
      </c>
      <c r="C15" s="37">
        <v>34.700000000000003</v>
      </c>
      <c r="D15" s="37">
        <v>89.7</v>
      </c>
      <c r="E15" s="37">
        <v>2</v>
      </c>
      <c r="F15" s="37">
        <v>4.6872804996905657</v>
      </c>
      <c r="G15" s="37">
        <f t="shared" si="0"/>
        <v>1.5516277152370739</v>
      </c>
    </row>
    <row r="16" spans="1:7" x14ac:dyDescent="0.2">
      <c r="B16" s="37" t="s">
        <v>27</v>
      </c>
      <c r="C16" s="37">
        <v>30.4</v>
      </c>
      <c r="D16" s="37">
        <v>96.9</v>
      </c>
      <c r="E16" s="37">
        <v>2</v>
      </c>
      <c r="F16" s="37">
        <v>0.76905876082552282</v>
      </c>
      <c r="G16" s="37">
        <f t="shared" si="0"/>
        <v>0.25458107062752855</v>
      </c>
    </row>
    <row r="17" spans="2:7" x14ac:dyDescent="0.2">
      <c r="B17" s="37" t="s">
        <v>28</v>
      </c>
      <c r="C17" s="37">
        <v>16.5</v>
      </c>
      <c r="D17" s="37">
        <v>350</v>
      </c>
      <c r="E17" s="37">
        <v>4</v>
      </c>
      <c r="F17" s="37">
        <v>-1.5693742053448361</v>
      </c>
      <c r="G17" s="37">
        <f t="shared" si="0"/>
        <v>-0.51950902292959855</v>
      </c>
    </row>
    <row r="18" spans="2:7" x14ac:dyDescent="0.2">
      <c r="B18" s="83" t="s">
        <v>29</v>
      </c>
      <c r="C18" s="37">
        <v>36.5</v>
      </c>
      <c r="D18" s="37">
        <v>85.3</v>
      </c>
      <c r="E18" s="37">
        <v>2</v>
      </c>
      <c r="F18" s="83">
        <v>6.2539715623303103</v>
      </c>
      <c r="G18" s="83">
        <f t="shared" si="0"/>
        <v>2.0702485390103749</v>
      </c>
    </row>
    <row r="19" spans="2:7" x14ac:dyDescent="0.2">
      <c r="B19" s="37" t="s">
        <v>30</v>
      </c>
      <c r="C19" s="37">
        <v>21.5</v>
      </c>
      <c r="D19" s="37">
        <v>171</v>
      </c>
      <c r="E19" s="37">
        <v>2</v>
      </c>
      <c r="F19" s="37">
        <v>-4.2018066349938472</v>
      </c>
      <c r="G19" s="37">
        <f t="shared" si="0"/>
        <v>-1.3909215864836508</v>
      </c>
    </row>
    <row r="20" spans="2:7" x14ac:dyDescent="0.2">
      <c r="B20" s="37" t="s">
        <v>31</v>
      </c>
      <c r="C20" s="37">
        <v>19.7</v>
      </c>
      <c r="D20" s="37">
        <v>258</v>
      </c>
      <c r="E20" s="37">
        <v>1</v>
      </c>
      <c r="F20" s="37">
        <v>-0.45915297616273776</v>
      </c>
      <c r="G20" s="37">
        <f t="shared" si="0"/>
        <v>-0.15199314045633142</v>
      </c>
    </row>
    <row r="21" spans="2:7" x14ac:dyDescent="0.2">
      <c r="B21" s="37" t="s">
        <v>32</v>
      </c>
      <c r="C21" s="37">
        <v>20.3</v>
      </c>
      <c r="D21" s="37">
        <v>140</v>
      </c>
      <c r="E21" s="37">
        <v>2</v>
      </c>
      <c r="F21" s="37">
        <v>-7.045574148213813</v>
      </c>
      <c r="G21" s="37">
        <f t="shared" si="0"/>
        <v>-2.3322922788273677</v>
      </c>
    </row>
    <row r="22" spans="2:7" x14ac:dyDescent="0.2">
      <c r="B22" s="37" t="s">
        <v>33</v>
      </c>
      <c r="C22" s="37">
        <v>17.8</v>
      </c>
      <c r="D22" s="37">
        <v>302</v>
      </c>
      <c r="E22" s="37">
        <v>2</v>
      </c>
      <c r="F22" s="37">
        <v>-0.95556327267721386</v>
      </c>
      <c r="G22" s="37">
        <f t="shared" si="0"/>
        <v>-0.31631954982137012</v>
      </c>
    </row>
    <row r="23" spans="2:7" x14ac:dyDescent="0.2">
      <c r="B23" s="37" t="s">
        <v>34</v>
      </c>
      <c r="C23" s="37">
        <v>14.39</v>
      </c>
      <c r="D23" s="37">
        <v>500</v>
      </c>
      <c r="E23" s="37">
        <v>4</v>
      </c>
      <c r="F23" s="37">
        <v>4.2743395683001637</v>
      </c>
      <c r="G23" s="37">
        <f t="shared" si="0"/>
        <v>1.4149321208634371</v>
      </c>
    </row>
    <row r="24" spans="2:7" x14ac:dyDescent="0.2">
      <c r="B24" s="37" t="s">
        <v>35</v>
      </c>
      <c r="C24" s="37">
        <v>14.89</v>
      </c>
      <c r="D24" s="37">
        <v>440</v>
      </c>
      <c r="E24" s="37">
        <v>4</v>
      </c>
      <c r="F24" s="37">
        <v>1.592854058842164</v>
      </c>
      <c r="G24" s="37">
        <f t="shared" si="0"/>
        <v>0.52728154506446234</v>
      </c>
    </row>
    <row r="25" spans="2:7" x14ac:dyDescent="0.2">
      <c r="B25" s="37" t="s">
        <v>36</v>
      </c>
      <c r="C25" s="37">
        <v>17.8</v>
      </c>
      <c r="D25" s="37">
        <v>350</v>
      </c>
      <c r="E25" s="37">
        <v>4</v>
      </c>
      <c r="F25" s="37">
        <v>-0.26937420534483536</v>
      </c>
      <c r="G25" s="37">
        <f t="shared" si="0"/>
        <v>-8.9170785236898406E-2</v>
      </c>
    </row>
    <row r="26" spans="2:7" x14ac:dyDescent="0.2">
      <c r="B26" s="37" t="s">
        <v>37</v>
      </c>
      <c r="C26" s="37">
        <v>16.41</v>
      </c>
      <c r="D26" s="37">
        <v>318</v>
      </c>
      <c r="E26" s="37">
        <v>2</v>
      </c>
      <c r="F26" s="37">
        <v>-1.4971671368217478</v>
      </c>
      <c r="G26" s="37">
        <f t="shared" si="0"/>
        <v>-0.4956063593779203</v>
      </c>
    </row>
    <row r="27" spans="2:7" x14ac:dyDescent="0.2">
      <c r="B27" s="37" t="s">
        <v>38</v>
      </c>
      <c r="C27" s="37">
        <v>23.54</v>
      </c>
      <c r="D27" s="37">
        <v>231</v>
      </c>
      <c r="E27" s="37">
        <v>2</v>
      </c>
      <c r="F27" s="37">
        <v>1.0196788744641516</v>
      </c>
      <c r="G27" s="37">
        <f t="shared" si="0"/>
        <v>0.33754369988413757</v>
      </c>
    </row>
    <row r="28" spans="2:7" x14ac:dyDescent="0.2">
      <c r="B28" s="37" t="s">
        <v>39</v>
      </c>
      <c r="C28" s="37">
        <v>21.47</v>
      </c>
      <c r="D28" s="37">
        <v>360</v>
      </c>
      <c r="E28" s="37">
        <v>2</v>
      </c>
      <c r="F28" s="37">
        <v>5.7898727197988507</v>
      </c>
      <c r="G28" s="37">
        <f t="shared" si="0"/>
        <v>1.9166181713102131</v>
      </c>
    </row>
    <row r="29" spans="2:7" x14ac:dyDescent="0.2">
      <c r="B29" s="37" t="s">
        <v>40</v>
      </c>
      <c r="C29" s="37">
        <v>16.59</v>
      </c>
      <c r="D29" s="37">
        <v>400</v>
      </c>
      <c r="E29" s="37">
        <v>4</v>
      </c>
      <c r="F29" s="37">
        <v>1.1718637192034969</v>
      </c>
      <c r="G29" s="37">
        <f t="shared" si="0"/>
        <v>0.38792135979849679</v>
      </c>
    </row>
    <row r="30" spans="2:7" x14ac:dyDescent="0.2">
      <c r="B30" s="37" t="s">
        <v>41</v>
      </c>
      <c r="C30" s="37">
        <v>31.9</v>
      </c>
      <c r="D30" s="37">
        <v>96.9</v>
      </c>
      <c r="E30" s="37">
        <v>2</v>
      </c>
      <c r="F30" s="37">
        <v>2.2690587608255228</v>
      </c>
      <c r="G30" s="37">
        <f t="shared" si="0"/>
        <v>0.75112519104218234</v>
      </c>
    </row>
    <row r="31" spans="2:7" x14ac:dyDescent="0.2">
      <c r="B31" s="37" t="s">
        <v>42</v>
      </c>
      <c r="C31" s="37">
        <v>29.4</v>
      </c>
      <c r="D31" s="37">
        <v>140</v>
      </c>
      <c r="E31" s="37">
        <v>2</v>
      </c>
      <c r="F31" s="37">
        <v>2.0544258517861849</v>
      </c>
      <c r="G31" s="37">
        <f t="shared" si="0"/>
        <v>0.68007538502153142</v>
      </c>
    </row>
    <row r="32" spans="2:7" x14ac:dyDescent="0.2">
      <c r="B32" s="37" t="s">
        <v>43</v>
      </c>
      <c r="C32" s="37">
        <v>13.27</v>
      </c>
      <c r="D32" s="37">
        <v>460</v>
      </c>
      <c r="E32" s="37">
        <v>4</v>
      </c>
      <c r="F32" s="37">
        <v>1.0333492286614963</v>
      </c>
      <c r="G32" s="37">
        <f t="shared" si="0"/>
        <v>0.34206898921792239</v>
      </c>
    </row>
    <row r="33" spans="1:18" x14ac:dyDescent="0.2">
      <c r="B33" s="37" t="s">
        <v>44</v>
      </c>
      <c r="C33" s="37">
        <v>23.9</v>
      </c>
      <c r="D33" s="37">
        <v>133.6</v>
      </c>
      <c r="E33" s="37">
        <v>2</v>
      </c>
      <c r="F33" s="37">
        <v>-3.7849326025560011</v>
      </c>
      <c r="G33" s="37">
        <f t="shared" si="0"/>
        <v>-1.2529240199766107</v>
      </c>
    </row>
    <row r="34" spans="1:18" x14ac:dyDescent="0.2">
      <c r="B34" s="37" t="s">
        <v>45</v>
      </c>
      <c r="C34" s="37">
        <v>19.73</v>
      </c>
      <c r="D34" s="37">
        <v>318</v>
      </c>
      <c r="E34" s="37">
        <v>2</v>
      </c>
      <c r="F34" s="37">
        <v>1.8228328631782524</v>
      </c>
      <c r="G34" s="37">
        <f t="shared" si="0"/>
        <v>0.60341129380651359</v>
      </c>
    </row>
    <row r="35" spans="1:18" x14ac:dyDescent="0.2">
      <c r="B35" s="37" t="s">
        <v>46</v>
      </c>
      <c r="C35" s="37">
        <v>13.9</v>
      </c>
      <c r="D35" s="37">
        <v>351</v>
      </c>
      <c r="E35" s="37">
        <v>2</v>
      </c>
      <c r="F35" s="37">
        <v>-2.2573501066198478</v>
      </c>
      <c r="G35" s="37">
        <f t="shared" si="0"/>
        <v>-0.74724928210631825</v>
      </c>
    </row>
    <row r="36" spans="1:18" x14ac:dyDescent="0.2">
      <c r="B36" s="37" t="s">
        <v>47</v>
      </c>
      <c r="C36" s="37">
        <v>13.27</v>
      </c>
      <c r="D36" s="37">
        <v>351</v>
      </c>
      <c r="E36" s="37">
        <v>2</v>
      </c>
      <c r="F36" s="37">
        <v>-2.8873501066198486</v>
      </c>
      <c r="G36" s="37">
        <f t="shared" si="0"/>
        <v>-0.95579781268047304</v>
      </c>
    </row>
    <row r="37" spans="1:18" x14ac:dyDescent="0.2">
      <c r="B37" s="37" t="s">
        <v>48</v>
      </c>
      <c r="C37" s="37">
        <v>13.77</v>
      </c>
      <c r="D37" s="37">
        <v>360</v>
      </c>
      <c r="E37" s="37">
        <v>4</v>
      </c>
      <c r="F37" s="37">
        <v>-3.7691266204351699</v>
      </c>
      <c r="G37" s="37">
        <f t="shared" si="0"/>
        <v>-1.2476917749836254</v>
      </c>
    </row>
    <row r="38" spans="1:18" x14ac:dyDescent="0.2">
      <c r="B38" s="40" t="s">
        <v>49</v>
      </c>
      <c r="C38" s="40">
        <v>16.5</v>
      </c>
      <c r="D38" s="40">
        <v>350</v>
      </c>
      <c r="E38" s="40">
        <v>4</v>
      </c>
      <c r="F38" s="40">
        <v>-1.5693742053448361</v>
      </c>
      <c r="G38" s="37">
        <f t="shared" si="0"/>
        <v>-0.51950902292959855</v>
      </c>
    </row>
    <row r="39" spans="1:18" x14ac:dyDescent="0.2">
      <c r="A39" s="57" t="s">
        <v>118</v>
      </c>
      <c r="B39" s="37"/>
      <c r="C39" s="60">
        <f>SUM(C7:C38)</f>
        <v>647.14</v>
      </c>
      <c r="D39" s="60">
        <f>SUM(D7:D38)</f>
        <v>9111.4</v>
      </c>
      <c r="E39" s="60">
        <f>SUM(E7:E38)</f>
        <v>83</v>
      </c>
      <c r="F39" s="60">
        <f>SUM(F7:F38)</f>
        <v>-2.2470914018413168E-12</v>
      </c>
    </row>
    <row r="40" spans="1:18" x14ac:dyDescent="0.2">
      <c r="A40" s="57" t="s">
        <v>158</v>
      </c>
      <c r="B40" s="37"/>
      <c r="C40" s="60">
        <f>AVERAGE(C7:C38)</f>
        <v>20.223125</v>
      </c>
      <c r="D40" s="60">
        <f>AVERAGE(D7:D38)</f>
        <v>284.73124999999999</v>
      </c>
      <c r="E40" s="60">
        <f>AVERAGE(E7:E38)</f>
        <v>2.59375</v>
      </c>
      <c r="F40" s="37"/>
    </row>
    <row r="42" spans="1:18" x14ac:dyDescent="0.2">
      <c r="A42" s="57" t="s">
        <v>113</v>
      </c>
      <c r="B42" s="60">
        <v>9.1257135107222034</v>
      </c>
    </row>
    <row r="44" spans="1:18" x14ac:dyDescent="0.2">
      <c r="A44" s="93" t="s">
        <v>159</v>
      </c>
      <c r="B44" s="64"/>
      <c r="C44" s="64"/>
      <c r="D44" s="64"/>
      <c r="G44" s="94" t="s">
        <v>134</v>
      </c>
      <c r="H44" s="90" t="s">
        <v>245</v>
      </c>
      <c r="I44" s="84"/>
      <c r="J44" s="84"/>
      <c r="K44" s="84"/>
      <c r="L44" s="84"/>
      <c r="M44" s="84"/>
      <c r="N44" s="84"/>
      <c r="O44" s="84"/>
      <c r="P44" s="84"/>
      <c r="Q44" s="84"/>
      <c r="R44" s="79"/>
    </row>
    <row r="45" spans="1:18" x14ac:dyDescent="0.2">
      <c r="A45" s="50" t="s">
        <v>160</v>
      </c>
      <c r="B45" s="50"/>
      <c r="C45" s="50"/>
      <c r="D45" s="27">
        <f>F18/SQRT($B$42)</f>
        <v>2.0702485390103749</v>
      </c>
      <c r="G45" s="92"/>
      <c r="H45" s="29"/>
      <c r="I45" s="6"/>
      <c r="J45" s="6"/>
      <c r="K45" s="6"/>
      <c r="L45" s="6"/>
      <c r="M45" s="6"/>
      <c r="N45" s="6"/>
      <c r="O45" s="6"/>
      <c r="P45" s="6"/>
      <c r="Q45" s="6"/>
      <c r="R45" s="91"/>
    </row>
    <row r="46" spans="1:18" x14ac:dyDescent="0.2">
      <c r="A46" s="50"/>
      <c r="B46" s="50"/>
      <c r="C46" s="50"/>
      <c r="D46" s="27"/>
      <c r="G46" s="92"/>
      <c r="H46" s="30" t="s">
        <v>162</v>
      </c>
      <c r="I46" s="85"/>
      <c r="J46" s="85"/>
      <c r="K46" s="85"/>
      <c r="L46" s="85"/>
      <c r="M46" s="85"/>
      <c r="N46" s="85"/>
      <c r="O46" s="85"/>
      <c r="P46" s="85"/>
      <c r="Q46" s="85"/>
      <c r="R46" s="86"/>
    </row>
    <row r="47" spans="1:18" x14ac:dyDescent="0.2">
      <c r="A47" s="50"/>
      <c r="B47" s="50"/>
      <c r="C47" s="50"/>
      <c r="D47" s="27"/>
      <c r="G47" s="92"/>
      <c r="H47" s="87"/>
      <c r="I47" s="28"/>
      <c r="J47" s="28"/>
      <c r="K47" s="28"/>
      <c r="L47" s="28"/>
      <c r="M47" s="28"/>
      <c r="N47" s="28"/>
      <c r="O47" s="28"/>
      <c r="P47" s="28"/>
      <c r="Q47" s="28"/>
      <c r="R47" s="88"/>
    </row>
    <row r="48" spans="1:18" x14ac:dyDescent="0.2">
      <c r="A48" s="89"/>
      <c r="B48" s="89"/>
      <c r="C48" s="89"/>
    </row>
    <row r="49" spans="1:18" x14ac:dyDescent="0.2">
      <c r="A49" s="71" t="s">
        <v>233</v>
      </c>
      <c r="B49" s="71"/>
      <c r="C49" s="71"/>
      <c r="D49" s="71"/>
      <c r="E49" s="103"/>
      <c r="F49" s="103"/>
      <c r="G49" s="127"/>
      <c r="H49" s="33"/>
      <c r="I49" s="33"/>
      <c r="J49" s="33"/>
      <c r="K49" s="33"/>
      <c r="L49" s="33"/>
      <c r="M49" s="33"/>
      <c r="N49" s="33"/>
      <c r="O49" s="33"/>
      <c r="P49" s="33"/>
      <c r="Q49" s="33"/>
      <c r="R49" s="33"/>
    </row>
    <row r="50" spans="1:18" x14ac:dyDescent="0.2">
      <c r="A50" s="126"/>
      <c r="B50" s="126"/>
      <c r="C50" s="126"/>
      <c r="D50" s="126"/>
      <c r="E50" s="103"/>
      <c r="F50" s="103"/>
      <c r="G50" s="126"/>
      <c r="H50" s="33"/>
      <c r="I50" s="33"/>
      <c r="J50" s="33"/>
      <c r="K50" s="33"/>
      <c r="L50" s="33"/>
      <c r="M50" s="33"/>
      <c r="N50" s="33"/>
      <c r="O50" s="33"/>
      <c r="P50" s="33"/>
      <c r="Q50" s="33"/>
      <c r="R50" s="33"/>
    </row>
    <row r="51" spans="1:18" x14ac:dyDescent="0.2">
      <c r="A51" s="126"/>
      <c r="B51" s="36" t="s">
        <v>5</v>
      </c>
      <c r="C51" s="36" t="s">
        <v>117</v>
      </c>
      <c r="D51" s="36"/>
      <c r="E51" s="41"/>
      <c r="F51" s="41" t="s">
        <v>86</v>
      </c>
      <c r="G51" s="36"/>
      <c r="H51" s="36"/>
      <c r="I51" s="36" t="s">
        <v>235</v>
      </c>
      <c r="J51" s="36" t="s">
        <v>236</v>
      </c>
      <c r="K51" s="36" t="s">
        <v>233</v>
      </c>
      <c r="L51" s="126"/>
      <c r="M51" s="126"/>
      <c r="N51" s="126"/>
      <c r="O51" s="126"/>
      <c r="P51" s="126"/>
      <c r="Q51" s="126"/>
      <c r="R51" s="126"/>
    </row>
    <row r="52" spans="1:18" x14ac:dyDescent="0.2">
      <c r="A52" s="126"/>
      <c r="B52" s="36" t="s">
        <v>18</v>
      </c>
      <c r="C52" s="36">
        <v>18.899999999999999</v>
      </c>
      <c r="D52" s="36">
        <v>350</v>
      </c>
      <c r="E52" s="41">
        <v>4</v>
      </c>
      <c r="F52" s="41">
        <v>0.83062579465516251</v>
      </c>
      <c r="G52" s="36">
        <f>(D52-$D$85)^2</f>
        <v>4260.0097265625018</v>
      </c>
      <c r="H52" s="36">
        <f>(E52-$E$85)^2</f>
        <v>1.9775390625</v>
      </c>
      <c r="I52" s="36">
        <f>(1/$B$87)+(G52/$G$84)+(H52/$H$84)</f>
        <v>9.6644781203299099E-2</v>
      </c>
      <c r="J52" s="36">
        <f>(F52/(1-I52))^2</f>
        <v>0.84546125859270382</v>
      </c>
      <c r="K52" s="36">
        <f>F52/SQRT($B$42*(1-I52))</f>
        <v>0.28929619364897402</v>
      </c>
      <c r="L52" s="126"/>
      <c r="M52" s="126"/>
      <c r="N52" s="126"/>
      <c r="O52" s="126"/>
      <c r="P52" s="126"/>
      <c r="Q52" s="126"/>
      <c r="R52" s="126"/>
    </row>
    <row r="53" spans="1:18" x14ac:dyDescent="0.2">
      <c r="B53" s="37" t="s">
        <v>19</v>
      </c>
      <c r="C53" s="37">
        <v>17</v>
      </c>
      <c r="D53" s="37">
        <v>350</v>
      </c>
      <c r="E53" s="37">
        <v>4</v>
      </c>
      <c r="F53" s="37">
        <v>-1.0693742053448361</v>
      </c>
      <c r="G53" s="36">
        <f t="shared" ref="G53:G83" si="1">(D53-$D$85)^2</f>
        <v>4260.0097265625018</v>
      </c>
      <c r="H53" s="36">
        <f t="shared" ref="H53:H83" si="2">(E53-$E$85)^2</f>
        <v>1.9775390625</v>
      </c>
      <c r="I53" s="36">
        <f t="shared" ref="I53:I83" si="3">(1/$B$87)+(G53/$G$84)+(H53/$H$84)</f>
        <v>9.6644781203299099E-2</v>
      </c>
      <c r="J53" s="36">
        <f t="shared" ref="J53:J83" si="4">(F53/(1-I53))^2</f>
        <v>1.4013360435372448</v>
      </c>
      <c r="K53" s="36">
        <f t="shared" ref="K53:K83" si="5">F53/SQRT($B$42*(1-I53))</f>
        <v>-0.37244916926892674</v>
      </c>
    </row>
    <row r="54" spans="1:18" x14ac:dyDescent="0.2">
      <c r="B54" s="37" t="s">
        <v>20</v>
      </c>
      <c r="C54" s="37">
        <v>20</v>
      </c>
      <c r="D54" s="37">
        <v>250</v>
      </c>
      <c r="E54" s="37">
        <v>1</v>
      </c>
      <c r="F54" s="37">
        <v>-0.58335104409047034</v>
      </c>
      <c r="G54" s="36">
        <f t="shared" si="1"/>
        <v>1206.2597265624993</v>
      </c>
      <c r="H54" s="36">
        <f t="shared" si="2"/>
        <v>2.5400390625</v>
      </c>
      <c r="I54" s="36">
        <f t="shared" si="3"/>
        <v>0.1052024607824362</v>
      </c>
      <c r="J54" s="36">
        <f t="shared" si="4"/>
        <v>0.4250210079252027</v>
      </c>
      <c r="K54" s="36">
        <f t="shared" si="5"/>
        <v>-0.20414285005077817</v>
      </c>
    </row>
    <row r="55" spans="1:18" x14ac:dyDescent="0.2">
      <c r="B55" s="37" t="s">
        <v>21</v>
      </c>
      <c r="C55" s="37">
        <v>18.25</v>
      </c>
      <c r="D55" s="37">
        <v>351</v>
      </c>
      <c r="E55" s="37">
        <v>2</v>
      </c>
      <c r="F55" s="37">
        <v>2.0926498933801518</v>
      </c>
      <c r="G55" s="36">
        <f t="shared" si="1"/>
        <v>4391.5472265625012</v>
      </c>
      <c r="H55" s="36">
        <f t="shared" si="2"/>
        <v>0.3525390625</v>
      </c>
      <c r="I55" s="36">
        <f t="shared" si="3"/>
        <v>5.1460185852547927E-2</v>
      </c>
      <c r="J55" s="36">
        <f t="shared" si="4"/>
        <v>4.8672317098176245</v>
      </c>
      <c r="K55" s="36">
        <f t="shared" si="5"/>
        <v>0.71127145204950259</v>
      </c>
    </row>
    <row r="56" spans="1:18" x14ac:dyDescent="0.2">
      <c r="B56" s="37" t="s">
        <v>22</v>
      </c>
      <c r="C56" s="37">
        <v>20.07</v>
      </c>
      <c r="D56" s="37">
        <v>225</v>
      </c>
      <c r="E56" s="37">
        <v>1</v>
      </c>
      <c r="F56" s="37">
        <v>-1.8389700063646366</v>
      </c>
      <c r="G56" s="36">
        <f t="shared" si="1"/>
        <v>3567.8222265624986</v>
      </c>
      <c r="H56" s="36">
        <f t="shared" si="2"/>
        <v>2.5400390625</v>
      </c>
      <c r="I56" s="36">
        <f t="shared" si="3"/>
        <v>0.11076298978736956</v>
      </c>
      <c r="J56" s="36">
        <f t="shared" si="4"/>
        <v>4.2767536258130194</v>
      </c>
      <c r="K56" s="36">
        <f t="shared" si="5"/>
        <v>-0.64555383543853706</v>
      </c>
    </row>
    <row r="57" spans="1:18" x14ac:dyDescent="0.2">
      <c r="B57" s="37" t="s">
        <v>23</v>
      </c>
      <c r="C57" s="37">
        <v>11.2</v>
      </c>
      <c r="D57" s="37">
        <v>440</v>
      </c>
      <c r="E57" s="37">
        <v>4</v>
      </c>
      <c r="F57" s="37">
        <v>-2.0971459411578373</v>
      </c>
      <c r="G57" s="36">
        <f t="shared" si="1"/>
        <v>24108.384726562505</v>
      </c>
      <c r="H57" s="36">
        <f t="shared" si="2"/>
        <v>1.9775390625</v>
      </c>
      <c r="I57" s="36">
        <f t="shared" si="3"/>
        <v>0.14337971406588251</v>
      </c>
      <c r="J57" s="36">
        <f t="shared" si="4"/>
        <v>5.9935012291040461</v>
      </c>
      <c r="K57" s="36">
        <f t="shared" si="5"/>
        <v>-0.75006873206706814</v>
      </c>
    </row>
    <row r="58" spans="1:18" x14ac:dyDescent="0.2">
      <c r="B58" s="37" t="s">
        <v>24</v>
      </c>
      <c r="C58" s="37">
        <v>22.12</v>
      </c>
      <c r="D58" s="37">
        <v>231</v>
      </c>
      <c r="E58" s="37">
        <v>2</v>
      </c>
      <c r="F58" s="37">
        <v>-0.40032112553584653</v>
      </c>
      <c r="G58" s="36">
        <f t="shared" si="1"/>
        <v>2887.047226562499</v>
      </c>
      <c r="H58" s="36">
        <f t="shared" si="2"/>
        <v>0.3525390625</v>
      </c>
      <c r="I58" s="36">
        <f t="shared" si="3"/>
        <v>4.7917694011691589E-2</v>
      </c>
      <c r="J58" s="36">
        <f t="shared" si="4"/>
        <v>0.17679420682916336</v>
      </c>
      <c r="K58" s="36">
        <f t="shared" si="5"/>
        <v>-0.13581190679856631</v>
      </c>
    </row>
    <row r="59" spans="1:18" x14ac:dyDescent="0.2">
      <c r="B59" s="37" t="s">
        <v>25</v>
      </c>
      <c r="C59" s="37">
        <v>21.47</v>
      </c>
      <c r="D59" s="37">
        <v>262</v>
      </c>
      <c r="E59" s="37">
        <v>2</v>
      </c>
      <c r="F59" s="37">
        <v>0.59344638768411784</v>
      </c>
      <c r="G59" s="36">
        <f t="shared" si="1"/>
        <v>516.70972656249944</v>
      </c>
      <c r="H59" s="36">
        <f t="shared" si="2"/>
        <v>0.3525390625</v>
      </c>
      <c r="I59" s="36">
        <f t="shared" si="3"/>
        <v>4.2336503414266674E-2</v>
      </c>
      <c r="J59" s="36">
        <f t="shared" si="4"/>
        <v>0.3840052075459644</v>
      </c>
      <c r="K59" s="36">
        <f t="shared" si="5"/>
        <v>0.20074355390903087</v>
      </c>
    </row>
    <row r="60" spans="1:18" x14ac:dyDescent="0.2">
      <c r="B60" s="37" t="s">
        <v>26</v>
      </c>
      <c r="C60" s="37">
        <v>34.700000000000003</v>
      </c>
      <c r="D60" s="37">
        <v>89.7</v>
      </c>
      <c r="E60" s="37">
        <v>2</v>
      </c>
      <c r="F60" s="37">
        <v>4.6872804996905657</v>
      </c>
      <c r="G60" s="36">
        <f t="shared" si="1"/>
        <v>38037.1884765625</v>
      </c>
      <c r="H60" s="36">
        <f t="shared" si="2"/>
        <v>0.3525390625</v>
      </c>
      <c r="I60" s="36">
        <f t="shared" si="3"/>
        <v>0.13068212643646557</v>
      </c>
      <c r="J60" s="36">
        <f t="shared" si="4"/>
        <v>29.072653306341177</v>
      </c>
      <c r="K60" s="36">
        <f t="shared" si="5"/>
        <v>1.6641720506932989</v>
      </c>
    </row>
    <row r="61" spans="1:18" x14ac:dyDescent="0.2">
      <c r="B61" s="37" t="s">
        <v>27</v>
      </c>
      <c r="C61" s="37">
        <v>30.4</v>
      </c>
      <c r="D61" s="37">
        <v>96.9</v>
      </c>
      <c r="E61" s="37">
        <v>2</v>
      </c>
      <c r="F61" s="37">
        <v>0.76905876082552282</v>
      </c>
      <c r="G61" s="36">
        <f t="shared" si="1"/>
        <v>35280.578476562492</v>
      </c>
      <c r="H61" s="36">
        <f t="shared" si="2"/>
        <v>0.3525390625</v>
      </c>
      <c r="I61" s="36">
        <f t="shared" si="3"/>
        <v>0.12419141960135557</v>
      </c>
      <c r="J61" s="36">
        <f t="shared" si="4"/>
        <v>0.77108216176870459</v>
      </c>
      <c r="K61" s="36">
        <f t="shared" si="5"/>
        <v>0.2720329497169679</v>
      </c>
    </row>
    <row r="62" spans="1:18" x14ac:dyDescent="0.2">
      <c r="B62" s="37" t="s">
        <v>28</v>
      </c>
      <c r="C62" s="37">
        <v>16.5</v>
      </c>
      <c r="D62" s="37">
        <v>350</v>
      </c>
      <c r="E62" s="37">
        <v>4</v>
      </c>
      <c r="F62" s="37">
        <v>-1.5693742053448361</v>
      </c>
      <c r="G62" s="36">
        <f t="shared" si="1"/>
        <v>4260.0097265625018</v>
      </c>
      <c r="H62" s="36">
        <f t="shared" si="2"/>
        <v>1.9775390625</v>
      </c>
      <c r="I62" s="36">
        <f t="shared" si="3"/>
        <v>9.6644781203299099E-2</v>
      </c>
      <c r="J62" s="36">
        <f t="shared" si="4"/>
        <v>3.0181158392508913</v>
      </c>
      <c r="K62" s="36">
        <f t="shared" si="5"/>
        <v>-0.54659268582626919</v>
      </c>
    </row>
    <row r="63" spans="1:18" x14ac:dyDescent="0.2">
      <c r="B63" s="83" t="s">
        <v>29</v>
      </c>
      <c r="C63" s="37">
        <v>36.5</v>
      </c>
      <c r="D63" s="37">
        <v>85.3</v>
      </c>
      <c r="E63" s="37">
        <v>2</v>
      </c>
      <c r="F63" s="83">
        <v>6.2539715623303103</v>
      </c>
      <c r="G63" s="36">
        <f t="shared" si="1"/>
        <v>39772.823476562487</v>
      </c>
      <c r="H63" s="36">
        <f t="shared" si="2"/>
        <v>0.3525390625</v>
      </c>
      <c r="I63" s="36">
        <f t="shared" si="3"/>
        <v>0.13476884815544504</v>
      </c>
      <c r="J63" s="36">
        <f t="shared" si="4"/>
        <v>52.245333935277309</v>
      </c>
      <c r="K63" s="54">
        <f t="shared" si="5"/>
        <v>2.2256476620217454</v>
      </c>
    </row>
    <row r="64" spans="1:18" x14ac:dyDescent="0.2">
      <c r="B64" s="37" t="s">
        <v>30</v>
      </c>
      <c r="C64" s="37">
        <v>21.5</v>
      </c>
      <c r="D64" s="37">
        <v>171</v>
      </c>
      <c r="E64" s="37">
        <v>2</v>
      </c>
      <c r="F64" s="37">
        <v>-4.2018066349938472</v>
      </c>
      <c r="G64" s="36">
        <f t="shared" si="1"/>
        <v>12934.797226562498</v>
      </c>
      <c r="H64" s="36">
        <f t="shared" si="2"/>
        <v>0.3525390625</v>
      </c>
      <c r="I64" s="36">
        <f t="shared" si="3"/>
        <v>7.1576100388537164E-2</v>
      </c>
      <c r="J64" s="36">
        <f t="shared" si="4"/>
        <v>20.482336738349748</v>
      </c>
      <c r="K64" s="36">
        <f t="shared" si="5"/>
        <v>-1.4435422233447486</v>
      </c>
    </row>
    <row r="65" spans="2:11" x14ac:dyDescent="0.2">
      <c r="B65" s="37" t="s">
        <v>31</v>
      </c>
      <c r="C65" s="37">
        <v>19.7</v>
      </c>
      <c r="D65" s="37">
        <v>258</v>
      </c>
      <c r="E65" s="37">
        <v>1</v>
      </c>
      <c r="F65" s="37">
        <v>-0.45915297616273776</v>
      </c>
      <c r="G65" s="36">
        <f t="shared" si="1"/>
        <v>714.55972656249935</v>
      </c>
      <c r="H65" s="36">
        <f t="shared" si="2"/>
        <v>2.5400390625</v>
      </c>
      <c r="I65" s="36">
        <f t="shared" si="3"/>
        <v>0.10404470522367976</v>
      </c>
      <c r="J65" s="36">
        <f t="shared" si="4"/>
        <v>0.2626286653966185</v>
      </c>
      <c r="K65" s="36">
        <f t="shared" si="5"/>
        <v>-0.16057606764179327</v>
      </c>
    </row>
    <row r="66" spans="2:11" x14ac:dyDescent="0.2">
      <c r="B66" s="37" t="s">
        <v>32</v>
      </c>
      <c r="C66" s="37">
        <v>20.3</v>
      </c>
      <c r="D66" s="37">
        <v>140</v>
      </c>
      <c r="E66" s="37">
        <v>2</v>
      </c>
      <c r="F66" s="37">
        <v>-7.045574148213813</v>
      </c>
      <c r="G66" s="36">
        <f t="shared" si="1"/>
        <v>20947.134726562497</v>
      </c>
      <c r="H66" s="36">
        <f t="shared" si="2"/>
        <v>0.3525390625</v>
      </c>
      <c r="I66" s="36">
        <f t="shared" si="3"/>
        <v>9.0441929713852676E-2</v>
      </c>
      <c r="J66" s="36">
        <f t="shared" si="4"/>
        <v>60.002855187203387</v>
      </c>
      <c r="K66" s="36">
        <f t="shared" si="5"/>
        <v>-2.4455005156361063</v>
      </c>
    </row>
    <row r="67" spans="2:11" x14ac:dyDescent="0.2">
      <c r="B67" s="37" t="s">
        <v>33</v>
      </c>
      <c r="C67" s="37">
        <v>17.8</v>
      </c>
      <c r="D67" s="37">
        <v>302</v>
      </c>
      <c r="E67" s="37">
        <v>2</v>
      </c>
      <c r="F67" s="37">
        <v>-0.95556327267721386</v>
      </c>
      <c r="G67" s="36">
        <f t="shared" si="1"/>
        <v>298.20972656250041</v>
      </c>
      <c r="H67" s="36">
        <f t="shared" si="2"/>
        <v>0.3525390625</v>
      </c>
      <c r="I67" s="36">
        <f t="shared" si="3"/>
        <v>4.1822023874733869E-2</v>
      </c>
      <c r="J67" s="36">
        <f t="shared" si="4"/>
        <v>0.99454978934109961</v>
      </c>
      <c r="K67" s="36">
        <f t="shared" si="5"/>
        <v>-0.3231490933239603</v>
      </c>
    </row>
    <row r="68" spans="2:11" x14ac:dyDescent="0.2">
      <c r="B68" s="37" t="s">
        <v>34</v>
      </c>
      <c r="C68" s="37">
        <v>14.39</v>
      </c>
      <c r="D68" s="37">
        <v>500</v>
      </c>
      <c r="E68" s="37">
        <v>4</v>
      </c>
      <c r="F68" s="37">
        <v>4.2743395683001637</v>
      </c>
      <c r="G68" s="36">
        <f t="shared" si="1"/>
        <v>46340.634726562508</v>
      </c>
      <c r="H68" s="36">
        <f t="shared" si="2"/>
        <v>1.9775390625</v>
      </c>
      <c r="I68" s="36">
        <f t="shared" si="3"/>
        <v>0.19572771288866619</v>
      </c>
      <c r="J68" s="36">
        <f t="shared" si="4"/>
        <v>28.244366172053521</v>
      </c>
      <c r="K68" s="36">
        <f t="shared" si="5"/>
        <v>1.5777349769397364</v>
      </c>
    </row>
    <row r="69" spans="2:11" x14ac:dyDescent="0.2">
      <c r="B69" s="37" t="s">
        <v>35</v>
      </c>
      <c r="C69" s="37">
        <v>14.89</v>
      </c>
      <c r="D69" s="37">
        <v>440</v>
      </c>
      <c r="E69" s="37">
        <v>4</v>
      </c>
      <c r="F69" s="37">
        <v>1.592854058842164</v>
      </c>
      <c r="G69" s="36">
        <f t="shared" si="1"/>
        <v>24108.384726562505</v>
      </c>
      <c r="H69" s="36">
        <f t="shared" si="2"/>
        <v>1.9775390625</v>
      </c>
      <c r="I69" s="36">
        <f t="shared" si="3"/>
        <v>0.14337971406588251</v>
      </c>
      <c r="J69" s="36">
        <f t="shared" si="4"/>
        <v>3.4576040901384437</v>
      </c>
      <c r="K69" s="36">
        <f t="shared" si="5"/>
        <v>0.56970285226024953</v>
      </c>
    </row>
    <row r="70" spans="2:11" x14ac:dyDescent="0.2">
      <c r="B70" s="37" t="s">
        <v>36</v>
      </c>
      <c r="C70" s="37">
        <v>17.8</v>
      </c>
      <c r="D70" s="37">
        <v>350</v>
      </c>
      <c r="E70" s="37">
        <v>4</v>
      </c>
      <c r="F70" s="37">
        <v>-0.26937420534483536</v>
      </c>
      <c r="G70" s="36">
        <f t="shared" si="1"/>
        <v>4260.0097265625018</v>
      </c>
      <c r="H70" s="36">
        <f t="shared" si="2"/>
        <v>1.9775390625</v>
      </c>
      <c r="I70" s="36">
        <f t="shared" si="3"/>
        <v>9.6644781203299099E-2</v>
      </c>
      <c r="J70" s="36">
        <f t="shared" si="4"/>
        <v>8.8919066956377038E-2</v>
      </c>
      <c r="K70" s="36">
        <f t="shared" si="5"/>
        <v>-9.3819542777178591E-2</v>
      </c>
    </row>
    <row r="71" spans="2:11" x14ac:dyDescent="0.2">
      <c r="B71" s="37" t="s">
        <v>37</v>
      </c>
      <c r="C71" s="37">
        <v>16.41</v>
      </c>
      <c r="D71" s="37">
        <v>318</v>
      </c>
      <c r="E71" s="37">
        <v>2</v>
      </c>
      <c r="F71" s="37">
        <v>-1.4971671368217478</v>
      </c>
      <c r="G71" s="36">
        <f t="shared" si="1"/>
        <v>1106.8097265625008</v>
      </c>
      <c r="H71" s="36">
        <f t="shared" si="2"/>
        <v>0.3525390625</v>
      </c>
      <c r="I71" s="36">
        <f t="shared" si="3"/>
        <v>4.3725951360620505E-2</v>
      </c>
      <c r="J71" s="36">
        <f t="shared" si="4"/>
        <v>2.4511835378964788</v>
      </c>
      <c r="K71" s="36">
        <f t="shared" si="5"/>
        <v>-0.50681059503188219</v>
      </c>
    </row>
    <row r="72" spans="2:11" x14ac:dyDescent="0.2">
      <c r="B72" s="37" t="s">
        <v>38</v>
      </c>
      <c r="C72" s="37">
        <v>23.54</v>
      </c>
      <c r="D72" s="37">
        <v>231</v>
      </c>
      <c r="E72" s="37">
        <v>2</v>
      </c>
      <c r="F72" s="37">
        <v>1.0196788744641516</v>
      </c>
      <c r="G72" s="36">
        <f t="shared" si="1"/>
        <v>2887.047226562499</v>
      </c>
      <c r="H72" s="36">
        <f t="shared" si="2"/>
        <v>0.3525390625</v>
      </c>
      <c r="I72" s="36">
        <f t="shared" si="3"/>
        <v>4.7917694011691589E-2</v>
      </c>
      <c r="J72" s="36">
        <f t="shared" si="4"/>
        <v>1.1470381309388562</v>
      </c>
      <c r="K72" s="36">
        <f t="shared" si="5"/>
        <v>0.34593361036798903</v>
      </c>
    </row>
    <row r="73" spans="2:11" x14ac:dyDescent="0.2">
      <c r="B73" s="37" t="s">
        <v>39</v>
      </c>
      <c r="C73" s="37">
        <v>21.47</v>
      </c>
      <c r="D73" s="37">
        <v>360</v>
      </c>
      <c r="E73" s="37">
        <v>2</v>
      </c>
      <c r="F73" s="37">
        <v>5.7898727197988507</v>
      </c>
      <c r="G73" s="36">
        <f t="shared" si="1"/>
        <v>5665.3847265625018</v>
      </c>
      <c r="H73" s="36">
        <f t="shared" si="2"/>
        <v>0.3525390625</v>
      </c>
      <c r="I73" s="36">
        <f t="shared" si="3"/>
        <v>5.4459560362569076E-2</v>
      </c>
      <c r="J73" s="36">
        <f t="shared" si="4"/>
        <v>37.495385027942667</v>
      </c>
      <c r="K73" s="36">
        <f t="shared" si="5"/>
        <v>1.9710404971849893</v>
      </c>
    </row>
    <row r="74" spans="2:11" x14ac:dyDescent="0.2">
      <c r="B74" s="37" t="s">
        <v>40</v>
      </c>
      <c r="C74" s="37">
        <v>16.59</v>
      </c>
      <c r="D74" s="37">
        <v>400</v>
      </c>
      <c r="E74" s="37">
        <v>4</v>
      </c>
      <c r="F74" s="37">
        <v>1.1718637192034969</v>
      </c>
      <c r="G74" s="36">
        <f t="shared" si="1"/>
        <v>13286.884726562503</v>
      </c>
      <c r="H74" s="36">
        <f t="shared" si="2"/>
        <v>1.9775390625</v>
      </c>
      <c r="I74" s="36">
        <f t="shared" si="3"/>
        <v>0.11789943792375771</v>
      </c>
      <c r="J74" s="36">
        <f t="shared" si="4"/>
        <v>1.7648915341043718</v>
      </c>
      <c r="K74" s="36">
        <f t="shared" si="5"/>
        <v>0.41303289756368544</v>
      </c>
    </row>
    <row r="75" spans="2:11" x14ac:dyDescent="0.2">
      <c r="B75" s="37" t="s">
        <v>41</v>
      </c>
      <c r="C75" s="37">
        <v>31.9</v>
      </c>
      <c r="D75" s="37">
        <v>96.9</v>
      </c>
      <c r="E75" s="37">
        <v>2</v>
      </c>
      <c r="F75" s="37">
        <v>2.2690587608255228</v>
      </c>
      <c r="G75" s="36">
        <f t="shared" si="1"/>
        <v>35280.578476562492</v>
      </c>
      <c r="H75" s="36">
        <f t="shared" si="2"/>
        <v>0.3525390625</v>
      </c>
      <c r="I75" s="36">
        <f t="shared" si="3"/>
        <v>0.12419141960135557</v>
      </c>
      <c r="J75" s="36">
        <f t="shared" si="4"/>
        <v>6.7123268228214901</v>
      </c>
      <c r="K75" s="36">
        <f t="shared" si="5"/>
        <v>0.802615845798203</v>
      </c>
    </row>
    <row r="76" spans="2:11" x14ac:dyDescent="0.2">
      <c r="B76" s="37" t="s">
        <v>42</v>
      </c>
      <c r="C76" s="37">
        <v>29.4</v>
      </c>
      <c r="D76" s="37">
        <v>140</v>
      </c>
      <c r="E76" s="37">
        <v>2</v>
      </c>
      <c r="F76" s="37">
        <v>2.0544258517861849</v>
      </c>
      <c r="G76" s="36">
        <f t="shared" si="1"/>
        <v>20947.134726562497</v>
      </c>
      <c r="H76" s="36">
        <f t="shared" si="2"/>
        <v>0.3525390625</v>
      </c>
      <c r="I76" s="36">
        <f t="shared" si="3"/>
        <v>9.0441929713852676E-2</v>
      </c>
      <c r="J76" s="36">
        <f t="shared" si="4"/>
        <v>5.1017606470446237</v>
      </c>
      <c r="K76" s="36">
        <f t="shared" si="5"/>
        <v>0.71308588543532203</v>
      </c>
    </row>
    <row r="77" spans="2:11" x14ac:dyDescent="0.2">
      <c r="B77" s="37" t="s">
        <v>43</v>
      </c>
      <c r="C77" s="37">
        <v>13.27</v>
      </c>
      <c r="D77" s="37">
        <v>460</v>
      </c>
      <c r="E77" s="37">
        <v>4</v>
      </c>
      <c r="F77" s="37">
        <v>1.0333492286614963</v>
      </c>
      <c r="G77" s="36">
        <f t="shared" si="1"/>
        <v>30719.134726562505</v>
      </c>
      <c r="H77" s="36">
        <f t="shared" si="2"/>
        <v>1.9775390625</v>
      </c>
      <c r="I77" s="36">
        <f t="shared" si="3"/>
        <v>0.15894536905886419</v>
      </c>
      <c r="J77" s="36">
        <f t="shared" si="4"/>
        <v>1.5095441740957223</v>
      </c>
      <c r="K77" s="36">
        <f t="shared" si="5"/>
        <v>0.37299378987898607</v>
      </c>
    </row>
    <row r="78" spans="2:11" x14ac:dyDescent="0.2">
      <c r="B78" s="37" t="s">
        <v>44</v>
      </c>
      <c r="C78" s="37">
        <v>23.9</v>
      </c>
      <c r="D78" s="37">
        <v>133.6</v>
      </c>
      <c r="E78" s="37">
        <v>2</v>
      </c>
      <c r="F78" s="37">
        <v>-3.7849326025560011</v>
      </c>
      <c r="G78" s="36">
        <f t="shared" si="1"/>
        <v>22840.654726562498</v>
      </c>
      <c r="H78" s="36">
        <f t="shared" si="2"/>
        <v>0.3525390625</v>
      </c>
      <c r="I78" s="36">
        <f t="shared" si="3"/>
        <v>9.4900407048846544E-2</v>
      </c>
      <c r="J78" s="36">
        <f t="shared" si="4"/>
        <v>17.487332266094139</v>
      </c>
      <c r="K78" s="36">
        <f t="shared" si="5"/>
        <v>-1.316972026909468</v>
      </c>
    </row>
    <row r="79" spans="2:11" x14ac:dyDescent="0.2">
      <c r="B79" s="37" t="s">
        <v>45</v>
      </c>
      <c r="C79" s="37">
        <v>19.73</v>
      </c>
      <c r="D79" s="37">
        <v>318</v>
      </c>
      <c r="E79" s="37">
        <v>2</v>
      </c>
      <c r="F79" s="37">
        <v>1.8228328631782524</v>
      </c>
      <c r="G79" s="36">
        <f t="shared" si="1"/>
        <v>1106.8097265625008</v>
      </c>
      <c r="H79" s="36">
        <f t="shared" si="2"/>
        <v>0.3525390625</v>
      </c>
      <c r="I79" s="36">
        <f t="shared" si="3"/>
        <v>4.3725951360620505E-2</v>
      </c>
      <c r="J79" s="36">
        <f t="shared" si="4"/>
        <v>3.6335317490511501</v>
      </c>
      <c r="K79" s="36">
        <f t="shared" si="5"/>
        <v>0.61705268924896961</v>
      </c>
    </row>
    <row r="80" spans="2:11" x14ac:dyDescent="0.2">
      <c r="B80" s="37" t="s">
        <v>46</v>
      </c>
      <c r="C80" s="37">
        <v>13.9</v>
      </c>
      <c r="D80" s="37">
        <v>351</v>
      </c>
      <c r="E80" s="37">
        <v>2</v>
      </c>
      <c r="F80" s="37">
        <v>-2.2573501066198478</v>
      </c>
      <c r="G80" s="36">
        <f t="shared" si="1"/>
        <v>4391.5472265625012</v>
      </c>
      <c r="H80" s="36">
        <f t="shared" si="2"/>
        <v>0.3525390625</v>
      </c>
      <c r="I80" s="36">
        <f t="shared" si="3"/>
        <v>5.1460185852547927E-2</v>
      </c>
      <c r="J80" s="36">
        <f t="shared" si="4"/>
        <v>5.6635235930923065</v>
      </c>
      <c r="K80" s="36">
        <f t="shared" si="5"/>
        <v>-0.76725146102971498</v>
      </c>
    </row>
    <row r="81" spans="1:18" x14ac:dyDescent="0.2">
      <c r="B81" s="37" t="s">
        <v>47</v>
      </c>
      <c r="C81" s="37">
        <v>13.27</v>
      </c>
      <c r="D81" s="37">
        <v>351</v>
      </c>
      <c r="E81" s="37">
        <v>2</v>
      </c>
      <c r="F81" s="37">
        <v>-2.8873501066198486</v>
      </c>
      <c r="G81" s="36">
        <f t="shared" si="1"/>
        <v>4391.5472265625012</v>
      </c>
      <c r="H81" s="36">
        <f t="shared" si="2"/>
        <v>0.3525390625</v>
      </c>
      <c r="I81" s="36">
        <f t="shared" si="3"/>
        <v>5.1460185852547927E-2</v>
      </c>
      <c r="J81" s="36">
        <f t="shared" si="4"/>
        <v>9.2659033460671019</v>
      </c>
      <c r="K81" s="36">
        <f t="shared" si="5"/>
        <v>-0.98138236568256743</v>
      </c>
    </row>
    <row r="82" spans="1:18" x14ac:dyDescent="0.2">
      <c r="B82" s="37" t="s">
        <v>48</v>
      </c>
      <c r="C82" s="37">
        <v>13.77</v>
      </c>
      <c r="D82" s="37">
        <v>360</v>
      </c>
      <c r="E82" s="37">
        <v>4</v>
      </c>
      <c r="F82" s="37">
        <v>-3.7691266204351699</v>
      </c>
      <c r="G82" s="36">
        <f t="shared" si="1"/>
        <v>5665.3847265625018</v>
      </c>
      <c r="H82" s="36">
        <f t="shared" si="2"/>
        <v>1.9775390625</v>
      </c>
      <c r="I82" s="36">
        <f t="shared" si="3"/>
        <v>9.9953873573417729E-2</v>
      </c>
      <c r="J82" s="36">
        <f t="shared" si="4"/>
        <v>17.536863457333631</v>
      </c>
      <c r="K82" s="36">
        <f t="shared" si="5"/>
        <v>-1.3151489076342493</v>
      </c>
    </row>
    <row r="83" spans="1:18" x14ac:dyDescent="0.2">
      <c r="B83" s="40" t="s">
        <v>49</v>
      </c>
      <c r="C83" s="40">
        <v>16.5</v>
      </c>
      <c r="D83" s="40">
        <v>350</v>
      </c>
      <c r="E83" s="40">
        <v>4</v>
      </c>
      <c r="F83" s="40">
        <v>-1.5693742053448361</v>
      </c>
      <c r="G83" s="128">
        <f t="shared" si="1"/>
        <v>4260.0097265625018</v>
      </c>
      <c r="H83" s="128">
        <f t="shared" si="2"/>
        <v>1.9775390625</v>
      </c>
      <c r="I83" s="36">
        <f t="shared" si="3"/>
        <v>9.6644781203299099E-2</v>
      </c>
      <c r="J83" s="36">
        <f t="shared" si="4"/>
        <v>3.0181158392508913</v>
      </c>
      <c r="K83" s="36">
        <f t="shared" si="5"/>
        <v>-0.54659268582626919</v>
      </c>
    </row>
    <row r="84" spans="1:18" x14ac:dyDescent="0.2">
      <c r="A84" s="66" t="s">
        <v>118</v>
      </c>
      <c r="B84" s="26"/>
      <c r="C84" s="59">
        <f>SUM(C52:C83)</f>
        <v>647.14</v>
      </c>
      <c r="D84" s="59">
        <f>SUM(D52:D83)</f>
        <v>9111.4</v>
      </c>
      <c r="E84" s="59">
        <f>SUM(E52:E83)</f>
        <v>83</v>
      </c>
      <c r="F84" s="26"/>
      <c r="G84" s="58">
        <f>SUM(G52:G83)</f>
        <v>424701.0487499999</v>
      </c>
      <c r="H84" s="58">
        <f>SUM(H52:H83)</f>
        <v>35.71875</v>
      </c>
      <c r="I84" s="37"/>
      <c r="J84" s="37">
        <f>SUM(J52:J83)</f>
        <v>329.79794936697562</v>
      </c>
      <c r="K84" s="26"/>
    </row>
    <row r="85" spans="1:18" x14ac:dyDescent="0.2">
      <c r="A85" s="66" t="s">
        <v>158</v>
      </c>
      <c r="B85" s="26"/>
      <c r="C85" s="59">
        <f>AVERAGE(C52:C83)</f>
        <v>20.223125</v>
      </c>
      <c r="D85" s="59">
        <f>AVERAGE(D52:D83)</f>
        <v>284.73124999999999</v>
      </c>
      <c r="E85" s="59">
        <f>AVERAGE(E52:E83)</f>
        <v>2.59375</v>
      </c>
      <c r="F85" s="26"/>
      <c r="G85" s="26"/>
      <c r="H85" s="26"/>
      <c r="I85" s="37"/>
      <c r="J85" s="37"/>
      <c r="K85" s="26"/>
    </row>
    <row r="86" spans="1:18" x14ac:dyDescent="0.2">
      <c r="C86" s="39"/>
    </row>
    <row r="87" spans="1:18" x14ac:dyDescent="0.2">
      <c r="A87" s="57" t="s">
        <v>114</v>
      </c>
      <c r="B87" s="57">
        <v>32</v>
      </c>
    </row>
    <row r="90" spans="1:18" x14ac:dyDescent="0.2">
      <c r="A90" s="93" t="s">
        <v>237</v>
      </c>
      <c r="B90" s="64"/>
      <c r="C90" s="64"/>
      <c r="D90" s="64"/>
      <c r="G90" s="94" t="s">
        <v>134</v>
      </c>
      <c r="H90" s="90" t="s">
        <v>246</v>
      </c>
      <c r="I90" s="84"/>
      <c r="J90" s="84"/>
      <c r="K90" s="84"/>
      <c r="L90" s="84"/>
      <c r="M90" s="84"/>
      <c r="N90" s="84"/>
      <c r="O90" s="84"/>
      <c r="P90" s="84"/>
      <c r="Q90" s="84"/>
      <c r="R90" s="79"/>
    </row>
    <row r="91" spans="1:18" x14ac:dyDescent="0.2">
      <c r="A91" s="50" t="s">
        <v>238</v>
      </c>
      <c r="B91" s="50"/>
      <c r="C91" s="50"/>
      <c r="D91" s="27">
        <v>2.2256476620217454</v>
      </c>
      <c r="G91" s="92"/>
      <c r="H91" s="29"/>
      <c r="I91" s="6"/>
      <c r="J91" s="6"/>
      <c r="K91" s="6"/>
      <c r="L91" s="6"/>
      <c r="M91" s="6"/>
      <c r="N91" s="6"/>
      <c r="O91" s="6"/>
      <c r="P91" s="6"/>
      <c r="Q91" s="6"/>
      <c r="R91" s="91"/>
    </row>
    <row r="92" spans="1:18" x14ac:dyDescent="0.2">
      <c r="A92" s="50"/>
      <c r="B92" s="50"/>
      <c r="C92" s="50"/>
      <c r="D92" s="27"/>
      <c r="G92" s="92"/>
      <c r="H92" s="30" t="s">
        <v>247</v>
      </c>
      <c r="I92" s="85"/>
      <c r="J92" s="85"/>
      <c r="K92" s="85"/>
      <c r="L92" s="85"/>
      <c r="M92" s="85"/>
      <c r="N92" s="85"/>
      <c r="O92" s="85"/>
      <c r="P92" s="85"/>
      <c r="Q92" s="85"/>
      <c r="R92" s="86"/>
    </row>
    <row r="93" spans="1:18" x14ac:dyDescent="0.2">
      <c r="A93" s="50"/>
      <c r="B93" s="50"/>
      <c r="C93" s="50"/>
      <c r="D93" s="27"/>
      <c r="G93" s="92"/>
      <c r="H93" s="87"/>
      <c r="I93" s="28"/>
      <c r="J93" s="28"/>
      <c r="K93" s="28"/>
      <c r="L93" s="28"/>
      <c r="M93" s="28"/>
      <c r="N93" s="28"/>
      <c r="O93" s="28"/>
      <c r="P93" s="28"/>
      <c r="Q93" s="28"/>
      <c r="R93" s="88"/>
    </row>
    <row r="96" spans="1:18" x14ac:dyDescent="0.2">
      <c r="A96" s="80" t="s">
        <v>248</v>
      </c>
      <c r="B96" s="80"/>
      <c r="C96" s="80"/>
    </row>
    <row r="97" spans="1:22" x14ac:dyDescent="0.2">
      <c r="A97" s="57" t="s">
        <v>249</v>
      </c>
      <c r="B97" s="37">
        <v>329.79794936697562</v>
      </c>
      <c r="E97" s="57" t="s">
        <v>137</v>
      </c>
      <c r="F97" s="37">
        <v>1237.544087500039</v>
      </c>
    </row>
    <row r="98" spans="1:22" x14ac:dyDescent="0.2">
      <c r="A98" s="57" t="s">
        <v>250</v>
      </c>
      <c r="B98" s="37">
        <f>1-(B97/F97)</f>
        <v>0.73350610075379219</v>
      </c>
      <c r="E98" s="57" t="s">
        <v>113</v>
      </c>
      <c r="F98" s="37">
        <v>9.1257135107222034</v>
      </c>
    </row>
    <row r="99" spans="1:22" x14ac:dyDescent="0.2">
      <c r="A99" s="57" t="s">
        <v>254</v>
      </c>
      <c r="B99" s="37">
        <v>0.78615251409300957</v>
      </c>
    </row>
    <row r="101" spans="1:22" x14ac:dyDescent="0.2">
      <c r="A101" s="115" t="s">
        <v>252</v>
      </c>
      <c r="B101" s="142" t="s">
        <v>253</v>
      </c>
      <c r="C101" s="27"/>
      <c r="D101" s="27"/>
      <c r="E101" s="27"/>
      <c r="F101" s="27"/>
      <c r="G101" s="27"/>
      <c r="H101" s="27"/>
      <c r="I101" s="27"/>
      <c r="J101" s="27"/>
      <c r="K101" s="27"/>
      <c r="L101" s="27"/>
      <c r="M101" s="27"/>
      <c r="N101" s="27"/>
      <c r="O101" s="27"/>
      <c r="P101" s="27"/>
      <c r="Q101" s="27"/>
      <c r="R101" s="27"/>
      <c r="S101" s="27"/>
      <c r="T101" s="27"/>
      <c r="U101" s="27"/>
      <c r="V101" s="27"/>
    </row>
    <row r="102" spans="1:22" x14ac:dyDescent="0.2">
      <c r="A102" s="115"/>
      <c r="B102" s="27"/>
      <c r="C102" s="27"/>
      <c r="D102" s="27"/>
      <c r="E102" s="27"/>
      <c r="F102" s="27"/>
      <c r="G102" s="27"/>
      <c r="H102" s="27"/>
      <c r="I102" s="27"/>
      <c r="J102" s="27"/>
      <c r="K102" s="27"/>
      <c r="L102" s="27"/>
      <c r="M102" s="27"/>
      <c r="N102" s="27"/>
      <c r="O102" s="27"/>
      <c r="P102" s="27"/>
      <c r="Q102" s="27"/>
      <c r="R102" s="27"/>
      <c r="S102" s="27"/>
      <c r="T102" s="27"/>
      <c r="U102" s="27"/>
      <c r="V102" s="27"/>
    </row>
  </sheetData>
  <mergeCells count="18">
    <mergeCell ref="A96:C96"/>
    <mergeCell ref="B101:V102"/>
    <mergeCell ref="A101:A102"/>
    <mergeCell ref="A90:D90"/>
    <mergeCell ref="A91:C93"/>
    <mergeCell ref="D91:D93"/>
    <mergeCell ref="G90:G93"/>
    <mergeCell ref="H90:R91"/>
    <mergeCell ref="H92:R93"/>
    <mergeCell ref="G44:G47"/>
    <mergeCell ref="H44:R45"/>
    <mergeCell ref="H46:R47"/>
    <mergeCell ref="A49:D49"/>
    <mergeCell ref="B2:F2"/>
    <mergeCell ref="A44:D44"/>
    <mergeCell ref="A45:C47"/>
    <mergeCell ref="D45:D47"/>
    <mergeCell ref="A4: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91552-7C94-1549-ACB2-CA9BBA332286}">
  <dimension ref="A2:Y26"/>
  <sheetViews>
    <sheetView topLeftCell="A12" zoomScale="117" workbookViewId="0">
      <selection activeCell="C26" sqref="C26:Y26"/>
    </sheetView>
  </sheetViews>
  <sheetFormatPr baseColWidth="10" defaultRowHeight="16" x14ac:dyDescent="0.2"/>
  <cols>
    <col min="2" max="2" width="13.1640625" customWidth="1"/>
  </cols>
  <sheetData>
    <row r="2" spans="1:19" x14ac:dyDescent="0.2">
      <c r="B2" s="27" t="s">
        <v>187</v>
      </c>
      <c r="C2" s="27"/>
      <c r="D2" s="27"/>
      <c r="E2" s="27"/>
      <c r="F2" s="27"/>
    </row>
    <row r="3" spans="1:19" x14ac:dyDescent="0.2">
      <c r="B3" s="27"/>
      <c r="C3" s="27"/>
      <c r="D3" s="27"/>
      <c r="E3" s="27"/>
      <c r="F3" s="27"/>
    </row>
    <row r="6" spans="1:19" x14ac:dyDescent="0.2">
      <c r="A6" s="95" t="s">
        <v>188</v>
      </c>
      <c r="B6" s="95"/>
      <c r="C6" s="95"/>
      <c r="D6" s="95"/>
      <c r="E6" s="95"/>
    </row>
    <row r="8" spans="1:19" x14ac:dyDescent="0.2">
      <c r="A8" s="95" t="s">
        <v>189</v>
      </c>
      <c r="B8" s="95"/>
      <c r="C8" s="95"/>
      <c r="D8" s="95"/>
      <c r="E8" s="95"/>
      <c r="F8" s="95"/>
      <c r="G8" s="95"/>
      <c r="H8" s="95"/>
      <c r="I8" s="95"/>
      <c r="J8" s="95"/>
      <c r="K8" s="95"/>
      <c r="L8" s="95"/>
    </row>
    <row r="10" spans="1:19" x14ac:dyDescent="0.2">
      <c r="B10" s="93" t="s">
        <v>159</v>
      </c>
      <c r="C10" s="64"/>
      <c r="D10" s="64"/>
      <c r="E10" s="64"/>
      <c r="H10" s="94" t="s">
        <v>134</v>
      </c>
      <c r="I10" s="90" t="s">
        <v>161</v>
      </c>
      <c r="J10" s="84"/>
      <c r="K10" s="84"/>
      <c r="L10" s="84"/>
      <c r="M10" s="84"/>
      <c r="N10" s="84"/>
      <c r="O10" s="84"/>
      <c r="P10" s="84"/>
      <c r="Q10" s="84"/>
      <c r="R10" s="84"/>
      <c r="S10" s="79"/>
    </row>
    <row r="11" spans="1:19" x14ac:dyDescent="0.2">
      <c r="B11" s="50" t="s">
        <v>160</v>
      </c>
      <c r="C11" s="50"/>
      <c r="D11" s="50"/>
      <c r="E11" s="27">
        <v>2.0702485390103749</v>
      </c>
      <c r="H11" s="92"/>
      <c r="I11" s="29"/>
      <c r="J11" s="6"/>
      <c r="K11" s="6"/>
      <c r="L11" s="6"/>
      <c r="M11" s="6"/>
      <c r="N11" s="6"/>
      <c r="O11" s="6"/>
      <c r="P11" s="6"/>
      <c r="Q11" s="6"/>
      <c r="R11" s="6"/>
      <c r="S11" s="91"/>
    </row>
    <row r="12" spans="1:19" x14ac:dyDescent="0.2">
      <c r="B12" s="50"/>
      <c r="C12" s="50"/>
      <c r="D12" s="50"/>
      <c r="E12" s="27"/>
      <c r="H12" s="92"/>
      <c r="I12" s="30" t="s">
        <v>162</v>
      </c>
      <c r="J12" s="85"/>
      <c r="K12" s="85"/>
      <c r="L12" s="85"/>
      <c r="M12" s="85"/>
      <c r="N12" s="85"/>
      <c r="O12" s="85"/>
      <c r="P12" s="85"/>
      <c r="Q12" s="85"/>
      <c r="R12" s="85"/>
      <c r="S12" s="86"/>
    </row>
    <row r="13" spans="1:19" x14ac:dyDescent="0.2">
      <c r="B13" s="50"/>
      <c r="C13" s="50"/>
      <c r="D13" s="50"/>
      <c r="E13" s="27"/>
      <c r="H13" s="92"/>
      <c r="I13" s="87"/>
      <c r="J13" s="28"/>
      <c r="K13" s="28"/>
      <c r="L13" s="28"/>
      <c r="M13" s="28"/>
      <c r="N13" s="28"/>
      <c r="O13" s="28"/>
      <c r="P13" s="28"/>
      <c r="Q13" s="28"/>
      <c r="R13" s="28"/>
      <c r="S13" s="88"/>
    </row>
    <row r="14" spans="1:19" x14ac:dyDescent="0.2">
      <c r="B14" s="89"/>
      <c r="C14" s="89"/>
      <c r="D14" s="89"/>
    </row>
    <row r="15" spans="1:19" x14ac:dyDescent="0.2">
      <c r="B15" s="93" t="s">
        <v>183</v>
      </c>
      <c r="C15" s="64"/>
      <c r="D15" s="64"/>
      <c r="E15" s="64"/>
      <c r="H15" s="94" t="s">
        <v>134</v>
      </c>
      <c r="I15" s="90" t="s">
        <v>246</v>
      </c>
      <c r="J15" s="84"/>
      <c r="K15" s="84"/>
      <c r="L15" s="84"/>
      <c r="M15" s="84"/>
      <c r="N15" s="84"/>
      <c r="O15" s="84"/>
      <c r="P15" s="84"/>
      <c r="Q15" s="84"/>
      <c r="R15" s="84"/>
      <c r="S15" s="79"/>
    </row>
    <row r="16" spans="1:19" x14ac:dyDescent="0.2">
      <c r="B16" s="50" t="s">
        <v>184</v>
      </c>
      <c r="C16" s="50"/>
      <c r="D16" s="50"/>
      <c r="E16" s="27">
        <v>2.2256476620217454</v>
      </c>
      <c r="H16" s="92"/>
      <c r="I16" s="29"/>
      <c r="J16" s="6"/>
      <c r="K16" s="6"/>
      <c r="L16" s="6"/>
      <c r="M16" s="6"/>
      <c r="N16" s="6"/>
      <c r="O16" s="6"/>
      <c r="P16" s="6"/>
      <c r="Q16" s="6"/>
      <c r="R16" s="6"/>
      <c r="S16" s="91"/>
    </row>
    <row r="17" spans="1:25" x14ac:dyDescent="0.2">
      <c r="B17" s="50"/>
      <c r="C17" s="50"/>
      <c r="D17" s="50"/>
      <c r="E17" s="27"/>
      <c r="F17" s="33"/>
      <c r="H17" s="92"/>
      <c r="I17" s="30" t="s">
        <v>247</v>
      </c>
      <c r="J17" s="85"/>
      <c r="K17" s="85"/>
      <c r="L17" s="85"/>
      <c r="M17" s="85"/>
      <c r="N17" s="85"/>
      <c r="O17" s="85"/>
      <c r="P17" s="85"/>
      <c r="Q17" s="85"/>
      <c r="R17" s="85"/>
      <c r="S17" s="86"/>
    </row>
    <row r="18" spans="1:25" x14ac:dyDescent="0.2">
      <c r="B18" s="50"/>
      <c r="C18" s="50"/>
      <c r="D18" s="50"/>
      <c r="E18" s="27"/>
      <c r="H18" s="92"/>
      <c r="I18" s="87"/>
      <c r="J18" s="28"/>
      <c r="K18" s="28"/>
      <c r="L18" s="28"/>
      <c r="M18" s="28"/>
      <c r="N18" s="28"/>
      <c r="O18" s="28"/>
      <c r="P18" s="28"/>
      <c r="Q18" s="28"/>
      <c r="R18" s="28"/>
      <c r="S18" s="88"/>
    </row>
    <row r="21" spans="1:25" x14ac:dyDescent="0.2">
      <c r="A21" s="95" t="s">
        <v>190</v>
      </c>
      <c r="B21" s="95"/>
      <c r="C21" s="95"/>
      <c r="D21" s="95"/>
      <c r="E21" s="95"/>
      <c r="F21" s="95"/>
      <c r="G21" s="95"/>
      <c r="H21" s="95"/>
      <c r="I21" s="95"/>
      <c r="J21" s="95"/>
      <c r="K21" s="95"/>
      <c r="L21" s="95"/>
    </row>
    <row r="23" spans="1:25" x14ac:dyDescent="0.2">
      <c r="B23" s="26" t="s">
        <v>250</v>
      </c>
      <c r="C23" s="26">
        <v>0.73350610075379219</v>
      </c>
    </row>
    <row r="24" spans="1:25" x14ac:dyDescent="0.2">
      <c r="B24" s="26" t="s">
        <v>251</v>
      </c>
      <c r="C24" s="26">
        <v>0.78615251409300957</v>
      </c>
      <c r="D24" s="26"/>
    </row>
    <row r="26" spans="1:25" x14ac:dyDescent="0.2">
      <c r="B26" s="26" t="s">
        <v>252</v>
      </c>
      <c r="C26" s="141" t="s">
        <v>253</v>
      </c>
      <c r="D26" s="25"/>
      <c r="E26" s="25"/>
      <c r="F26" s="25"/>
      <c r="G26" s="25"/>
      <c r="H26" s="25"/>
      <c r="I26" s="25"/>
      <c r="J26" s="25"/>
      <c r="K26" s="25"/>
      <c r="L26" s="25"/>
      <c r="M26" s="25"/>
      <c r="N26" s="25"/>
      <c r="O26" s="25"/>
      <c r="P26" s="25"/>
      <c r="Q26" s="25"/>
      <c r="R26" s="25"/>
      <c r="S26" s="25"/>
      <c r="T26" s="25"/>
      <c r="U26" s="25"/>
      <c r="V26" s="25"/>
      <c r="W26" s="25"/>
      <c r="X26" s="25"/>
      <c r="Y26" s="25"/>
    </row>
  </sheetData>
  <mergeCells count="17">
    <mergeCell ref="A21:L21"/>
    <mergeCell ref="A8:L8"/>
    <mergeCell ref="C26:Y26"/>
    <mergeCell ref="B15:E15"/>
    <mergeCell ref="H15:H18"/>
    <mergeCell ref="I15:S16"/>
    <mergeCell ref="B16:D18"/>
    <mergeCell ref="E16:E18"/>
    <mergeCell ref="I17:S18"/>
    <mergeCell ref="B2:F3"/>
    <mergeCell ref="A6:E6"/>
    <mergeCell ref="B10:E10"/>
    <mergeCell ref="H10:H13"/>
    <mergeCell ref="I10:S11"/>
    <mergeCell ref="B11:D13"/>
    <mergeCell ref="E11:E13"/>
    <mergeCell ref="I12:S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6617-3157-7A47-B8C6-300789D566AB}">
  <dimension ref="A1:AC199"/>
  <sheetViews>
    <sheetView topLeftCell="A177" zoomScale="91" workbookViewId="0">
      <selection activeCell="I189" sqref="I189"/>
    </sheetView>
  </sheetViews>
  <sheetFormatPr baseColWidth="10" defaultRowHeight="16" x14ac:dyDescent="0.2"/>
  <cols>
    <col min="1" max="1" width="25.5" customWidth="1"/>
    <col min="2" max="2" width="16.1640625" customWidth="1"/>
    <col min="3" max="3" width="22" customWidth="1"/>
    <col min="4" max="4" width="20.83203125" customWidth="1"/>
    <col min="5" max="5" width="13.6640625" customWidth="1"/>
    <col min="6" max="6" width="12.1640625" customWidth="1"/>
  </cols>
  <sheetData>
    <row r="1" spans="1:9" ht="17" thickBot="1" x14ac:dyDescent="0.25"/>
    <row r="2" spans="1:9" x14ac:dyDescent="0.2">
      <c r="F2" s="11" t="s">
        <v>79</v>
      </c>
      <c r="G2" s="12"/>
      <c r="H2" s="12"/>
      <c r="I2" s="13"/>
    </row>
    <row r="3" spans="1:9" x14ac:dyDescent="0.2">
      <c r="F3" s="22"/>
      <c r="G3" s="23"/>
      <c r="H3" s="23"/>
      <c r="I3" s="24"/>
    </row>
    <row r="4" spans="1:9" ht="17" thickBot="1" x14ac:dyDescent="0.25">
      <c r="F4" s="14"/>
      <c r="G4" s="15"/>
      <c r="H4" s="15"/>
      <c r="I4" s="16"/>
    </row>
    <row r="5" spans="1:9" x14ac:dyDescent="0.2">
      <c r="A5" s="80" t="s">
        <v>191</v>
      </c>
      <c r="B5" s="80"/>
      <c r="C5" s="80"/>
    </row>
    <row r="7" spans="1:9" x14ac:dyDescent="0.2">
      <c r="B7" s="57" t="s">
        <v>80</v>
      </c>
      <c r="C7" s="46" t="s">
        <v>81</v>
      </c>
      <c r="D7" s="115" t="s">
        <v>192</v>
      </c>
      <c r="E7" s="115"/>
      <c r="F7" s="68" t="s">
        <v>6</v>
      </c>
      <c r="G7" s="68" t="s">
        <v>85</v>
      </c>
      <c r="H7" s="68" t="s">
        <v>86</v>
      </c>
      <c r="I7" s="68" t="s">
        <v>195</v>
      </c>
    </row>
    <row r="8" spans="1:9" x14ac:dyDescent="0.2">
      <c r="B8" s="37">
        <v>0.3</v>
      </c>
      <c r="C8" s="18">
        <v>76.5</v>
      </c>
      <c r="D8" s="18">
        <v>1</v>
      </c>
      <c r="E8" s="37">
        <v>0.3</v>
      </c>
      <c r="F8" s="37">
        <v>76.5</v>
      </c>
      <c r="G8" s="37">
        <f>$I$42+($I$43*B8)</f>
        <v>85.038782051281942</v>
      </c>
      <c r="H8" s="37">
        <f>F8-G8</f>
        <v>-8.5387820512819417</v>
      </c>
      <c r="I8" s="26">
        <f>H8^2</f>
        <v>72.910798919294649</v>
      </c>
    </row>
    <row r="9" spans="1:9" x14ac:dyDescent="0.2">
      <c r="B9" s="37">
        <v>0.3</v>
      </c>
      <c r="C9" s="18">
        <v>76</v>
      </c>
      <c r="D9" s="18">
        <v>1</v>
      </c>
      <c r="E9" s="37">
        <v>0.3</v>
      </c>
      <c r="F9" s="37">
        <v>76</v>
      </c>
      <c r="G9" s="37">
        <f t="shared" ref="G9:G33" si="0">$I$42+($I$43*B9)</f>
        <v>85.038782051281942</v>
      </c>
      <c r="H9" s="37">
        <f t="shared" ref="H9:H33" si="1">F9-G9</f>
        <v>-9.0387820512819417</v>
      </c>
      <c r="I9" s="26">
        <f t="shared" ref="I9:I33" si="2">H9^2</f>
        <v>81.699580970576591</v>
      </c>
    </row>
    <row r="10" spans="1:9" x14ac:dyDescent="0.2">
      <c r="B10" s="37">
        <v>0.3</v>
      </c>
      <c r="C10" s="18">
        <v>79.900000000000006</v>
      </c>
      <c r="D10" s="18">
        <v>1</v>
      </c>
      <c r="E10" s="37">
        <v>0.3</v>
      </c>
      <c r="F10" s="37">
        <v>79.900000000000006</v>
      </c>
      <c r="G10" s="37">
        <f t="shared" si="0"/>
        <v>85.038782051281942</v>
      </c>
      <c r="H10" s="37">
        <f t="shared" si="1"/>
        <v>-5.138782051281936</v>
      </c>
      <c r="I10" s="26">
        <f t="shared" si="2"/>
        <v>26.407080970577383</v>
      </c>
    </row>
    <row r="11" spans="1:9" x14ac:dyDescent="0.2">
      <c r="B11" s="37">
        <v>0.3</v>
      </c>
      <c r="C11" s="18">
        <v>83.5</v>
      </c>
      <c r="D11" s="18">
        <v>1</v>
      </c>
      <c r="E11" s="37">
        <v>0.3</v>
      </c>
      <c r="F11" s="37">
        <v>83.5</v>
      </c>
      <c r="G11" s="37">
        <f t="shared" si="0"/>
        <v>85.038782051281942</v>
      </c>
      <c r="H11" s="37">
        <f t="shared" si="1"/>
        <v>-1.5387820512819417</v>
      </c>
      <c r="I11" s="26">
        <f t="shared" si="2"/>
        <v>2.3678502013474603</v>
      </c>
    </row>
    <row r="12" spans="1:9" x14ac:dyDescent="0.2">
      <c r="B12" s="37">
        <v>0.7</v>
      </c>
      <c r="C12" s="18">
        <v>89.5</v>
      </c>
      <c r="D12" s="18">
        <v>1</v>
      </c>
      <c r="E12" s="37">
        <v>0.7</v>
      </c>
      <c r="F12" s="37">
        <v>89.5</v>
      </c>
      <c r="G12" s="37">
        <f t="shared" si="0"/>
        <v>93.130448717948639</v>
      </c>
      <c r="H12" s="37">
        <f t="shared" si="1"/>
        <v>-3.6304487179486387</v>
      </c>
      <c r="I12" s="26">
        <f t="shared" si="2"/>
        <v>13.180157893654915</v>
      </c>
    </row>
    <row r="13" spans="1:9" x14ac:dyDescent="0.2">
      <c r="B13" s="37">
        <v>0.7</v>
      </c>
      <c r="C13" s="18">
        <v>84.2</v>
      </c>
      <c r="D13" s="18">
        <v>1</v>
      </c>
      <c r="E13" s="37">
        <v>0.7</v>
      </c>
      <c r="F13" s="37">
        <v>84.2</v>
      </c>
      <c r="G13" s="37">
        <f t="shared" si="0"/>
        <v>93.130448717948639</v>
      </c>
      <c r="H13" s="37">
        <f t="shared" si="1"/>
        <v>-8.9304487179486358</v>
      </c>
      <c r="I13" s="26">
        <f t="shared" si="2"/>
        <v>79.75291430391043</v>
      </c>
    </row>
    <row r="14" spans="1:9" x14ac:dyDescent="0.2">
      <c r="B14" s="37">
        <v>0.7</v>
      </c>
      <c r="C14" s="18">
        <v>85.7</v>
      </c>
      <c r="D14" s="18">
        <v>1</v>
      </c>
      <c r="E14" s="37">
        <v>0.7</v>
      </c>
      <c r="F14" s="37">
        <v>85.7</v>
      </c>
      <c r="G14" s="37">
        <f t="shared" si="0"/>
        <v>93.130448717948639</v>
      </c>
      <c r="H14" s="37">
        <f t="shared" si="1"/>
        <v>-7.4304487179486358</v>
      </c>
      <c r="I14" s="26">
        <f t="shared" si="2"/>
        <v>55.211568150064522</v>
      </c>
    </row>
    <row r="15" spans="1:9" x14ac:dyDescent="0.2">
      <c r="B15" s="37">
        <v>0.7</v>
      </c>
      <c r="C15" s="18">
        <v>99.5</v>
      </c>
      <c r="D15" s="18">
        <v>1</v>
      </c>
      <c r="E15" s="37">
        <v>0.7</v>
      </c>
      <c r="F15" s="37">
        <v>99.5</v>
      </c>
      <c r="G15" s="37">
        <f t="shared" si="0"/>
        <v>93.130448717948639</v>
      </c>
      <c r="H15" s="37">
        <f t="shared" si="1"/>
        <v>6.3695512820513613</v>
      </c>
      <c r="I15" s="26">
        <f t="shared" si="2"/>
        <v>40.571183534682142</v>
      </c>
    </row>
    <row r="16" spans="1:9" x14ac:dyDescent="0.2">
      <c r="B16" s="37">
        <v>0.3</v>
      </c>
      <c r="C16" s="18">
        <v>89.4</v>
      </c>
      <c r="D16" s="18">
        <v>1</v>
      </c>
      <c r="E16" s="37">
        <v>0.3</v>
      </c>
      <c r="F16" s="37">
        <v>89.4</v>
      </c>
      <c r="G16" s="37">
        <f t="shared" si="0"/>
        <v>85.038782051281942</v>
      </c>
      <c r="H16" s="37">
        <f t="shared" si="1"/>
        <v>4.361217948718064</v>
      </c>
      <c r="I16" s="26">
        <f t="shared" si="2"/>
        <v>19.020221996220599</v>
      </c>
    </row>
    <row r="17" spans="2:9" x14ac:dyDescent="0.2">
      <c r="B17" s="37">
        <v>0.3</v>
      </c>
      <c r="C17" s="18">
        <v>97.5</v>
      </c>
      <c r="D17" s="18">
        <v>1</v>
      </c>
      <c r="E17" s="37">
        <v>0.3</v>
      </c>
      <c r="F17" s="37">
        <v>97.5</v>
      </c>
      <c r="G17" s="37">
        <f t="shared" si="0"/>
        <v>85.038782051281942</v>
      </c>
      <c r="H17" s="37">
        <f t="shared" si="1"/>
        <v>12.461217948718058</v>
      </c>
      <c r="I17" s="26">
        <f t="shared" si="2"/>
        <v>155.2819527654531</v>
      </c>
    </row>
    <row r="18" spans="2:9" x14ac:dyDescent="0.2">
      <c r="B18" s="37">
        <v>0.3</v>
      </c>
      <c r="C18" s="18">
        <v>103.2</v>
      </c>
      <c r="D18" s="18">
        <v>1</v>
      </c>
      <c r="E18" s="37">
        <v>0.3</v>
      </c>
      <c r="F18" s="37">
        <v>103.2</v>
      </c>
      <c r="G18" s="37">
        <f t="shared" si="0"/>
        <v>85.038782051281942</v>
      </c>
      <c r="H18" s="37">
        <f t="shared" si="1"/>
        <v>18.161217948718061</v>
      </c>
      <c r="I18" s="26">
        <f t="shared" si="2"/>
        <v>329.82983738083908</v>
      </c>
    </row>
    <row r="19" spans="2:9" x14ac:dyDescent="0.2">
      <c r="B19" s="37">
        <v>0.3</v>
      </c>
      <c r="C19" s="18">
        <v>108.7</v>
      </c>
      <c r="D19" s="18">
        <v>1</v>
      </c>
      <c r="E19" s="37">
        <v>0.3</v>
      </c>
      <c r="F19" s="37">
        <v>108.7</v>
      </c>
      <c r="G19" s="37">
        <f t="shared" si="0"/>
        <v>85.038782051281942</v>
      </c>
      <c r="H19" s="37">
        <f t="shared" si="1"/>
        <v>23.661217948718061</v>
      </c>
      <c r="I19" s="26">
        <f t="shared" si="2"/>
        <v>559.85323481673777</v>
      </c>
    </row>
    <row r="20" spans="2:9" x14ac:dyDescent="0.2">
      <c r="B20" s="37">
        <v>0.7</v>
      </c>
      <c r="C20" s="18">
        <v>115.2</v>
      </c>
      <c r="D20" s="18">
        <v>1</v>
      </c>
      <c r="E20" s="37">
        <v>0.7</v>
      </c>
      <c r="F20" s="37">
        <v>115.2</v>
      </c>
      <c r="G20" s="37">
        <f t="shared" si="0"/>
        <v>93.130448717948639</v>
      </c>
      <c r="H20" s="37">
        <f t="shared" si="1"/>
        <v>22.069551282051364</v>
      </c>
      <c r="I20" s="26">
        <f t="shared" si="2"/>
        <v>487.06509379109502</v>
      </c>
    </row>
    <row r="21" spans="2:9" x14ac:dyDescent="0.2">
      <c r="B21" s="37">
        <v>0.7</v>
      </c>
      <c r="C21" s="18">
        <v>111.5</v>
      </c>
      <c r="D21" s="18">
        <v>1</v>
      </c>
      <c r="E21" s="37">
        <v>0.7</v>
      </c>
      <c r="F21" s="37">
        <v>111.5</v>
      </c>
      <c r="G21" s="37">
        <f t="shared" si="0"/>
        <v>93.130448717948639</v>
      </c>
      <c r="H21" s="37">
        <f t="shared" si="1"/>
        <v>18.369551282051361</v>
      </c>
      <c r="I21" s="26">
        <f t="shared" si="2"/>
        <v>337.44041430391479</v>
      </c>
    </row>
    <row r="22" spans="2:9" x14ac:dyDescent="0.2">
      <c r="B22" s="37">
        <v>0.7</v>
      </c>
      <c r="C22" s="18">
        <v>102.3</v>
      </c>
      <c r="D22" s="18">
        <v>1</v>
      </c>
      <c r="E22" s="37">
        <v>0.7</v>
      </c>
      <c r="F22" s="37">
        <v>102.3</v>
      </c>
      <c r="G22" s="37">
        <f t="shared" si="0"/>
        <v>93.130448717948639</v>
      </c>
      <c r="H22" s="37">
        <f t="shared" si="1"/>
        <v>9.1695512820513585</v>
      </c>
      <c r="I22" s="26">
        <f t="shared" si="2"/>
        <v>84.080670714169713</v>
      </c>
    </row>
    <row r="23" spans="2:9" x14ac:dyDescent="0.2">
      <c r="B23" s="37">
        <v>0.7</v>
      </c>
      <c r="C23" s="18">
        <v>108.1</v>
      </c>
      <c r="D23" s="18">
        <v>1</v>
      </c>
      <c r="E23" s="37">
        <v>0.7</v>
      </c>
      <c r="F23" s="37">
        <v>108.1</v>
      </c>
      <c r="G23" s="37">
        <f t="shared" si="0"/>
        <v>93.130448717948639</v>
      </c>
      <c r="H23" s="37">
        <f t="shared" si="1"/>
        <v>14.969551282051356</v>
      </c>
      <c r="I23" s="26">
        <f t="shared" si="2"/>
        <v>224.08746558596539</v>
      </c>
    </row>
    <row r="24" spans="2:9" x14ac:dyDescent="0.2">
      <c r="B24" s="37">
        <v>0.5</v>
      </c>
      <c r="C24" s="18">
        <v>80.2</v>
      </c>
      <c r="D24" s="18">
        <v>1</v>
      </c>
      <c r="E24" s="37">
        <v>0.5</v>
      </c>
      <c r="F24" s="37">
        <v>80.2</v>
      </c>
      <c r="G24" s="37">
        <f t="shared" si="0"/>
        <v>89.08461538461529</v>
      </c>
      <c r="H24" s="37">
        <f t="shared" si="1"/>
        <v>-8.8846153846152873</v>
      </c>
      <c r="I24" s="26">
        <f t="shared" si="2"/>
        <v>78.936390532542646</v>
      </c>
    </row>
    <row r="25" spans="2:9" x14ac:dyDescent="0.2">
      <c r="B25" s="37">
        <v>0.5</v>
      </c>
      <c r="C25" s="18">
        <v>89.1</v>
      </c>
      <c r="D25" s="18">
        <v>1</v>
      </c>
      <c r="E25" s="37">
        <v>0.5</v>
      </c>
      <c r="F25" s="37">
        <v>89.1</v>
      </c>
      <c r="G25" s="37">
        <f t="shared" si="0"/>
        <v>89.08461538461529</v>
      </c>
      <c r="H25" s="37">
        <f t="shared" si="1"/>
        <v>1.5384615384704148E-2</v>
      </c>
      <c r="I25" s="26">
        <f t="shared" si="2"/>
        <v>2.3668639053527556E-4</v>
      </c>
    </row>
    <row r="26" spans="2:9" x14ac:dyDescent="0.2">
      <c r="B26" s="37">
        <v>0.1</v>
      </c>
      <c r="C26" s="18">
        <v>77.2</v>
      </c>
      <c r="D26" s="18">
        <v>1</v>
      </c>
      <c r="E26" s="37">
        <v>0.1</v>
      </c>
      <c r="F26" s="37">
        <v>77.2</v>
      </c>
      <c r="G26" s="37">
        <f t="shared" si="0"/>
        <v>80.992948717948593</v>
      </c>
      <c r="H26" s="37">
        <f t="shared" si="1"/>
        <v>-3.7929487179485903</v>
      </c>
      <c r="I26" s="26">
        <f t="shared" si="2"/>
        <v>14.386459976987855</v>
      </c>
    </row>
    <row r="27" spans="2:9" x14ac:dyDescent="0.2">
      <c r="B27" s="37">
        <v>0.9</v>
      </c>
      <c r="C27" s="18">
        <v>85.1</v>
      </c>
      <c r="D27" s="18">
        <v>1</v>
      </c>
      <c r="E27" s="37">
        <v>0.9</v>
      </c>
      <c r="F27" s="37">
        <v>85.1</v>
      </c>
      <c r="G27" s="37">
        <f t="shared" si="0"/>
        <v>97.176282051281987</v>
      </c>
      <c r="H27" s="37">
        <f t="shared" si="1"/>
        <v>-12.076282051281993</v>
      </c>
      <c r="I27" s="26">
        <f t="shared" si="2"/>
        <v>145.83658818211561</v>
      </c>
    </row>
    <row r="28" spans="2:9" x14ac:dyDescent="0.2">
      <c r="B28" s="37">
        <v>0.5</v>
      </c>
      <c r="C28" s="18">
        <v>71.5</v>
      </c>
      <c r="D28" s="18">
        <v>1</v>
      </c>
      <c r="E28" s="37">
        <v>0.5</v>
      </c>
      <c r="F28" s="37">
        <v>71.5</v>
      </c>
      <c r="G28" s="37">
        <f t="shared" si="0"/>
        <v>89.08461538461529</v>
      </c>
      <c r="H28" s="37">
        <f t="shared" si="1"/>
        <v>-17.58461538461529</v>
      </c>
      <c r="I28" s="26">
        <f t="shared" si="2"/>
        <v>309.21869822484877</v>
      </c>
    </row>
    <row r="29" spans="2:9" x14ac:dyDescent="0.2">
      <c r="B29" s="37">
        <v>0.5</v>
      </c>
      <c r="C29" s="18">
        <v>84.5</v>
      </c>
      <c r="D29" s="18">
        <v>1</v>
      </c>
      <c r="E29" s="37">
        <v>0.5</v>
      </c>
      <c r="F29" s="37">
        <v>84.5</v>
      </c>
      <c r="G29" s="37">
        <f t="shared" si="0"/>
        <v>89.08461538461529</v>
      </c>
      <c r="H29" s="37">
        <f t="shared" si="1"/>
        <v>-4.5846153846152902</v>
      </c>
      <c r="I29" s="26">
        <f t="shared" si="2"/>
        <v>21.018698224851207</v>
      </c>
    </row>
    <row r="30" spans="2:9" x14ac:dyDescent="0.2">
      <c r="B30" s="37">
        <v>0.5</v>
      </c>
      <c r="C30" s="18">
        <v>77.5</v>
      </c>
      <c r="D30" s="18">
        <v>1</v>
      </c>
      <c r="E30" s="37">
        <v>0.5</v>
      </c>
      <c r="F30" s="37">
        <v>77.5</v>
      </c>
      <c r="G30" s="37">
        <f t="shared" si="0"/>
        <v>89.08461538461529</v>
      </c>
      <c r="H30" s="37">
        <f t="shared" si="1"/>
        <v>-11.58461538461529</v>
      </c>
      <c r="I30" s="26">
        <f t="shared" si="2"/>
        <v>134.20331360946525</v>
      </c>
    </row>
    <row r="31" spans="2:9" x14ac:dyDescent="0.2">
      <c r="B31" s="37">
        <v>0.5</v>
      </c>
      <c r="C31" s="18">
        <v>79.2</v>
      </c>
      <c r="D31" s="18">
        <v>1</v>
      </c>
      <c r="E31" s="37">
        <v>0.5</v>
      </c>
      <c r="F31" s="37">
        <v>79.2</v>
      </c>
      <c r="G31" s="37">
        <f t="shared" si="0"/>
        <v>89.08461538461529</v>
      </c>
      <c r="H31" s="37">
        <f t="shared" si="1"/>
        <v>-9.8846153846152873</v>
      </c>
      <c r="I31" s="26">
        <f t="shared" si="2"/>
        <v>97.70562130177322</v>
      </c>
    </row>
    <row r="32" spans="2:9" x14ac:dyDescent="0.2">
      <c r="B32" s="37">
        <v>0.5</v>
      </c>
      <c r="C32" s="18">
        <v>71</v>
      </c>
      <c r="D32" s="18">
        <v>1</v>
      </c>
      <c r="E32" s="37">
        <v>0.5</v>
      </c>
      <c r="F32" s="37">
        <v>71</v>
      </c>
      <c r="G32" s="37">
        <f t="shared" si="0"/>
        <v>89.08461538461529</v>
      </c>
      <c r="H32" s="37">
        <f t="shared" si="1"/>
        <v>-18.08461538461529</v>
      </c>
      <c r="I32" s="26">
        <f t="shared" si="2"/>
        <v>327.05331360946406</v>
      </c>
    </row>
    <row r="33" spans="1:26" x14ac:dyDescent="0.2">
      <c r="B33" s="37">
        <v>0.5</v>
      </c>
      <c r="C33" s="18">
        <v>90.2</v>
      </c>
      <c r="D33" s="18">
        <v>1</v>
      </c>
      <c r="E33" s="37">
        <v>0.5</v>
      </c>
      <c r="F33" s="37">
        <v>90.2</v>
      </c>
      <c r="G33" s="37">
        <f t="shared" si="0"/>
        <v>89.08461538461529</v>
      </c>
      <c r="H33" s="37">
        <f t="shared" si="1"/>
        <v>1.1153846153847127</v>
      </c>
      <c r="I33" s="26">
        <f t="shared" si="2"/>
        <v>1.2440828402369035</v>
      </c>
    </row>
    <row r="35" spans="1:26" x14ac:dyDescent="0.2">
      <c r="A35" s="80" t="s">
        <v>83</v>
      </c>
      <c r="B35" s="80"/>
      <c r="C35" s="80"/>
    </row>
    <row r="37" spans="1:26" x14ac:dyDescent="0.2">
      <c r="A37" s="55" t="s">
        <v>88</v>
      </c>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spans="1:26" x14ac:dyDescent="0.2">
      <c r="A38" s="18">
        <v>1</v>
      </c>
      <c r="B38" s="18">
        <v>1</v>
      </c>
      <c r="C38" s="18">
        <v>1</v>
      </c>
      <c r="D38" s="18">
        <v>1</v>
      </c>
      <c r="E38" s="18">
        <v>1</v>
      </c>
      <c r="F38" s="18">
        <v>1</v>
      </c>
      <c r="G38" s="18">
        <v>1</v>
      </c>
      <c r="H38" s="18">
        <v>1</v>
      </c>
      <c r="I38" s="18">
        <v>1</v>
      </c>
      <c r="J38" s="18">
        <v>1</v>
      </c>
      <c r="K38" s="18">
        <v>1</v>
      </c>
      <c r="L38" s="18">
        <v>1</v>
      </c>
      <c r="M38" s="18">
        <v>1</v>
      </c>
      <c r="N38" s="18">
        <v>1</v>
      </c>
      <c r="O38" s="18">
        <v>1</v>
      </c>
      <c r="P38" s="18">
        <v>1</v>
      </c>
      <c r="Q38" s="18">
        <v>1</v>
      </c>
      <c r="R38" s="18">
        <v>1</v>
      </c>
      <c r="S38" s="18">
        <v>1</v>
      </c>
      <c r="T38" s="18">
        <v>1</v>
      </c>
      <c r="U38" s="18">
        <v>1</v>
      </c>
      <c r="V38" s="18">
        <v>1</v>
      </c>
      <c r="W38" s="18">
        <v>1</v>
      </c>
      <c r="X38" s="18">
        <v>1</v>
      </c>
      <c r="Y38" s="18">
        <v>1</v>
      </c>
      <c r="Z38" s="18">
        <v>1</v>
      </c>
    </row>
    <row r="39" spans="1:26" x14ac:dyDescent="0.2">
      <c r="A39" s="37">
        <v>0.3</v>
      </c>
      <c r="B39" s="37">
        <v>0.3</v>
      </c>
      <c r="C39" s="37">
        <v>0.3</v>
      </c>
      <c r="D39" s="37">
        <v>0.3</v>
      </c>
      <c r="E39" s="37">
        <v>0.7</v>
      </c>
      <c r="F39" s="37">
        <v>0.7</v>
      </c>
      <c r="G39" s="37">
        <v>0.7</v>
      </c>
      <c r="H39" s="37">
        <v>0.7</v>
      </c>
      <c r="I39" s="37">
        <v>0.3</v>
      </c>
      <c r="J39" s="37">
        <v>0.3</v>
      </c>
      <c r="K39" s="37">
        <v>0.3</v>
      </c>
      <c r="L39" s="37">
        <v>0.3</v>
      </c>
      <c r="M39" s="37">
        <v>0.7</v>
      </c>
      <c r="N39" s="37">
        <v>0.7</v>
      </c>
      <c r="O39" s="37">
        <v>0.7</v>
      </c>
      <c r="P39" s="37">
        <v>0.7</v>
      </c>
      <c r="Q39" s="37">
        <v>0.5</v>
      </c>
      <c r="R39" s="37">
        <v>0.5</v>
      </c>
      <c r="S39" s="37">
        <v>0.1</v>
      </c>
      <c r="T39" s="37">
        <v>0.9</v>
      </c>
      <c r="U39" s="37">
        <v>0.5</v>
      </c>
      <c r="V39" s="37">
        <v>0.5</v>
      </c>
      <c r="W39" s="37">
        <v>0.5</v>
      </c>
      <c r="X39" s="37">
        <v>0.5</v>
      </c>
      <c r="Y39" s="37">
        <v>0.5</v>
      </c>
      <c r="Z39" s="37">
        <v>0.5</v>
      </c>
    </row>
    <row r="41" spans="1:26" x14ac:dyDescent="0.2">
      <c r="A41" s="116" t="s">
        <v>89</v>
      </c>
      <c r="B41" s="117"/>
      <c r="D41" s="55" t="s">
        <v>193</v>
      </c>
      <c r="E41" s="55"/>
      <c r="G41" s="83" t="s">
        <v>92</v>
      </c>
      <c r="I41" s="55" t="s">
        <v>93</v>
      </c>
      <c r="J41" s="55"/>
    </row>
    <row r="42" spans="1:26" x14ac:dyDescent="0.2">
      <c r="A42" s="37" cm="1">
        <f t="array" ref="A42:B43">MMULT(A38:Z39,D8:E33)</f>
        <v>26</v>
      </c>
      <c r="B42" s="37">
        <v>13</v>
      </c>
      <c r="D42" s="37" cm="1">
        <f t="array" ref="D42:E43">MINVERSE(_xlfn.ANCHORARRAY(A42))</f>
        <v>0.29887820512820534</v>
      </c>
      <c r="E42" s="37">
        <v>-0.52083333333333381</v>
      </c>
      <c r="G42" s="37" cm="1">
        <f t="array" ref="G42:G43">MMULT(A38:Z39,F8:F33)</f>
        <v>2316.1999999999994</v>
      </c>
      <c r="I42" s="26" cm="1">
        <f t="array" ref="I42:I43">MMULT(_xlfn.ANCHORARRAY(D42),_xlfn.ANCHORARRAY(G42))</f>
        <v>78.970032051281919</v>
      </c>
      <c r="J42" s="26" t="s">
        <v>94</v>
      </c>
    </row>
    <row r="43" spans="1:26" x14ac:dyDescent="0.2">
      <c r="A43" s="37">
        <v>13</v>
      </c>
      <c r="B43" s="37">
        <v>7.4599999999999991</v>
      </c>
      <c r="D43" s="37">
        <v>-0.52083333333333381</v>
      </c>
      <c r="E43" s="37">
        <v>1.0416666666666676</v>
      </c>
      <c r="G43" s="37">
        <v>1177.5199999999998</v>
      </c>
      <c r="I43" s="26">
        <v>20.229166666666742</v>
      </c>
      <c r="J43" s="26" t="s">
        <v>95</v>
      </c>
    </row>
    <row r="46" spans="1:26" x14ac:dyDescent="0.2">
      <c r="A46" s="64" t="s">
        <v>194</v>
      </c>
      <c r="B46" s="64"/>
    </row>
    <row r="47" spans="1:26" x14ac:dyDescent="0.2">
      <c r="A47" s="25"/>
      <c r="B47" s="25"/>
      <c r="C47" s="1"/>
    </row>
    <row r="50" spans="1:29" x14ac:dyDescent="0.2">
      <c r="A50" s="80" t="s">
        <v>102</v>
      </c>
      <c r="B50" s="80"/>
      <c r="C50" s="80"/>
    </row>
    <row r="52" spans="1:29" x14ac:dyDescent="0.2">
      <c r="B52" s="83" t="s">
        <v>86</v>
      </c>
      <c r="D52" s="55" t="s">
        <v>103</v>
      </c>
      <c r="E52" s="55"/>
      <c r="F52" s="55"/>
      <c r="G52" s="55"/>
      <c r="H52" s="55"/>
      <c r="I52" s="55"/>
      <c r="J52" s="55"/>
      <c r="K52" s="55"/>
      <c r="L52" s="55"/>
      <c r="M52" s="55"/>
      <c r="N52" s="55"/>
      <c r="O52" s="55"/>
      <c r="P52" s="55"/>
      <c r="Q52" s="55"/>
      <c r="R52" s="55"/>
      <c r="S52" s="55"/>
      <c r="T52" s="55"/>
      <c r="U52" s="55"/>
      <c r="V52" s="55"/>
      <c r="W52" s="55"/>
      <c r="X52" s="55"/>
      <c r="Y52" s="55"/>
      <c r="Z52" s="55"/>
      <c r="AA52" s="55"/>
      <c r="AB52" s="55"/>
      <c r="AC52" s="55"/>
    </row>
    <row r="53" spans="1:29" x14ac:dyDescent="0.2">
      <c r="B53" s="37">
        <v>-8.5387820512819417</v>
      </c>
      <c r="D53" s="37">
        <v>-8.5387820512819417</v>
      </c>
      <c r="E53" s="37">
        <v>-9.0387820512819417</v>
      </c>
      <c r="F53" s="37">
        <v>-5.138782051281936</v>
      </c>
      <c r="G53" s="37">
        <v>-1.5387820512819417</v>
      </c>
      <c r="H53" s="37">
        <v>-3.6304487179486387</v>
      </c>
      <c r="I53" s="37">
        <v>-8.9304487179486358</v>
      </c>
      <c r="J53" s="37">
        <v>-7.4304487179486358</v>
      </c>
      <c r="K53" s="37">
        <v>6.3695512820513613</v>
      </c>
      <c r="L53" s="37">
        <v>4.361217948718064</v>
      </c>
      <c r="M53" s="37">
        <v>12.461217948718058</v>
      </c>
      <c r="N53" s="37">
        <v>18.161217948718061</v>
      </c>
      <c r="O53" s="37">
        <v>23.661217948718061</v>
      </c>
      <c r="P53" s="37">
        <v>22.069551282051364</v>
      </c>
      <c r="Q53" s="37">
        <v>18.369551282051361</v>
      </c>
      <c r="R53" s="37">
        <v>9.1695512820513585</v>
      </c>
      <c r="S53" s="37">
        <v>14.969551282051356</v>
      </c>
      <c r="T53" s="37">
        <v>-8.8846153846152873</v>
      </c>
      <c r="U53" s="37">
        <v>1.5384615384704148E-2</v>
      </c>
      <c r="V53" s="37">
        <v>-3.7929487179485903</v>
      </c>
      <c r="W53" s="37">
        <v>-12.076282051281993</v>
      </c>
      <c r="X53" s="37">
        <v>-17.58461538461529</v>
      </c>
      <c r="Y53" s="37">
        <v>-4.5846153846152902</v>
      </c>
      <c r="Z53" s="37">
        <v>-11.58461538461529</v>
      </c>
      <c r="AA53" s="37">
        <v>-9.8846153846152873</v>
      </c>
      <c r="AB53" s="37">
        <v>-18.08461538461529</v>
      </c>
      <c r="AC53" s="37">
        <v>1.1153846153847127</v>
      </c>
    </row>
    <row r="54" spans="1:29" x14ac:dyDescent="0.2">
      <c r="B54" s="37">
        <v>-9.0387820512819417</v>
      </c>
    </row>
    <row r="55" spans="1:29" x14ac:dyDescent="0.2">
      <c r="B55" s="37">
        <v>-5.138782051281936</v>
      </c>
      <c r="D55" s="116" t="s">
        <v>108</v>
      </c>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7"/>
    </row>
    <row r="56" spans="1:29" x14ac:dyDescent="0.2">
      <c r="B56" s="37">
        <v>-1.5387820512819417</v>
      </c>
      <c r="D56" s="37">
        <v>76.5</v>
      </c>
      <c r="E56" s="37">
        <v>76</v>
      </c>
      <c r="F56" s="37">
        <v>79.900000000000006</v>
      </c>
      <c r="G56" s="37">
        <v>83.5</v>
      </c>
      <c r="H56" s="37">
        <v>89.5</v>
      </c>
      <c r="I56" s="37">
        <v>84.2</v>
      </c>
      <c r="J56" s="37">
        <v>85.7</v>
      </c>
      <c r="K56" s="37">
        <v>99.5</v>
      </c>
      <c r="L56" s="37">
        <v>89.4</v>
      </c>
      <c r="M56" s="37">
        <v>97.5</v>
      </c>
      <c r="N56" s="37">
        <v>103.2</v>
      </c>
      <c r="O56" s="37">
        <v>108.7</v>
      </c>
      <c r="P56" s="37">
        <v>115.2</v>
      </c>
      <c r="Q56" s="37">
        <v>111.5</v>
      </c>
      <c r="R56" s="37">
        <v>102.3</v>
      </c>
      <c r="S56" s="37">
        <v>108.1</v>
      </c>
      <c r="T56" s="37">
        <v>80.2</v>
      </c>
      <c r="U56" s="37">
        <v>89.1</v>
      </c>
      <c r="V56" s="37">
        <v>77.2</v>
      </c>
      <c r="W56" s="37">
        <v>85.1</v>
      </c>
      <c r="X56" s="37">
        <v>71.5</v>
      </c>
      <c r="Y56" s="37">
        <v>84.5</v>
      </c>
      <c r="Z56" s="37">
        <v>77.5</v>
      </c>
      <c r="AA56" s="37">
        <v>79.2</v>
      </c>
      <c r="AB56" s="37">
        <v>71</v>
      </c>
      <c r="AC56" s="37">
        <v>90.2</v>
      </c>
    </row>
    <row r="57" spans="1:29" x14ac:dyDescent="0.2">
      <c r="B57" s="37">
        <v>-3.6304487179486387</v>
      </c>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row>
    <row r="58" spans="1:29" x14ac:dyDescent="0.2">
      <c r="B58" s="37">
        <v>-8.9304487179486358</v>
      </c>
      <c r="D58" s="6"/>
      <c r="E58" s="6"/>
    </row>
    <row r="59" spans="1:29" x14ac:dyDescent="0.2">
      <c r="B59" s="37">
        <v>-7.4304487179486358</v>
      </c>
      <c r="D59" s="38"/>
      <c r="E59" s="38"/>
    </row>
    <row r="60" spans="1:29" x14ac:dyDescent="0.2">
      <c r="B60" s="37">
        <v>6.3695512820513613</v>
      </c>
      <c r="D60" s="55" t="s">
        <v>120</v>
      </c>
      <c r="E60" s="55"/>
    </row>
    <row r="61" spans="1:29" x14ac:dyDescent="0.2">
      <c r="B61" s="37">
        <v>4.361217948718064</v>
      </c>
      <c r="D61" s="37">
        <v>78.970032051281919</v>
      </c>
      <c r="E61" s="37">
        <v>20.229166666666742</v>
      </c>
    </row>
    <row r="62" spans="1:29" x14ac:dyDescent="0.2">
      <c r="B62" s="37">
        <v>12.461217948718058</v>
      </c>
    </row>
    <row r="63" spans="1:29" x14ac:dyDescent="0.2">
      <c r="B63" s="37">
        <v>18.161217948718061</v>
      </c>
      <c r="D63" s="55" t="s">
        <v>193</v>
      </c>
      <c r="E63" s="55"/>
      <c r="F63" s="96"/>
      <c r="G63" s="96"/>
      <c r="H63" s="96"/>
      <c r="I63" s="96"/>
      <c r="J63" s="96"/>
      <c r="K63" s="96"/>
      <c r="L63" s="96"/>
      <c r="M63" s="96"/>
      <c r="N63" s="96"/>
      <c r="O63" s="96"/>
      <c r="P63" s="96"/>
      <c r="Q63" s="96"/>
      <c r="R63" s="96"/>
      <c r="S63" s="96"/>
      <c r="T63" s="96"/>
      <c r="U63" s="96"/>
      <c r="V63" s="96"/>
      <c r="W63" s="96"/>
      <c r="X63" s="96"/>
      <c r="Y63" s="96"/>
      <c r="Z63" s="96"/>
      <c r="AA63" s="96"/>
      <c r="AB63" s="96"/>
      <c r="AC63" s="96"/>
    </row>
    <row r="64" spans="1:29" x14ac:dyDescent="0.2">
      <c r="B64" s="37">
        <v>23.661217948718061</v>
      </c>
      <c r="D64" s="18">
        <v>0.29887820512820534</v>
      </c>
      <c r="E64" s="18">
        <v>-0.52083333333333381</v>
      </c>
      <c r="F64" s="38"/>
      <c r="G64" s="38"/>
      <c r="H64" s="38"/>
      <c r="I64" s="38"/>
      <c r="J64" s="38"/>
      <c r="K64" s="38"/>
      <c r="L64" s="38"/>
      <c r="M64" s="38"/>
      <c r="N64" s="38"/>
      <c r="O64" s="38"/>
      <c r="P64" s="38"/>
      <c r="Q64" s="38"/>
      <c r="R64" s="38"/>
      <c r="S64" s="38"/>
      <c r="T64" s="38"/>
      <c r="U64" s="38"/>
      <c r="V64" s="38"/>
      <c r="W64" s="38"/>
      <c r="X64" s="38"/>
      <c r="Y64" s="38"/>
      <c r="Z64" s="38"/>
      <c r="AA64" s="38"/>
      <c r="AB64" s="38"/>
      <c r="AC64" s="38"/>
    </row>
    <row r="65" spans="1:5" x14ac:dyDescent="0.2">
      <c r="B65" s="37">
        <v>22.069551282051364</v>
      </c>
      <c r="D65" s="18">
        <v>-0.52083333333333381</v>
      </c>
      <c r="E65" s="18">
        <v>1.0416666666666676</v>
      </c>
    </row>
    <row r="66" spans="1:5" x14ac:dyDescent="0.2">
      <c r="B66" s="37">
        <v>18.369551282051361</v>
      </c>
    </row>
    <row r="67" spans="1:5" x14ac:dyDescent="0.2">
      <c r="B67" s="37">
        <v>9.1695512820513585</v>
      </c>
    </row>
    <row r="68" spans="1:5" x14ac:dyDescent="0.2">
      <c r="B68" s="37">
        <v>14.969551282051356</v>
      </c>
    </row>
    <row r="69" spans="1:5" x14ac:dyDescent="0.2">
      <c r="B69" s="37">
        <v>-8.8846153846152873</v>
      </c>
    </row>
    <row r="70" spans="1:5" x14ac:dyDescent="0.2">
      <c r="B70" s="37">
        <v>1.5384615384704148E-2</v>
      </c>
    </row>
    <row r="71" spans="1:5" x14ac:dyDescent="0.2">
      <c r="B71" s="37">
        <v>-3.7929487179485903</v>
      </c>
    </row>
    <row r="72" spans="1:5" x14ac:dyDescent="0.2">
      <c r="B72" s="37">
        <v>-12.076282051281993</v>
      </c>
    </row>
    <row r="73" spans="1:5" x14ac:dyDescent="0.2">
      <c r="B73" s="37">
        <v>-17.58461538461529</v>
      </c>
    </row>
    <row r="74" spans="1:5" x14ac:dyDescent="0.2">
      <c r="B74" s="37">
        <v>-4.5846153846152902</v>
      </c>
    </row>
    <row r="75" spans="1:5" x14ac:dyDescent="0.2">
      <c r="B75" s="37">
        <v>-11.58461538461529</v>
      </c>
    </row>
    <row r="76" spans="1:5" x14ac:dyDescent="0.2">
      <c r="B76" s="37">
        <v>-9.8846153846152873</v>
      </c>
    </row>
    <row r="77" spans="1:5" x14ac:dyDescent="0.2">
      <c r="B77" s="37">
        <v>-18.08461538461529</v>
      </c>
    </row>
    <row r="78" spans="1:5" x14ac:dyDescent="0.2">
      <c r="B78" s="37">
        <v>1.1153846153847127</v>
      </c>
    </row>
    <row r="80" spans="1:5" x14ac:dyDescent="0.2">
      <c r="A80" s="64" t="s">
        <v>110</v>
      </c>
      <c r="B80" s="64"/>
    </row>
    <row r="81" spans="1:29" x14ac:dyDescent="0.2">
      <c r="A81" s="57" t="s">
        <v>121</v>
      </c>
      <c r="B81" s="37">
        <v>1</v>
      </c>
      <c r="D81" s="55" t="s">
        <v>115</v>
      </c>
      <c r="E81" s="55"/>
    </row>
    <row r="82" spans="1:29" x14ac:dyDescent="0.2">
      <c r="A82" s="57" t="s">
        <v>197</v>
      </c>
      <c r="B82" s="37">
        <v>2</v>
      </c>
      <c r="D82" s="107">
        <f>SQRT(B85*D64)</f>
        <v>6.7865069062224554</v>
      </c>
      <c r="E82" s="26" t="s">
        <v>94</v>
      </c>
    </row>
    <row r="83" spans="1:29" x14ac:dyDescent="0.2">
      <c r="A83" s="57" t="s">
        <v>114</v>
      </c>
      <c r="B83" s="37">
        <v>26</v>
      </c>
      <c r="D83" s="37">
        <f>SQRT(B85*E65)</f>
        <v>12.669619018403525</v>
      </c>
      <c r="E83" s="26" t="s">
        <v>95</v>
      </c>
    </row>
    <row r="84" spans="1:29" x14ac:dyDescent="0.2">
      <c r="A84" s="57" t="s">
        <v>111</v>
      </c>
      <c r="B84" s="37" cm="1">
        <f t="array" ref="B84">MMULT(D53:AC53,B53:B78)</f>
        <v>3698.3634294871786</v>
      </c>
    </row>
    <row r="85" spans="1:29" x14ac:dyDescent="0.2">
      <c r="A85" s="57" t="s">
        <v>113</v>
      </c>
      <c r="B85" s="37">
        <f>B84/(B83-B82)</f>
        <v>154.09847622863245</v>
      </c>
    </row>
    <row r="86" spans="1:29" x14ac:dyDescent="0.2">
      <c r="A86" s="57" t="s">
        <v>127</v>
      </c>
      <c r="B86" s="37">
        <f>B83-B82</f>
        <v>24</v>
      </c>
    </row>
    <row r="89" spans="1:29" x14ac:dyDescent="0.2">
      <c r="A89" s="80" t="s">
        <v>116</v>
      </c>
      <c r="B89" s="80"/>
      <c r="C89" s="80"/>
    </row>
    <row r="91" spans="1:29" x14ac:dyDescent="0.2">
      <c r="B91" s="37" t="s">
        <v>6</v>
      </c>
      <c r="D91" s="116" t="s">
        <v>120</v>
      </c>
      <c r="E91" s="117"/>
    </row>
    <row r="92" spans="1:29" x14ac:dyDescent="0.2">
      <c r="B92" s="37">
        <v>76.5</v>
      </c>
      <c r="D92" s="37">
        <v>78.970032051281919</v>
      </c>
      <c r="E92" s="37">
        <v>20.229166666666742</v>
      </c>
    </row>
    <row r="93" spans="1:29" x14ac:dyDescent="0.2">
      <c r="B93" s="37">
        <v>76</v>
      </c>
    </row>
    <row r="94" spans="1:29" x14ac:dyDescent="0.2">
      <c r="B94" s="37">
        <v>79.900000000000006</v>
      </c>
      <c r="D94" s="55" t="s">
        <v>88</v>
      </c>
      <c r="E94" s="55"/>
      <c r="F94" s="55"/>
      <c r="G94" s="55"/>
      <c r="H94" s="55"/>
      <c r="I94" s="55"/>
      <c r="J94" s="55"/>
      <c r="K94" s="55"/>
      <c r="L94" s="55"/>
      <c r="M94" s="55"/>
      <c r="N94" s="55"/>
      <c r="O94" s="55"/>
      <c r="P94" s="55"/>
      <c r="Q94" s="55"/>
      <c r="R94" s="55"/>
      <c r="S94" s="55"/>
      <c r="T94" s="55"/>
      <c r="U94" s="55"/>
      <c r="V94" s="55"/>
      <c r="W94" s="55"/>
      <c r="X94" s="55"/>
      <c r="Y94" s="55"/>
      <c r="Z94" s="55"/>
      <c r="AA94" s="55"/>
      <c r="AB94" s="55"/>
      <c r="AC94" s="55"/>
    </row>
    <row r="95" spans="1:29" x14ac:dyDescent="0.2">
      <c r="B95" s="37">
        <v>83.5</v>
      </c>
      <c r="D95" s="18">
        <v>1</v>
      </c>
      <c r="E95" s="18">
        <v>1</v>
      </c>
      <c r="F95" s="18">
        <v>1</v>
      </c>
      <c r="G95" s="18">
        <v>1</v>
      </c>
      <c r="H95" s="18">
        <v>1</v>
      </c>
      <c r="I95" s="18">
        <v>1</v>
      </c>
      <c r="J95" s="18">
        <v>1</v>
      </c>
      <c r="K95" s="18">
        <v>1</v>
      </c>
      <c r="L95" s="18">
        <v>1</v>
      </c>
      <c r="M95" s="18">
        <v>1</v>
      </c>
      <c r="N95" s="18">
        <v>1</v>
      </c>
      <c r="O95" s="18">
        <v>1</v>
      </c>
      <c r="P95" s="18">
        <v>1</v>
      </c>
      <c r="Q95" s="18">
        <v>1</v>
      </c>
      <c r="R95" s="18">
        <v>1</v>
      </c>
      <c r="S95" s="18">
        <v>1</v>
      </c>
      <c r="T95" s="18">
        <v>1</v>
      </c>
      <c r="U95" s="18">
        <v>1</v>
      </c>
      <c r="V95" s="18">
        <v>1</v>
      </c>
      <c r="W95" s="18">
        <v>1</v>
      </c>
      <c r="X95" s="18">
        <v>1</v>
      </c>
      <c r="Y95" s="18">
        <v>1</v>
      </c>
      <c r="Z95" s="18">
        <v>1</v>
      </c>
      <c r="AA95" s="18">
        <v>1</v>
      </c>
      <c r="AB95" s="18">
        <v>1</v>
      </c>
      <c r="AC95" s="18">
        <v>1</v>
      </c>
    </row>
    <row r="96" spans="1:29" x14ac:dyDescent="0.2">
      <c r="B96" s="37">
        <v>89.5</v>
      </c>
      <c r="D96" s="37">
        <v>0.3</v>
      </c>
      <c r="E96" s="37">
        <v>0.3</v>
      </c>
      <c r="F96" s="37">
        <v>0.3</v>
      </c>
      <c r="G96" s="37">
        <v>0.3</v>
      </c>
      <c r="H96" s="37">
        <v>0.7</v>
      </c>
      <c r="I96" s="37">
        <v>0.7</v>
      </c>
      <c r="J96" s="37">
        <v>0.7</v>
      </c>
      <c r="K96" s="37">
        <v>0.7</v>
      </c>
      <c r="L96" s="37">
        <v>0.3</v>
      </c>
      <c r="M96" s="37">
        <v>0.3</v>
      </c>
      <c r="N96" s="37">
        <v>0.3</v>
      </c>
      <c r="O96" s="37">
        <v>0.3</v>
      </c>
      <c r="P96" s="37">
        <v>0.7</v>
      </c>
      <c r="Q96" s="37">
        <v>0.7</v>
      </c>
      <c r="R96" s="37">
        <v>0.7</v>
      </c>
      <c r="S96" s="37">
        <v>0.7</v>
      </c>
      <c r="T96" s="37">
        <v>0.5</v>
      </c>
      <c r="U96" s="37">
        <v>0.5</v>
      </c>
      <c r="V96" s="37">
        <v>0.1</v>
      </c>
      <c r="W96" s="37">
        <v>0.9</v>
      </c>
      <c r="X96" s="37">
        <v>0.5</v>
      </c>
      <c r="Y96" s="37">
        <v>0.5</v>
      </c>
      <c r="Z96" s="37">
        <v>0.5</v>
      </c>
      <c r="AA96" s="37">
        <v>0.5</v>
      </c>
      <c r="AB96" s="37">
        <v>0.5</v>
      </c>
      <c r="AC96" s="37">
        <v>0.5</v>
      </c>
    </row>
    <row r="97" spans="2:29" x14ac:dyDescent="0.2">
      <c r="B97" s="37">
        <v>84.2</v>
      </c>
    </row>
    <row r="98" spans="2:29" x14ac:dyDescent="0.2">
      <c r="B98" s="37">
        <v>85.7</v>
      </c>
      <c r="D98" s="55" t="s">
        <v>196</v>
      </c>
      <c r="E98" s="55"/>
      <c r="F98" s="55"/>
      <c r="G98" s="55"/>
      <c r="H98" s="55"/>
      <c r="I98" s="55"/>
      <c r="J98" s="55"/>
      <c r="K98" s="55"/>
      <c r="L98" s="55"/>
      <c r="M98" s="55"/>
      <c r="N98" s="55"/>
      <c r="O98" s="55"/>
      <c r="P98" s="55"/>
      <c r="Q98" s="55"/>
      <c r="R98" s="55"/>
      <c r="S98" s="55"/>
      <c r="T98" s="55"/>
      <c r="U98" s="55"/>
      <c r="V98" s="55"/>
      <c r="W98" s="55"/>
      <c r="X98" s="55"/>
      <c r="Y98" s="55"/>
      <c r="Z98" s="55"/>
      <c r="AA98" s="55"/>
      <c r="AB98" s="55"/>
      <c r="AC98" s="55"/>
    </row>
    <row r="99" spans="2:29" x14ac:dyDescent="0.2">
      <c r="B99" s="37">
        <v>99.5</v>
      </c>
      <c r="D99" s="37" cm="1">
        <f t="array" ref="D99:AC99">MMULT(D92:E92,D95:AC96)</f>
        <v>85.038782051281942</v>
      </c>
      <c r="E99" s="37">
        <v>85.038782051281942</v>
      </c>
      <c r="F99" s="37">
        <v>85.038782051281942</v>
      </c>
      <c r="G99" s="37">
        <v>85.038782051281942</v>
      </c>
      <c r="H99" s="37">
        <v>93.130448717948639</v>
      </c>
      <c r="I99" s="37">
        <v>93.130448717948639</v>
      </c>
      <c r="J99" s="37">
        <v>93.130448717948639</v>
      </c>
      <c r="K99" s="37">
        <v>93.130448717948639</v>
      </c>
      <c r="L99" s="37">
        <v>85.038782051281942</v>
      </c>
      <c r="M99" s="37">
        <v>85.038782051281942</v>
      </c>
      <c r="N99" s="37">
        <v>85.038782051281942</v>
      </c>
      <c r="O99" s="37">
        <v>85.038782051281942</v>
      </c>
      <c r="P99" s="37">
        <v>93.130448717948639</v>
      </c>
      <c r="Q99" s="37">
        <v>93.130448717948639</v>
      </c>
      <c r="R99" s="37">
        <v>93.130448717948639</v>
      </c>
      <c r="S99" s="37">
        <v>93.130448717948639</v>
      </c>
      <c r="T99" s="37">
        <v>89.08461538461529</v>
      </c>
      <c r="U99" s="37">
        <v>89.08461538461529</v>
      </c>
      <c r="V99" s="37">
        <v>80.992948717948593</v>
      </c>
      <c r="W99" s="37">
        <v>97.176282051281987</v>
      </c>
      <c r="X99" s="37">
        <v>89.08461538461529</v>
      </c>
      <c r="Y99" s="37">
        <v>89.08461538461529</v>
      </c>
      <c r="Z99" s="37">
        <v>89.08461538461529</v>
      </c>
      <c r="AA99" s="37">
        <v>89.08461538461529</v>
      </c>
      <c r="AB99" s="37">
        <v>89.08461538461529</v>
      </c>
      <c r="AC99" s="37">
        <v>89.08461538461529</v>
      </c>
    </row>
    <row r="100" spans="2:29" x14ac:dyDescent="0.2">
      <c r="B100" s="37">
        <v>89.4</v>
      </c>
    </row>
    <row r="101" spans="2:29" x14ac:dyDescent="0.2">
      <c r="B101" s="37">
        <v>97.5</v>
      </c>
    </row>
    <row r="102" spans="2:29" x14ac:dyDescent="0.2">
      <c r="B102" s="37">
        <v>103.2</v>
      </c>
    </row>
    <row r="103" spans="2:29" x14ac:dyDescent="0.2">
      <c r="B103" s="37">
        <v>108.7</v>
      </c>
    </row>
    <row r="104" spans="2:29" x14ac:dyDescent="0.2">
      <c r="B104" s="37">
        <v>115.2</v>
      </c>
    </row>
    <row r="105" spans="2:29" x14ac:dyDescent="0.2">
      <c r="B105" s="37">
        <v>111.5</v>
      </c>
    </row>
    <row r="106" spans="2:29" x14ac:dyDescent="0.2">
      <c r="B106" s="37">
        <v>102.3</v>
      </c>
    </row>
    <row r="107" spans="2:29" x14ac:dyDescent="0.2">
      <c r="B107" s="37">
        <v>108.1</v>
      </c>
    </row>
    <row r="108" spans="2:29" x14ac:dyDescent="0.2">
      <c r="B108" s="37">
        <v>80.2</v>
      </c>
    </row>
    <row r="109" spans="2:29" x14ac:dyDescent="0.2">
      <c r="B109" s="37">
        <v>89.1</v>
      </c>
    </row>
    <row r="110" spans="2:29" x14ac:dyDescent="0.2">
      <c r="B110" s="37">
        <v>77.2</v>
      </c>
    </row>
    <row r="111" spans="2:29" x14ac:dyDescent="0.2">
      <c r="B111" s="37">
        <v>85.1</v>
      </c>
    </row>
    <row r="112" spans="2:29" x14ac:dyDescent="0.2">
      <c r="B112" s="37">
        <v>71.5</v>
      </c>
    </row>
    <row r="113" spans="1:8" x14ac:dyDescent="0.2">
      <c r="B113" s="37">
        <v>84.5</v>
      </c>
    </row>
    <row r="114" spans="1:8" x14ac:dyDescent="0.2">
      <c r="B114" s="37">
        <v>77.5</v>
      </c>
    </row>
    <row r="115" spans="1:8" x14ac:dyDescent="0.2">
      <c r="B115" s="37">
        <v>79.2</v>
      </c>
    </row>
    <row r="116" spans="1:8" x14ac:dyDescent="0.2">
      <c r="B116" s="37">
        <v>71</v>
      </c>
    </row>
    <row r="117" spans="1:8" x14ac:dyDescent="0.2">
      <c r="B117" s="37">
        <v>90.2</v>
      </c>
    </row>
    <row r="118" spans="1:8" x14ac:dyDescent="0.2">
      <c r="A118" s="57" t="s">
        <v>118</v>
      </c>
      <c r="B118" s="37">
        <f>SUM(B92:B117)</f>
        <v>2316.1999999999994</v>
      </c>
    </row>
    <row r="119" spans="1:8" x14ac:dyDescent="0.2">
      <c r="A119" s="57" t="s">
        <v>119</v>
      </c>
      <c r="B119" s="37">
        <f>B118^2/B83</f>
        <v>206337.78615384601</v>
      </c>
    </row>
    <row r="121" spans="1:8" x14ac:dyDescent="0.2">
      <c r="A121" s="25" t="s">
        <v>110</v>
      </c>
      <c r="B121" s="25"/>
    </row>
    <row r="122" spans="1:8" x14ac:dyDescent="0.2">
      <c r="A122" s="57" t="s">
        <v>121</v>
      </c>
      <c r="B122" s="37">
        <v>1</v>
      </c>
      <c r="D122" s="57" t="s">
        <v>125</v>
      </c>
      <c r="E122" s="37">
        <f>B123-B119</f>
        <v>392.85041666665347</v>
      </c>
      <c r="G122" s="66" t="s">
        <v>137</v>
      </c>
      <c r="H122" s="26">
        <f>E122+B84</f>
        <v>4091.213846153832</v>
      </c>
    </row>
    <row r="123" spans="1:8" x14ac:dyDescent="0.2">
      <c r="A123" s="57" t="s">
        <v>198</v>
      </c>
      <c r="B123" s="37" cm="1">
        <f t="array" ref="B123">MMULT(_xlfn.ANCHORARRAY(D99),B92:B117)</f>
        <v>206730.63657051267</v>
      </c>
      <c r="D123" s="57" t="s">
        <v>126</v>
      </c>
      <c r="E123" s="37">
        <f>E122/B122</f>
        <v>392.85041666665347</v>
      </c>
      <c r="G123" s="66" t="s">
        <v>201</v>
      </c>
      <c r="H123" s="26">
        <f>B86+E124</f>
        <v>25</v>
      </c>
    </row>
    <row r="124" spans="1:8" x14ac:dyDescent="0.2">
      <c r="A124" s="57" t="s">
        <v>113</v>
      </c>
      <c r="B124" s="37">
        <v>154.09847622863245</v>
      </c>
      <c r="D124" s="57" t="s">
        <v>199</v>
      </c>
      <c r="E124" s="37">
        <f>B122</f>
        <v>1</v>
      </c>
    </row>
    <row r="126" spans="1:8" x14ac:dyDescent="0.2">
      <c r="A126" s="57" t="s">
        <v>129</v>
      </c>
      <c r="B126" s="26">
        <f>E123/B124</f>
        <v>2.5493465365860604</v>
      </c>
    </row>
    <row r="127" spans="1:8" x14ac:dyDescent="0.2">
      <c r="A127" s="57" t="s">
        <v>130</v>
      </c>
      <c r="B127" s="26">
        <f>_xlfn.F.INV.RT(0.05,B122,(B83-B82))</f>
        <v>4.2596772726902348</v>
      </c>
    </row>
    <row r="129" spans="1:16" x14ac:dyDescent="0.2">
      <c r="A129" s="64" t="s">
        <v>131</v>
      </c>
      <c r="B129" s="64"/>
      <c r="C129" s="64"/>
    </row>
    <row r="130" spans="1:16" x14ac:dyDescent="0.2">
      <c r="A130" s="114" t="s">
        <v>132</v>
      </c>
      <c r="B130" s="40" t="s">
        <v>154</v>
      </c>
    </row>
    <row r="131" spans="1:16" x14ac:dyDescent="0.2">
      <c r="A131" s="57" t="s">
        <v>134</v>
      </c>
      <c r="B131" s="25" t="s">
        <v>200</v>
      </c>
      <c r="C131" s="25"/>
      <c r="D131" s="25"/>
      <c r="E131" s="25"/>
      <c r="F131" s="25"/>
      <c r="G131" s="25"/>
      <c r="H131" s="25"/>
      <c r="I131" s="25"/>
      <c r="J131" s="25"/>
      <c r="K131" s="25"/>
      <c r="L131" s="25"/>
      <c r="M131" s="25"/>
      <c r="N131" s="25"/>
      <c r="O131" s="25"/>
      <c r="P131" s="25"/>
    </row>
    <row r="134" spans="1:16" x14ac:dyDescent="0.2">
      <c r="A134" s="93" t="s">
        <v>169</v>
      </c>
      <c r="B134" s="93"/>
      <c r="C134" s="93"/>
    </row>
    <row r="137" spans="1:16" x14ac:dyDescent="0.2">
      <c r="A137" s="111" t="s">
        <v>202</v>
      </c>
      <c r="B137" s="112" t="s">
        <v>203</v>
      </c>
      <c r="C137" s="112" t="s">
        <v>204</v>
      </c>
      <c r="D137" s="112" t="s">
        <v>205</v>
      </c>
      <c r="E137" s="108" t="s">
        <v>206</v>
      </c>
    </row>
    <row r="138" spans="1:16" x14ac:dyDescent="0.2">
      <c r="A138" s="109" t="s">
        <v>99</v>
      </c>
      <c r="B138" s="99">
        <v>392.85041666665347</v>
      </c>
      <c r="C138" s="99">
        <v>1</v>
      </c>
      <c r="D138" s="99">
        <v>392.85041666665347</v>
      </c>
      <c r="E138" s="38">
        <v>2.5493465365860604</v>
      </c>
    </row>
    <row r="139" spans="1:16" x14ac:dyDescent="0.2">
      <c r="A139" s="31" t="s">
        <v>100</v>
      </c>
      <c r="B139" s="38">
        <v>3698.3634294871786</v>
      </c>
      <c r="C139" s="38">
        <v>24</v>
      </c>
      <c r="D139" s="38">
        <v>154.09847622863245</v>
      </c>
      <c r="E139" s="38"/>
    </row>
    <row r="140" spans="1:16" x14ac:dyDescent="0.2">
      <c r="A140" s="110" t="s">
        <v>101</v>
      </c>
      <c r="B140" s="113">
        <v>4091.213846153832</v>
      </c>
      <c r="C140" s="113">
        <f>C138+C139</f>
        <v>25</v>
      </c>
      <c r="D140" s="113"/>
      <c r="E140" s="113"/>
    </row>
    <row r="143" spans="1:16" x14ac:dyDescent="0.2">
      <c r="A143" s="119" t="s">
        <v>207</v>
      </c>
      <c r="B143" s="120"/>
      <c r="C143" s="120"/>
    </row>
    <row r="145" spans="2:6" x14ac:dyDescent="0.2">
      <c r="B145" s="57" t="s">
        <v>80</v>
      </c>
      <c r="C145" s="57" t="s">
        <v>81</v>
      </c>
      <c r="D145" s="57" t="s">
        <v>85</v>
      </c>
      <c r="E145" s="57" t="s">
        <v>87</v>
      </c>
      <c r="F145" s="57" t="s">
        <v>195</v>
      </c>
    </row>
    <row r="146" spans="2:6" x14ac:dyDescent="0.2">
      <c r="B146" s="37">
        <v>0.1</v>
      </c>
      <c r="C146" s="37">
        <v>77.2</v>
      </c>
      <c r="D146" s="37">
        <v>80.992948717948593</v>
      </c>
      <c r="E146" s="37">
        <v>-3.7929487179485903</v>
      </c>
      <c r="F146" s="37">
        <v>14.386459976987855</v>
      </c>
    </row>
    <row r="147" spans="2:6" x14ac:dyDescent="0.2">
      <c r="B147" s="37">
        <v>0.3</v>
      </c>
      <c r="C147" s="37">
        <v>76.5</v>
      </c>
      <c r="D147" s="37">
        <v>85.038782051281942</v>
      </c>
      <c r="E147" s="37">
        <v>-8.5387820512819417</v>
      </c>
      <c r="F147" s="37">
        <v>72.910798919294649</v>
      </c>
    </row>
    <row r="148" spans="2:6" x14ac:dyDescent="0.2">
      <c r="B148" s="37">
        <v>0.3</v>
      </c>
      <c r="C148" s="37">
        <v>76</v>
      </c>
      <c r="D148" s="37">
        <v>85.038782051281942</v>
      </c>
      <c r="E148" s="37">
        <v>-9.0387820512819417</v>
      </c>
      <c r="F148" s="37">
        <v>81.699580970576591</v>
      </c>
    </row>
    <row r="149" spans="2:6" x14ac:dyDescent="0.2">
      <c r="B149" s="37">
        <v>0.3</v>
      </c>
      <c r="C149" s="37">
        <v>79.900000000000006</v>
      </c>
      <c r="D149" s="37">
        <v>85.038782051281942</v>
      </c>
      <c r="E149" s="37">
        <v>-5.138782051281936</v>
      </c>
      <c r="F149" s="37">
        <v>26.407080970577383</v>
      </c>
    </row>
    <row r="150" spans="2:6" x14ac:dyDescent="0.2">
      <c r="B150" s="37">
        <v>0.3</v>
      </c>
      <c r="C150" s="37">
        <v>83.5</v>
      </c>
      <c r="D150" s="37">
        <v>85.038782051281942</v>
      </c>
      <c r="E150" s="37">
        <v>-1.5387820512819417</v>
      </c>
      <c r="F150" s="37">
        <v>2.3678502013474603</v>
      </c>
    </row>
    <row r="151" spans="2:6" x14ac:dyDescent="0.2">
      <c r="B151" s="37">
        <v>0.3</v>
      </c>
      <c r="C151" s="37">
        <v>89.4</v>
      </c>
      <c r="D151" s="37">
        <v>85.038782051281942</v>
      </c>
      <c r="E151" s="37">
        <v>4.361217948718064</v>
      </c>
      <c r="F151" s="37">
        <v>19.020221996220599</v>
      </c>
    </row>
    <row r="152" spans="2:6" x14ac:dyDescent="0.2">
      <c r="B152" s="37">
        <v>0.3</v>
      </c>
      <c r="C152" s="37">
        <v>97.5</v>
      </c>
      <c r="D152" s="37">
        <v>85.038782051281942</v>
      </c>
      <c r="E152" s="37">
        <v>12.461217948718058</v>
      </c>
      <c r="F152" s="37">
        <v>155.2819527654531</v>
      </c>
    </row>
    <row r="153" spans="2:6" x14ac:dyDescent="0.2">
      <c r="B153" s="37">
        <v>0.3</v>
      </c>
      <c r="C153" s="37">
        <v>103.2</v>
      </c>
      <c r="D153" s="37">
        <v>85.038782051281942</v>
      </c>
      <c r="E153" s="37">
        <v>18.161217948718061</v>
      </c>
      <c r="F153" s="37">
        <v>329.82983738083908</v>
      </c>
    </row>
    <row r="154" spans="2:6" x14ac:dyDescent="0.2">
      <c r="B154" s="37">
        <v>0.3</v>
      </c>
      <c r="C154" s="37">
        <v>108.7</v>
      </c>
      <c r="D154" s="37">
        <v>85.038782051281942</v>
      </c>
      <c r="E154" s="37">
        <v>23.661217948718061</v>
      </c>
      <c r="F154" s="37">
        <v>559.85323481673777</v>
      </c>
    </row>
    <row r="155" spans="2:6" x14ac:dyDescent="0.2">
      <c r="B155" s="37">
        <v>0.5</v>
      </c>
      <c r="C155" s="37">
        <v>80.2</v>
      </c>
      <c r="D155" s="37">
        <v>89.08461538461529</v>
      </c>
      <c r="E155" s="37">
        <v>-8.8846153846152873</v>
      </c>
      <c r="F155" s="37">
        <v>78.936390532542646</v>
      </c>
    </row>
    <row r="156" spans="2:6" x14ac:dyDescent="0.2">
      <c r="B156" s="37">
        <v>0.5</v>
      </c>
      <c r="C156" s="37">
        <v>89.1</v>
      </c>
      <c r="D156" s="37">
        <v>89.08461538461529</v>
      </c>
      <c r="E156" s="37">
        <v>1.5384615384704148E-2</v>
      </c>
      <c r="F156" s="37">
        <v>2.3668639053527556E-4</v>
      </c>
    </row>
    <row r="157" spans="2:6" x14ac:dyDescent="0.2">
      <c r="B157" s="37">
        <v>0.5</v>
      </c>
      <c r="C157" s="37">
        <v>71.5</v>
      </c>
      <c r="D157" s="37">
        <v>89.08461538461529</v>
      </c>
      <c r="E157" s="37">
        <v>-17.58461538461529</v>
      </c>
      <c r="F157" s="37">
        <v>309.21869822484877</v>
      </c>
    </row>
    <row r="158" spans="2:6" x14ac:dyDescent="0.2">
      <c r="B158" s="37">
        <v>0.5</v>
      </c>
      <c r="C158" s="37">
        <v>84.5</v>
      </c>
      <c r="D158" s="37">
        <v>89.08461538461529</v>
      </c>
      <c r="E158" s="37">
        <v>-4.5846153846152902</v>
      </c>
      <c r="F158" s="37">
        <v>21.018698224851207</v>
      </c>
    </row>
    <row r="159" spans="2:6" x14ac:dyDescent="0.2">
      <c r="B159" s="37">
        <v>0.5</v>
      </c>
      <c r="C159" s="37">
        <v>77.5</v>
      </c>
      <c r="D159" s="37">
        <v>89.08461538461529</v>
      </c>
      <c r="E159" s="37">
        <v>-11.58461538461529</v>
      </c>
      <c r="F159" s="37">
        <v>134.20331360946525</v>
      </c>
    </row>
    <row r="160" spans="2:6" x14ac:dyDescent="0.2">
      <c r="B160" s="37">
        <v>0.5</v>
      </c>
      <c r="C160" s="37">
        <v>79.2</v>
      </c>
      <c r="D160" s="37">
        <v>89.08461538461529</v>
      </c>
      <c r="E160" s="37">
        <v>-9.8846153846152873</v>
      </c>
      <c r="F160" s="37">
        <v>97.70562130177322</v>
      </c>
    </row>
    <row r="161" spans="1:6" x14ac:dyDescent="0.2">
      <c r="B161" s="37">
        <v>0.5</v>
      </c>
      <c r="C161" s="37">
        <v>71</v>
      </c>
      <c r="D161" s="37">
        <v>89.08461538461529</v>
      </c>
      <c r="E161" s="37">
        <v>-18.08461538461529</v>
      </c>
      <c r="F161" s="37">
        <v>327.05331360946406</v>
      </c>
    </row>
    <row r="162" spans="1:6" x14ac:dyDescent="0.2">
      <c r="B162" s="37">
        <v>0.5</v>
      </c>
      <c r="C162" s="37">
        <v>90.2</v>
      </c>
      <c r="D162" s="37">
        <v>89.08461538461529</v>
      </c>
      <c r="E162" s="37">
        <v>1.1153846153847127</v>
      </c>
      <c r="F162" s="37">
        <v>1.2440828402369035</v>
      </c>
    </row>
    <row r="163" spans="1:6" x14ac:dyDescent="0.2">
      <c r="B163" s="37">
        <v>0.7</v>
      </c>
      <c r="C163" s="37">
        <v>89.5</v>
      </c>
      <c r="D163" s="37">
        <v>93.130448717948639</v>
      </c>
      <c r="E163" s="37">
        <v>-3.6304487179486387</v>
      </c>
      <c r="F163" s="37">
        <v>13.180157893654915</v>
      </c>
    </row>
    <row r="164" spans="1:6" x14ac:dyDescent="0.2">
      <c r="B164" s="37">
        <v>0.7</v>
      </c>
      <c r="C164" s="37">
        <v>84.2</v>
      </c>
      <c r="D164" s="37">
        <v>93.130448717948639</v>
      </c>
      <c r="E164" s="37">
        <v>-8.9304487179486358</v>
      </c>
      <c r="F164" s="37">
        <v>79.75291430391043</v>
      </c>
    </row>
    <row r="165" spans="1:6" x14ac:dyDescent="0.2">
      <c r="B165" s="37">
        <v>0.7</v>
      </c>
      <c r="C165" s="37">
        <v>85.7</v>
      </c>
      <c r="D165" s="37">
        <v>93.130448717948639</v>
      </c>
      <c r="E165" s="37">
        <v>-7.4304487179486358</v>
      </c>
      <c r="F165" s="37">
        <v>55.211568150064522</v>
      </c>
    </row>
    <row r="166" spans="1:6" x14ac:dyDescent="0.2">
      <c r="B166" s="37">
        <v>0.7</v>
      </c>
      <c r="C166" s="37">
        <v>99.5</v>
      </c>
      <c r="D166" s="37">
        <v>93.130448717948639</v>
      </c>
      <c r="E166" s="37">
        <v>6.3695512820513613</v>
      </c>
      <c r="F166" s="37">
        <v>40.571183534682142</v>
      </c>
    </row>
    <row r="167" spans="1:6" x14ac:dyDescent="0.2">
      <c r="B167" s="37">
        <v>0.7</v>
      </c>
      <c r="C167" s="37">
        <v>115.2</v>
      </c>
      <c r="D167" s="37">
        <v>93.130448717948639</v>
      </c>
      <c r="E167" s="37">
        <v>22.069551282051364</v>
      </c>
      <c r="F167" s="37">
        <v>487.06509379109502</v>
      </c>
    </row>
    <row r="168" spans="1:6" x14ac:dyDescent="0.2">
      <c r="B168" s="37">
        <v>0.7</v>
      </c>
      <c r="C168" s="37">
        <v>111.5</v>
      </c>
      <c r="D168" s="37">
        <v>93.130448717948639</v>
      </c>
      <c r="E168" s="37">
        <v>18.369551282051361</v>
      </c>
      <c r="F168" s="37">
        <v>337.44041430391479</v>
      </c>
    </row>
    <row r="169" spans="1:6" x14ac:dyDescent="0.2">
      <c r="B169" s="37">
        <v>0.7</v>
      </c>
      <c r="C169" s="37">
        <v>102.3</v>
      </c>
      <c r="D169" s="37">
        <v>93.130448717948639</v>
      </c>
      <c r="E169" s="37">
        <v>9.1695512820513585</v>
      </c>
      <c r="F169" s="37">
        <v>84.080670714169713</v>
      </c>
    </row>
    <row r="170" spans="1:6" x14ac:dyDescent="0.2">
      <c r="B170" s="37">
        <v>0.7</v>
      </c>
      <c r="C170" s="37">
        <v>108.1</v>
      </c>
      <c r="D170" s="37">
        <v>93.130448717948639</v>
      </c>
      <c r="E170" s="37">
        <v>14.969551282051356</v>
      </c>
      <c r="F170" s="37">
        <v>224.08746558596539</v>
      </c>
    </row>
    <row r="171" spans="1:6" x14ac:dyDescent="0.2">
      <c r="B171" s="37">
        <v>0.9</v>
      </c>
      <c r="C171" s="37">
        <v>85.1</v>
      </c>
      <c r="D171" s="37">
        <v>97.176282051281987</v>
      </c>
      <c r="E171" s="37">
        <v>-12.076282051281993</v>
      </c>
      <c r="F171" s="37">
        <v>145.83658818211561</v>
      </c>
    </row>
    <row r="174" spans="1:6" x14ac:dyDescent="0.2">
      <c r="A174" s="70" t="s">
        <v>214</v>
      </c>
      <c r="B174" s="70"/>
      <c r="C174" s="70"/>
    </row>
    <row r="175" spans="1:6" x14ac:dyDescent="0.2">
      <c r="A175" s="57" t="s">
        <v>208</v>
      </c>
      <c r="B175" s="57" t="s">
        <v>209</v>
      </c>
      <c r="C175" s="57" t="s">
        <v>210</v>
      </c>
      <c r="D175" s="57" t="s">
        <v>211</v>
      </c>
    </row>
    <row r="176" spans="1:6" x14ac:dyDescent="0.2">
      <c r="A176" s="37">
        <v>0.3</v>
      </c>
      <c r="B176" s="37">
        <f>(C147+C148+C149+C150+C151+C152+C153+C154)/8</f>
        <v>89.337500000000006</v>
      </c>
      <c r="C176" s="37">
        <f>(C147-B176)^2+(C148-B176)^2+(C149-B176)^2+(C150-B176)^2+(C151-B176)^2+(C152-B176)^2+(C153-B176)^2+(C154-B176)^2</f>
        <v>1099.5387500000002</v>
      </c>
      <c r="D176" s="37">
        <f>COUNT(C147:C154)-1</f>
        <v>7</v>
      </c>
    </row>
    <row r="177" spans="1:13" x14ac:dyDescent="0.2">
      <c r="A177" s="37">
        <v>0.5</v>
      </c>
      <c r="B177" s="37">
        <f>(C155+C156+C157+C158+C159+C160+C161+C162)/8</f>
        <v>80.400000000000006</v>
      </c>
      <c r="C177" s="37">
        <f>(C155-B177)^2+(C156-B177)^2+(C157-B177)^2+(C158-B177)^2+(C159-B177)^2+(C160-B177)^2+(C161-B177)^2+(C162-B177)^2</f>
        <v>365.99999999999994</v>
      </c>
      <c r="D177" s="37">
        <f>COUNT(C155:C162)-1</f>
        <v>7</v>
      </c>
    </row>
    <row r="178" spans="1:13" x14ac:dyDescent="0.2">
      <c r="A178" s="37">
        <v>0.7</v>
      </c>
      <c r="B178" s="37">
        <f>(C163+C164+C165+C166+C167+C168+C169+C170)/8</f>
        <v>99.499999999999986</v>
      </c>
      <c r="C178" s="37">
        <f>(C163-B178)^2+(C164-B178)^2+(C165-B178)^2+(C166-B178)^2+(C167-B178)^2+(C168-B178)^2+(C169-B178)^2+(C170-B178)^2</f>
        <v>996.81999999999994</v>
      </c>
      <c r="D178" s="37">
        <f>COUNT(C163:C170)-1</f>
        <v>7</v>
      </c>
    </row>
    <row r="179" spans="1:13" x14ac:dyDescent="0.2">
      <c r="A179" s="37" t="s">
        <v>212</v>
      </c>
      <c r="B179" s="37">
        <f>SUM(B176:B178)</f>
        <v>269.23750000000001</v>
      </c>
      <c r="C179" s="37">
        <f>SUM(C176:C178)</f>
        <v>2462.3587500000003</v>
      </c>
      <c r="D179" s="37">
        <f>SUM(D176:D178)</f>
        <v>21</v>
      </c>
    </row>
    <row r="182" spans="1:13" x14ac:dyDescent="0.2">
      <c r="A182" s="64" t="s">
        <v>110</v>
      </c>
      <c r="B182" s="64"/>
    </row>
    <row r="184" spans="1:13" x14ac:dyDescent="0.2">
      <c r="A184" s="57" t="s">
        <v>114</v>
      </c>
      <c r="B184" s="37">
        <v>26</v>
      </c>
    </row>
    <row r="185" spans="1:13" x14ac:dyDescent="0.2">
      <c r="A185" s="57" t="s">
        <v>163</v>
      </c>
      <c r="B185" s="37">
        <v>5</v>
      </c>
    </row>
    <row r="187" spans="1:13" x14ac:dyDescent="0.2">
      <c r="A187" s="57" t="s">
        <v>125</v>
      </c>
      <c r="B187" s="37">
        <v>392.85041666665347</v>
      </c>
      <c r="D187" s="57" t="s">
        <v>111</v>
      </c>
      <c r="E187" s="37">
        <v>3698.3634294871786</v>
      </c>
      <c r="H187" s="57" t="s">
        <v>220</v>
      </c>
      <c r="I187" s="37">
        <f>C179</f>
        <v>2462.3587500000003</v>
      </c>
      <c r="L187" s="57" t="s">
        <v>223</v>
      </c>
      <c r="M187" s="37">
        <f>E187-I187</f>
        <v>1236.0046794871782</v>
      </c>
    </row>
    <row r="188" spans="1:13" x14ac:dyDescent="0.2">
      <c r="A188" s="57" t="s">
        <v>126</v>
      </c>
      <c r="B188" s="37">
        <v>392.85041666665347</v>
      </c>
      <c r="D188" s="57" t="s">
        <v>113</v>
      </c>
      <c r="E188" s="37">
        <v>154.09847622863245</v>
      </c>
      <c r="H188" s="57" t="s">
        <v>221</v>
      </c>
      <c r="I188" s="37">
        <f>I187/(B184-B185)</f>
        <v>117.25517857142859</v>
      </c>
      <c r="L188" s="57" t="s">
        <v>224</v>
      </c>
      <c r="M188" s="37">
        <f>M187/(B185-2)</f>
        <v>412.00155982905943</v>
      </c>
    </row>
    <row r="189" spans="1:13" x14ac:dyDescent="0.2">
      <c r="A189" s="57" t="s">
        <v>199</v>
      </c>
      <c r="B189" s="37">
        <v>1</v>
      </c>
      <c r="D189" s="57" t="s">
        <v>127</v>
      </c>
      <c r="E189" s="37">
        <v>24</v>
      </c>
      <c r="H189" s="57" t="s">
        <v>222</v>
      </c>
      <c r="I189" s="37">
        <f>D179</f>
        <v>21</v>
      </c>
      <c r="L189" s="57" t="s">
        <v>225</v>
      </c>
      <c r="M189" s="37">
        <f>B185-2</f>
        <v>3</v>
      </c>
    </row>
    <row r="192" spans="1:13" x14ac:dyDescent="0.2">
      <c r="A192" s="64" t="s">
        <v>213</v>
      </c>
      <c r="B192" s="64"/>
      <c r="C192" s="64"/>
    </row>
    <row r="194" spans="1:5" x14ac:dyDescent="0.2">
      <c r="A194" s="124" t="s">
        <v>202</v>
      </c>
      <c r="B194" s="124" t="s">
        <v>203</v>
      </c>
      <c r="C194" s="124" t="s">
        <v>215</v>
      </c>
      <c r="D194" s="124" t="s">
        <v>205</v>
      </c>
      <c r="E194" s="124" t="s">
        <v>216</v>
      </c>
    </row>
    <row r="195" spans="1:5" x14ac:dyDescent="0.2">
      <c r="A195" s="37" t="s">
        <v>99</v>
      </c>
      <c r="B195" s="37">
        <v>392.85041666665347</v>
      </c>
      <c r="C195" s="37">
        <v>1</v>
      </c>
      <c r="D195" s="37">
        <v>392.85041666665347</v>
      </c>
      <c r="E195" s="27">
        <f>D197/D198</f>
        <v>3.5137173884228878</v>
      </c>
    </row>
    <row r="196" spans="1:5" x14ac:dyDescent="0.2">
      <c r="A196" s="37" t="s">
        <v>100</v>
      </c>
      <c r="B196" s="37">
        <v>3698.3634294871786</v>
      </c>
      <c r="C196" s="37">
        <v>24</v>
      </c>
      <c r="D196" s="37">
        <v>154.09847622863245</v>
      </c>
      <c r="E196" s="27"/>
    </row>
    <row r="197" spans="1:5" x14ac:dyDescent="0.2">
      <c r="A197" s="108" t="s">
        <v>217</v>
      </c>
      <c r="B197" s="37">
        <v>1236.0046794871782</v>
      </c>
      <c r="C197" s="37">
        <v>3</v>
      </c>
      <c r="D197" s="37">
        <v>412.00155982905943</v>
      </c>
      <c r="E197" s="27"/>
    </row>
    <row r="198" spans="1:5" x14ac:dyDescent="0.2">
      <c r="A198" s="108" t="s">
        <v>218</v>
      </c>
      <c r="B198" s="37">
        <v>2462.3587500000003</v>
      </c>
      <c r="C198" s="37">
        <v>21</v>
      </c>
      <c r="D198" s="37">
        <v>117.25517857142859</v>
      </c>
      <c r="E198" s="27"/>
    </row>
    <row r="199" spans="1:5" x14ac:dyDescent="0.2">
      <c r="A199" s="108" t="s">
        <v>219</v>
      </c>
      <c r="B199" s="37">
        <f>B195+B196</f>
        <v>4091.213846153832</v>
      </c>
      <c r="C199" s="37">
        <f>C195+C196</f>
        <v>25</v>
      </c>
      <c r="D199" s="37"/>
      <c r="E199" s="27"/>
    </row>
  </sheetData>
  <sortState xmlns:xlrd2="http://schemas.microsoft.com/office/spreadsheetml/2017/richdata2" ref="B146:F171">
    <sortCondition ref="B146:B171"/>
  </sortState>
  <mergeCells count="31">
    <mergeCell ref="A174:C174"/>
    <mergeCell ref="A182:B182"/>
    <mergeCell ref="A192:C192"/>
    <mergeCell ref="E195:E199"/>
    <mergeCell ref="D91:E91"/>
    <mergeCell ref="A129:C129"/>
    <mergeCell ref="B131:P131"/>
    <mergeCell ref="A134:C134"/>
    <mergeCell ref="D94:AC94"/>
    <mergeCell ref="D98:AC98"/>
    <mergeCell ref="A143:C143"/>
    <mergeCell ref="D63:E63"/>
    <mergeCell ref="D81:E81"/>
    <mergeCell ref="A80:B80"/>
    <mergeCell ref="A89:C89"/>
    <mergeCell ref="A121:B121"/>
    <mergeCell ref="I41:J41"/>
    <mergeCell ref="A50:C50"/>
    <mergeCell ref="D58:E58"/>
    <mergeCell ref="D52:AC52"/>
    <mergeCell ref="D55:AC55"/>
    <mergeCell ref="D60:E60"/>
    <mergeCell ref="F2:I4"/>
    <mergeCell ref="A5:C5"/>
    <mergeCell ref="D7:E7"/>
    <mergeCell ref="A35:C35"/>
    <mergeCell ref="A46:B46"/>
    <mergeCell ref="A47:B47"/>
    <mergeCell ref="A37:Z37"/>
    <mergeCell ref="A41:B41"/>
    <mergeCell ref="D41:E4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5DBD7-E051-0C49-947E-AF41D353F3FA}">
  <dimension ref="A2:T42"/>
  <sheetViews>
    <sheetView topLeftCell="A3" zoomScale="94" workbookViewId="0">
      <selection activeCell="P20" sqref="P20"/>
    </sheetView>
  </sheetViews>
  <sheetFormatPr baseColWidth="10" defaultRowHeight="16" x14ac:dyDescent="0.2"/>
  <cols>
    <col min="2" max="2" width="31" customWidth="1"/>
    <col min="3" max="3" width="18.83203125" customWidth="1"/>
    <col min="4" max="4" width="18.33203125" customWidth="1"/>
    <col min="5" max="5" width="19.5" customWidth="1"/>
  </cols>
  <sheetData>
    <row r="2" spans="1:10" x14ac:dyDescent="0.2">
      <c r="B2" s="27" t="s">
        <v>226</v>
      </c>
      <c r="C2" s="27"/>
      <c r="D2" s="27"/>
      <c r="E2" s="27"/>
      <c r="F2" s="27"/>
    </row>
    <row r="3" spans="1:10" x14ac:dyDescent="0.2">
      <c r="B3" s="27"/>
      <c r="C3" s="27"/>
      <c r="D3" s="27"/>
      <c r="E3" s="27"/>
      <c r="F3" s="27"/>
    </row>
    <row r="5" spans="1:10" x14ac:dyDescent="0.2">
      <c r="A5" s="95" t="s">
        <v>227</v>
      </c>
      <c r="B5" s="95"/>
      <c r="C5" s="95"/>
      <c r="D5" s="95"/>
      <c r="E5" s="95"/>
      <c r="F5" s="95"/>
      <c r="G5" s="95"/>
      <c r="H5" s="95"/>
      <c r="I5" s="95"/>
      <c r="J5" s="95"/>
    </row>
    <row r="7" spans="1:10" x14ac:dyDescent="0.2">
      <c r="A7" s="95" t="s">
        <v>228</v>
      </c>
      <c r="B7" s="95"/>
      <c r="C7" s="95"/>
      <c r="D7" s="95"/>
      <c r="E7" s="95"/>
      <c r="F7" s="95"/>
      <c r="G7" s="95"/>
      <c r="H7" s="95"/>
      <c r="I7" s="95"/>
      <c r="J7" s="95"/>
    </row>
    <row r="9" spans="1:10" x14ac:dyDescent="0.2">
      <c r="B9" s="93" t="s">
        <v>169</v>
      </c>
      <c r="C9" s="93"/>
      <c r="D9" s="93"/>
    </row>
    <row r="12" spans="1:10" x14ac:dyDescent="0.2">
      <c r="B12" s="108" t="s">
        <v>202</v>
      </c>
      <c r="C12" s="112" t="s">
        <v>203</v>
      </c>
      <c r="D12" s="112" t="s">
        <v>204</v>
      </c>
      <c r="E12" s="112" t="s">
        <v>205</v>
      </c>
      <c r="F12" s="108" t="s">
        <v>206</v>
      </c>
    </row>
    <row r="13" spans="1:10" x14ac:dyDescent="0.2">
      <c r="B13" s="97" t="s">
        <v>99</v>
      </c>
      <c r="C13" s="99">
        <v>392.85041666665347</v>
      </c>
      <c r="D13" s="99">
        <v>1</v>
      </c>
      <c r="E13" s="99">
        <v>392.85041666665347</v>
      </c>
      <c r="F13" s="38">
        <v>2.5493465365860604</v>
      </c>
    </row>
    <row r="14" spans="1:10" x14ac:dyDescent="0.2">
      <c r="B14" s="97" t="s">
        <v>100</v>
      </c>
      <c r="C14" s="38">
        <v>3698.3634294871786</v>
      </c>
      <c r="D14" s="38">
        <v>24</v>
      </c>
      <c r="E14" s="38">
        <v>154.09847622863245</v>
      </c>
      <c r="F14" s="38"/>
    </row>
    <row r="15" spans="1:10" x14ac:dyDescent="0.2">
      <c r="B15" s="122" t="s">
        <v>101</v>
      </c>
      <c r="C15" s="113">
        <v>4091.213846153832</v>
      </c>
      <c r="D15" s="113">
        <f>D13+D14</f>
        <v>25</v>
      </c>
      <c r="E15" s="113"/>
      <c r="F15" s="113"/>
    </row>
    <row r="18" spans="1:20" x14ac:dyDescent="0.2">
      <c r="B18" s="115" t="s">
        <v>229</v>
      </c>
      <c r="C18" s="115"/>
      <c r="D18" s="115"/>
    </row>
    <row r="20" spans="1:20" x14ac:dyDescent="0.2">
      <c r="B20" s="64" t="s">
        <v>131</v>
      </c>
      <c r="C20" s="64"/>
      <c r="D20" s="64"/>
    </row>
    <row r="21" spans="1:20" x14ac:dyDescent="0.2">
      <c r="B21" s="114" t="s">
        <v>132</v>
      </c>
      <c r="C21" s="40" t="s">
        <v>154</v>
      </c>
      <c r="S21" s="57" t="s">
        <v>129</v>
      </c>
      <c r="T21" s="37">
        <v>2.5493465365860604</v>
      </c>
    </row>
    <row r="22" spans="1:20" x14ac:dyDescent="0.2">
      <c r="B22" s="57" t="s">
        <v>134</v>
      </c>
      <c r="C22" s="25" t="s">
        <v>200</v>
      </c>
      <c r="D22" s="25"/>
      <c r="E22" s="25"/>
      <c r="F22" s="25"/>
      <c r="G22" s="25"/>
      <c r="H22" s="25"/>
      <c r="I22" s="25"/>
      <c r="J22" s="25"/>
      <c r="K22" s="25"/>
      <c r="L22" s="25"/>
      <c r="M22" s="25"/>
      <c r="N22" s="25"/>
      <c r="O22" s="25"/>
      <c r="P22" s="25"/>
      <c r="Q22" s="25"/>
      <c r="S22" s="57" t="s">
        <v>130</v>
      </c>
      <c r="T22" s="37">
        <v>4.2596772726902348</v>
      </c>
    </row>
    <row r="25" spans="1:20" x14ac:dyDescent="0.2">
      <c r="A25" s="95" t="s">
        <v>230</v>
      </c>
      <c r="B25" s="95"/>
      <c r="C25" s="95"/>
      <c r="D25" s="95"/>
      <c r="E25" s="95"/>
      <c r="F25" s="95"/>
      <c r="G25" s="95"/>
      <c r="H25" s="95"/>
      <c r="I25" s="95"/>
      <c r="J25" s="95"/>
    </row>
    <row r="27" spans="1:20" x14ac:dyDescent="0.2">
      <c r="B27" s="100" t="s">
        <v>214</v>
      </c>
      <c r="C27" s="101"/>
      <c r="D27" s="101"/>
      <c r="E27" s="101"/>
    </row>
    <row r="28" spans="1:20" x14ac:dyDescent="0.2">
      <c r="B28" s="37" t="s">
        <v>231</v>
      </c>
      <c r="C28" s="37" t="s">
        <v>209</v>
      </c>
      <c r="D28" s="37" t="s">
        <v>210</v>
      </c>
      <c r="E28" s="37" t="s">
        <v>211</v>
      </c>
    </row>
    <row r="29" spans="1:20" x14ac:dyDescent="0.2">
      <c r="B29" s="37">
        <v>0.3</v>
      </c>
      <c r="C29" s="37">
        <v>89.337500000000006</v>
      </c>
      <c r="D29" s="37">
        <v>1099.5387500000002</v>
      </c>
      <c r="E29" s="37">
        <v>7</v>
      </c>
    </row>
    <row r="30" spans="1:20" x14ac:dyDescent="0.2">
      <c r="B30" s="37">
        <v>0.5</v>
      </c>
      <c r="C30" s="37">
        <v>80.400000000000006</v>
      </c>
      <c r="D30" s="37">
        <v>365.99999999999994</v>
      </c>
      <c r="E30" s="37">
        <v>7</v>
      </c>
    </row>
    <row r="31" spans="1:20" x14ac:dyDescent="0.2">
      <c r="B31" s="37">
        <v>0.7</v>
      </c>
      <c r="C31" s="37">
        <v>99.499999999999986</v>
      </c>
      <c r="D31" s="37">
        <v>996.81999999999994</v>
      </c>
      <c r="E31" s="37">
        <v>7</v>
      </c>
    </row>
    <row r="32" spans="1:20" x14ac:dyDescent="0.2">
      <c r="B32" s="37" t="s">
        <v>212</v>
      </c>
      <c r="C32" s="37">
        <v>269.23750000000001</v>
      </c>
      <c r="D32" s="37">
        <v>2462.3587500000003</v>
      </c>
      <c r="E32" s="37">
        <v>21</v>
      </c>
    </row>
    <row r="35" spans="2:6" x14ac:dyDescent="0.2">
      <c r="B35" s="64" t="s">
        <v>213</v>
      </c>
      <c r="C35" s="64"/>
      <c r="D35" s="64"/>
    </row>
    <row r="37" spans="2:6" x14ac:dyDescent="0.2">
      <c r="B37" s="108" t="s">
        <v>202</v>
      </c>
      <c r="C37" s="108" t="s">
        <v>203</v>
      </c>
      <c r="D37" s="108" t="s">
        <v>215</v>
      </c>
      <c r="E37" s="108" t="s">
        <v>205</v>
      </c>
      <c r="F37" s="108" t="s">
        <v>216</v>
      </c>
    </row>
    <row r="38" spans="2:6" x14ac:dyDescent="0.2">
      <c r="B38" s="37" t="s">
        <v>99</v>
      </c>
      <c r="C38" s="37">
        <v>392.85041666665347</v>
      </c>
      <c r="D38" s="37">
        <v>1</v>
      </c>
      <c r="E38" s="37">
        <v>392.85041666665347</v>
      </c>
      <c r="F38" s="27">
        <f>E40/E41</f>
        <v>3.5137173884228878</v>
      </c>
    </row>
    <row r="39" spans="2:6" x14ac:dyDescent="0.2">
      <c r="B39" s="37" t="s">
        <v>100</v>
      </c>
      <c r="C39" s="37">
        <v>3698.3634294871786</v>
      </c>
      <c r="D39" s="37">
        <v>24</v>
      </c>
      <c r="E39" s="37">
        <v>154.09847622863245</v>
      </c>
      <c r="F39" s="27"/>
    </row>
    <row r="40" spans="2:6" x14ac:dyDescent="0.2">
      <c r="B40" s="108" t="s">
        <v>217</v>
      </c>
      <c r="C40" s="37">
        <v>1236.0046794871782</v>
      </c>
      <c r="D40" s="37">
        <v>3</v>
      </c>
      <c r="E40" s="37">
        <v>412.00155982905943</v>
      </c>
      <c r="F40" s="27"/>
    </row>
    <row r="41" spans="2:6" x14ac:dyDescent="0.2">
      <c r="B41" s="108" t="s">
        <v>218</v>
      </c>
      <c r="C41" s="37">
        <v>2462.3587500000003</v>
      </c>
      <c r="D41" s="37">
        <v>21</v>
      </c>
      <c r="E41" s="37">
        <v>117.25517857142859</v>
      </c>
      <c r="F41" s="27"/>
    </row>
    <row r="42" spans="2:6" x14ac:dyDescent="0.2">
      <c r="B42" s="108" t="s">
        <v>219</v>
      </c>
      <c r="C42" s="37">
        <f>C38+C39</f>
        <v>4091.213846153832</v>
      </c>
      <c r="D42" s="37">
        <f>D38+D39</f>
        <v>25</v>
      </c>
      <c r="E42" s="37"/>
      <c r="F42" s="27"/>
    </row>
  </sheetData>
  <mergeCells count="11">
    <mergeCell ref="C22:Q22"/>
    <mergeCell ref="A25:J25"/>
    <mergeCell ref="B27:E27"/>
    <mergeCell ref="B35:D35"/>
    <mergeCell ref="F38:F42"/>
    <mergeCell ref="B2:F3"/>
    <mergeCell ref="A5:J5"/>
    <mergeCell ref="A7:J7"/>
    <mergeCell ref="B9:D9"/>
    <mergeCell ref="B18:D18"/>
    <mergeCell ref="B20:D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Identitas Excell</vt:lpstr>
      <vt:lpstr>Perhitungan Nomer 1</vt:lpstr>
      <vt:lpstr>Jawaban Soal Nomer 1</vt:lpstr>
      <vt:lpstr>Perhitungan Nomer 2</vt:lpstr>
      <vt:lpstr>Jawaban Soal Nomer 2</vt:lpstr>
      <vt:lpstr>Perhitungan Nomer 3</vt:lpstr>
      <vt:lpstr>Jawaban Soal Nomer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Putri Angga</dc:creator>
  <cp:lastModifiedBy>Reza Putri Angga</cp:lastModifiedBy>
  <dcterms:created xsi:type="dcterms:W3CDTF">2023-12-08T02:27:24Z</dcterms:created>
  <dcterms:modified xsi:type="dcterms:W3CDTF">2023-12-08T13:37:52Z</dcterms:modified>
</cp:coreProperties>
</file>