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rrgoncalve\Downloads\DATAB_DesafioPokemon\"/>
    </mc:Choice>
  </mc:AlternateContent>
  <xr:revisionPtr revIDLastSave="0" documentId="13_ncr:1_{F921B841-CD94-427D-929D-87A4416708C3}" xr6:coauthVersionLast="47" xr6:coauthVersionMax="47" xr10:uidLastSave="{00000000-0000-0000-0000-000000000000}"/>
  <bookViews>
    <workbookView xWindow="-120" yWindow="-120" windowWidth="29040" windowHeight="15840" xr2:uid="{00000000-000D-0000-FFFF-FFFF00000000}"/>
  </bookViews>
  <sheets>
    <sheet name="DaxStudio" sheetId="1" r:id="rId1"/>
    <sheet name="Especie traduzid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gm4JF1zgHuvpGI4N8we0U/x7jXKw=="/>
    </ext>
  </extLst>
</workbook>
</file>

<file path=xl/calcChain.xml><?xml version="1.0" encoding="utf-8"?>
<calcChain xmlns="http://schemas.openxmlformats.org/spreadsheetml/2006/main">
  <c r="E855" i="1" l="1"/>
  <c r="E902" i="1"/>
  <c r="F927" i="1"/>
  <c r="E927" i="1"/>
  <c r="F926" i="1"/>
  <c r="E926" i="1"/>
  <c r="F925" i="1"/>
  <c r="E925" i="1"/>
  <c r="F924" i="1"/>
  <c r="E924" i="1"/>
  <c r="F923" i="1"/>
  <c r="E923" i="1"/>
  <c r="F922" i="1"/>
  <c r="E922" i="1"/>
  <c r="F921" i="1"/>
  <c r="E921" i="1"/>
  <c r="F920" i="1"/>
  <c r="E920" i="1"/>
  <c r="F919" i="1"/>
  <c r="E919" i="1"/>
  <c r="F918" i="1"/>
  <c r="E918" i="1"/>
  <c r="F917" i="1"/>
  <c r="E917" i="1"/>
  <c r="F916" i="1"/>
  <c r="E916" i="1"/>
  <c r="F915" i="1"/>
  <c r="E915" i="1"/>
  <c r="F914" i="1"/>
  <c r="E914" i="1"/>
  <c r="F913" i="1"/>
  <c r="E913" i="1"/>
  <c r="F912" i="1"/>
  <c r="E912" i="1"/>
  <c r="F911" i="1"/>
  <c r="E911" i="1"/>
  <c r="F910" i="1"/>
  <c r="E910" i="1"/>
  <c r="F909" i="1"/>
  <c r="E909" i="1"/>
  <c r="F908" i="1"/>
  <c r="E908" i="1"/>
  <c r="F907" i="1"/>
  <c r="E907" i="1"/>
  <c r="F906" i="1"/>
  <c r="E906" i="1"/>
  <c r="F905" i="1"/>
  <c r="E905" i="1"/>
  <c r="F904" i="1"/>
  <c r="E904" i="1"/>
  <c r="F903" i="1"/>
  <c r="E903" i="1"/>
  <c r="F902" i="1"/>
  <c r="F901" i="1"/>
  <c r="E901" i="1"/>
  <c r="F900" i="1"/>
  <c r="E900" i="1"/>
  <c r="F899" i="1"/>
  <c r="E899" i="1"/>
  <c r="F898" i="1"/>
  <c r="E898" i="1"/>
  <c r="F897" i="1"/>
  <c r="E897" i="1"/>
  <c r="F896" i="1"/>
  <c r="E896" i="1"/>
  <c r="F895" i="1"/>
  <c r="E895" i="1"/>
  <c r="F894" i="1"/>
  <c r="E894" i="1"/>
  <c r="F893" i="1"/>
  <c r="E893" i="1"/>
  <c r="F892" i="1"/>
  <c r="E892" i="1"/>
  <c r="F891" i="1"/>
  <c r="E891" i="1"/>
  <c r="F890" i="1"/>
  <c r="E890" i="1"/>
  <c r="F889" i="1"/>
  <c r="E889" i="1"/>
  <c r="F888" i="1"/>
  <c r="E888" i="1"/>
  <c r="F887" i="1"/>
  <c r="E887" i="1"/>
  <c r="F886" i="1"/>
  <c r="E886" i="1"/>
  <c r="F885" i="1"/>
  <c r="E885" i="1"/>
  <c r="F884" i="1"/>
  <c r="E884" i="1"/>
  <c r="F883" i="1"/>
  <c r="E883" i="1"/>
  <c r="F882" i="1"/>
  <c r="E882" i="1"/>
  <c r="F881" i="1"/>
  <c r="E881" i="1"/>
  <c r="F880" i="1"/>
  <c r="E880" i="1"/>
  <c r="F879" i="1"/>
  <c r="E879" i="1"/>
  <c r="F878" i="1"/>
  <c r="E878" i="1"/>
  <c r="F877" i="1"/>
  <c r="E877" i="1"/>
  <c r="F876" i="1"/>
  <c r="E876" i="1"/>
  <c r="F875" i="1"/>
  <c r="E875" i="1"/>
  <c r="F874" i="1"/>
  <c r="E874" i="1"/>
  <c r="F873" i="1"/>
  <c r="E873" i="1"/>
  <c r="F872" i="1"/>
  <c r="E872" i="1"/>
  <c r="F871" i="1"/>
  <c r="E871" i="1"/>
  <c r="F870" i="1"/>
  <c r="E870" i="1"/>
  <c r="F869" i="1"/>
  <c r="E869" i="1"/>
  <c r="F868" i="1"/>
  <c r="E868" i="1"/>
  <c r="F867" i="1"/>
  <c r="E867" i="1"/>
  <c r="F866" i="1"/>
  <c r="E866" i="1"/>
  <c r="F865" i="1"/>
  <c r="E865" i="1"/>
  <c r="F864" i="1"/>
  <c r="E864" i="1"/>
  <c r="F863" i="1"/>
  <c r="E863" i="1"/>
  <c r="F862" i="1"/>
  <c r="E862" i="1"/>
  <c r="F861" i="1"/>
  <c r="E861" i="1"/>
  <c r="F860" i="1"/>
  <c r="E860" i="1"/>
  <c r="F859" i="1"/>
  <c r="E859" i="1"/>
  <c r="F858" i="1"/>
  <c r="E858" i="1"/>
  <c r="F857" i="1"/>
  <c r="E857" i="1"/>
  <c r="F856" i="1"/>
  <c r="E856" i="1"/>
  <c r="F855" i="1"/>
  <c r="F854" i="1"/>
  <c r="E854" i="1"/>
  <c r="F853" i="1"/>
  <c r="E853" i="1"/>
  <c r="F852" i="1"/>
  <c r="E852" i="1"/>
  <c r="F851" i="1"/>
  <c r="E851" i="1"/>
  <c r="F850" i="1"/>
  <c r="E850" i="1"/>
  <c r="F849" i="1"/>
  <c r="E849" i="1"/>
  <c r="F848" i="1"/>
  <c r="E848" i="1"/>
  <c r="F847" i="1"/>
  <c r="E847" i="1"/>
  <c r="F846" i="1"/>
  <c r="E846" i="1"/>
  <c r="F845" i="1"/>
  <c r="E845" i="1"/>
  <c r="F844" i="1"/>
  <c r="E844" i="1"/>
  <c r="F843" i="1"/>
  <c r="E843" i="1"/>
  <c r="F842" i="1"/>
  <c r="E842" i="1"/>
  <c r="F841" i="1"/>
  <c r="E841" i="1"/>
  <c r="F840" i="1"/>
  <c r="E840" i="1"/>
  <c r="F839" i="1"/>
  <c r="E839" i="1"/>
  <c r="F838" i="1"/>
  <c r="E838" i="1"/>
  <c r="F837" i="1"/>
  <c r="E837" i="1"/>
  <c r="F836" i="1"/>
  <c r="E836" i="1"/>
  <c r="F835" i="1"/>
  <c r="E835" i="1"/>
  <c r="F834" i="1"/>
  <c r="E834" i="1"/>
  <c r="F833" i="1"/>
  <c r="E833" i="1"/>
  <c r="F832" i="1"/>
  <c r="E832" i="1"/>
  <c r="F831" i="1"/>
  <c r="E831" i="1"/>
  <c r="F830" i="1"/>
  <c r="E830" i="1"/>
  <c r="F829" i="1"/>
  <c r="E829" i="1"/>
  <c r="F828" i="1"/>
  <c r="E828" i="1"/>
  <c r="F827" i="1"/>
  <c r="E827" i="1"/>
  <c r="F826" i="1"/>
  <c r="E826" i="1"/>
  <c r="F825" i="1"/>
  <c r="E825" i="1"/>
  <c r="F824" i="1"/>
  <c r="E824" i="1"/>
  <c r="F823" i="1"/>
  <c r="E823" i="1"/>
  <c r="F822" i="1"/>
  <c r="E822" i="1"/>
  <c r="F821" i="1"/>
  <c r="E821" i="1"/>
  <c r="F820" i="1"/>
  <c r="E820" i="1"/>
  <c r="F819" i="1"/>
  <c r="E819" i="1"/>
  <c r="F818" i="1"/>
  <c r="E818" i="1"/>
  <c r="F817" i="1"/>
  <c r="E817" i="1"/>
  <c r="F816" i="1"/>
  <c r="E816" i="1"/>
  <c r="F815" i="1"/>
  <c r="E815" i="1"/>
  <c r="F814" i="1"/>
  <c r="E814" i="1"/>
  <c r="F813" i="1"/>
  <c r="E813" i="1"/>
  <c r="F812" i="1"/>
  <c r="E812" i="1"/>
  <c r="F811" i="1"/>
  <c r="E811" i="1"/>
  <c r="F810" i="1"/>
  <c r="E810" i="1"/>
  <c r="F809" i="1"/>
  <c r="E809" i="1"/>
  <c r="F808" i="1"/>
  <c r="E808" i="1"/>
  <c r="F807" i="1"/>
  <c r="E807" i="1"/>
  <c r="F806" i="1"/>
  <c r="E806" i="1"/>
  <c r="F805" i="1"/>
  <c r="E805" i="1"/>
  <c r="F804" i="1"/>
  <c r="E804" i="1"/>
  <c r="F803" i="1"/>
  <c r="E803" i="1"/>
  <c r="F802" i="1"/>
  <c r="E802" i="1"/>
  <c r="F801" i="1"/>
  <c r="E801" i="1"/>
  <c r="F800" i="1"/>
  <c r="E800" i="1"/>
  <c r="F799" i="1"/>
  <c r="E799" i="1"/>
  <c r="F798" i="1"/>
  <c r="E798" i="1"/>
  <c r="F797" i="1"/>
  <c r="E797" i="1"/>
  <c r="F796" i="1"/>
  <c r="E796" i="1"/>
  <c r="F795" i="1"/>
  <c r="E795" i="1"/>
  <c r="F794" i="1"/>
  <c r="E794" i="1"/>
  <c r="F793" i="1"/>
  <c r="E793" i="1"/>
  <c r="F792" i="1"/>
  <c r="E792" i="1"/>
  <c r="F791" i="1"/>
  <c r="E791" i="1"/>
  <c r="F790" i="1"/>
  <c r="E790" i="1"/>
  <c r="F789" i="1"/>
  <c r="E789" i="1"/>
  <c r="F788" i="1"/>
  <c r="E788" i="1"/>
  <c r="F787" i="1"/>
  <c r="E787" i="1"/>
  <c r="F786" i="1"/>
  <c r="E786" i="1"/>
  <c r="F785" i="1"/>
  <c r="E785" i="1"/>
  <c r="F784" i="1"/>
  <c r="E784" i="1"/>
  <c r="F783" i="1"/>
  <c r="E783" i="1"/>
  <c r="F782" i="1"/>
  <c r="E782" i="1"/>
  <c r="F781" i="1"/>
  <c r="E781" i="1"/>
  <c r="F780" i="1"/>
  <c r="E780" i="1"/>
  <c r="F779" i="1"/>
  <c r="E779" i="1"/>
  <c r="F778" i="1"/>
  <c r="E778" i="1"/>
  <c r="F777" i="1"/>
  <c r="E777" i="1"/>
  <c r="F776" i="1"/>
  <c r="E776" i="1"/>
  <c r="F775" i="1"/>
  <c r="E775" i="1"/>
  <c r="F774" i="1"/>
  <c r="E774" i="1"/>
  <c r="F773" i="1"/>
  <c r="E773" i="1"/>
  <c r="F772" i="1"/>
  <c r="E772" i="1"/>
  <c r="F771" i="1"/>
  <c r="E771" i="1"/>
  <c r="F770" i="1"/>
  <c r="E770" i="1"/>
  <c r="F769" i="1"/>
  <c r="E769" i="1"/>
  <c r="F768" i="1"/>
  <c r="E768" i="1"/>
  <c r="F767" i="1"/>
  <c r="E767" i="1"/>
  <c r="F766" i="1"/>
  <c r="E766" i="1"/>
  <c r="F765" i="1"/>
  <c r="E765" i="1"/>
  <c r="F764" i="1"/>
  <c r="E764" i="1"/>
  <c r="F763" i="1"/>
  <c r="E763" i="1"/>
  <c r="F762" i="1"/>
  <c r="E762" i="1"/>
  <c r="F761" i="1"/>
  <c r="E761" i="1"/>
  <c r="F760" i="1"/>
  <c r="E760" i="1"/>
  <c r="F759" i="1"/>
  <c r="E759" i="1"/>
  <c r="F758" i="1"/>
  <c r="E758" i="1"/>
  <c r="F757" i="1"/>
  <c r="E757" i="1"/>
  <c r="F756" i="1"/>
  <c r="E756" i="1"/>
  <c r="F755" i="1"/>
  <c r="E755" i="1"/>
  <c r="F754" i="1"/>
  <c r="E754" i="1"/>
  <c r="F753" i="1"/>
  <c r="E753" i="1"/>
  <c r="F752" i="1"/>
  <c r="E752" i="1"/>
  <c r="F751" i="1"/>
  <c r="E751" i="1"/>
  <c r="F750" i="1"/>
  <c r="E750" i="1"/>
  <c r="F749" i="1"/>
  <c r="E749" i="1"/>
  <c r="F748" i="1"/>
  <c r="E748" i="1"/>
  <c r="F747" i="1"/>
  <c r="E747" i="1"/>
  <c r="F746" i="1"/>
  <c r="E746" i="1"/>
  <c r="F745" i="1"/>
  <c r="E745" i="1"/>
  <c r="F744" i="1"/>
  <c r="E744" i="1"/>
  <c r="F743" i="1"/>
  <c r="E743" i="1"/>
  <c r="F742" i="1"/>
  <c r="E742" i="1"/>
  <c r="F741" i="1"/>
  <c r="E741" i="1"/>
  <c r="F740" i="1"/>
  <c r="E740" i="1"/>
  <c r="F739" i="1"/>
  <c r="E739" i="1"/>
  <c r="F738" i="1"/>
  <c r="E738" i="1"/>
  <c r="F737" i="1"/>
  <c r="E737" i="1"/>
  <c r="F736" i="1"/>
  <c r="E736" i="1"/>
  <c r="F735" i="1"/>
  <c r="E735" i="1"/>
  <c r="F734" i="1"/>
  <c r="E734" i="1"/>
  <c r="F733" i="1"/>
  <c r="E733" i="1"/>
  <c r="F732" i="1"/>
  <c r="E732" i="1"/>
  <c r="F731" i="1"/>
  <c r="E731" i="1"/>
  <c r="F730" i="1"/>
  <c r="E730" i="1"/>
  <c r="F729" i="1"/>
  <c r="E729" i="1"/>
  <c r="F728" i="1"/>
  <c r="E728" i="1"/>
  <c r="F727" i="1"/>
  <c r="E727" i="1"/>
  <c r="F726" i="1"/>
  <c r="E726" i="1"/>
  <c r="F725" i="1"/>
  <c r="E725" i="1"/>
  <c r="F724" i="1"/>
  <c r="E724" i="1"/>
  <c r="F723" i="1"/>
  <c r="E723" i="1"/>
  <c r="F722" i="1"/>
  <c r="E722" i="1"/>
  <c r="F721" i="1"/>
  <c r="E721" i="1"/>
  <c r="F720" i="1"/>
  <c r="E720" i="1"/>
  <c r="F719" i="1"/>
  <c r="E719" i="1"/>
  <c r="F718" i="1"/>
  <c r="E718" i="1"/>
  <c r="F717" i="1"/>
  <c r="E717" i="1"/>
  <c r="F716" i="1"/>
  <c r="E716" i="1"/>
  <c r="F715" i="1"/>
  <c r="E715" i="1"/>
  <c r="F714" i="1"/>
  <c r="E714" i="1"/>
  <c r="F713" i="1"/>
  <c r="E713" i="1"/>
  <c r="F712" i="1"/>
  <c r="E712" i="1"/>
  <c r="F711" i="1"/>
  <c r="E711" i="1"/>
  <c r="F710" i="1"/>
  <c r="E710" i="1"/>
  <c r="F709" i="1"/>
  <c r="E709" i="1"/>
  <c r="F708" i="1"/>
  <c r="E708" i="1"/>
  <c r="F707" i="1"/>
  <c r="E707" i="1"/>
  <c r="F706" i="1"/>
  <c r="E706" i="1"/>
  <c r="F705" i="1"/>
  <c r="E705" i="1"/>
  <c r="F704" i="1"/>
  <c r="E704" i="1"/>
  <c r="F703" i="1"/>
  <c r="E703" i="1"/>
  <c r="F702" i="1"/>
  <c r="E702" i="1"/>
  <c r="F701" i="1"/>
  <c r="E701" i="1"/>
  <c r="F700" i="1"/>
  <c r="E700" i="1"/>
  <c r="F699" i="1"/>
  <c r="E699" i="1"/>
  <c r="F698" i="1"/>
  <c r="E698" i="1"/>
  <c r="F697" i="1"/>
  <c r="E697" i="1"/>
  <c r="F696" i="1"/>
  <c r="E696" i="1"/>
  <c r="F695" i="1"/>
  <c r="E695" i="1"/>
  <c r="F694" i="1"/>
  <c r="E694" i="1"/>
  <c r="F693" i="1"/>
  <c r="E693" i="1"/>
  <c r="F692" i="1"/>
  <c r="E692" i="1"/>
  <c r="F691" i="1"/>
  <c r="E691" i="1"/>
  <c r="F690" i="1"/>
  <c r="E690" i="1"/>
  <c r="F689" i="1"/>
  <c r="E689" i="1"/>
  <c r="F688" i="1"/>
  <c r="E688" i="1"/>
  <c r="F687" i="1"/>
  <c r="E687" i="1"/>
  <c r="F686" i="1"/>
  <c r="E686" i="1"/>
  <c r="F685" i="1"/>
  <c r="E685" i="1"/>
  <c r="F684" i="1"/>
  <c r="E684" i="1"/>
  <c r="F683" i="1"/>
  <c r="E683" i="1"/>
  <c r="F682" i="1"/>
  <c r="E682" i="1"/>
  <c r="F681" i="1"/>
  <c r="E681" i="1"/>
  <c r="F680" i="1"/>
  <c r="E680" i="1"/>
  <c r="F679" i="1"/>
  <c r="E679" i="1"/>
  <c r="F678" i="1"/>
  <c r="E678" i="1"/>
  <c r="F677" i="1"/>
  <c r="E677" i="1"/>
  <c r="F676" i="1"/>
  <c r="E676" i="1"/>
  <c r="F675" i="1"/>
  <c r="E675" i="1"/>
  <c r="F674" i="1"/>
  <c r="E674" i="1"/>
  <c r="F673" i="1"/>
  <c r="E673" i="1"/>
  <c r="F672" i="1"/>
  <c r="E672" i="1"/>
  <c r="F671" i="1"/>
  <c r="E671" i="1"/>
  <c r="F670" i="1"/>
  <c r="E670" i="1"/>
  <c r="F669" i="1"/>
  <c r="E669" i="1"/>
  <c r="F668" i="1"/>
  <c r="E668" i="1"/>
  <c r="F667" i="1"/>
  <c r="E667" i="1"/>
  <c r="F666" i="1"/>
  <c r="E666" i="1"/>
  <c r="F665" i="1"/>
  <c r="E665" i="1"/>
  <c r="F664" i="1"/>
  <c r="E664" i="1"/>
  <c r="F663" i="1"/>
  <c r="E663" i="1"/>
  <c r="F662" i="1"/>
  <c r="E662" i="1"/>
  <c r="F661" i="1"/>
  <c r="E661" i="1"/>
  <c r="F660" i="1"/>
  <c r="E660" i="1"/>
  <c r="F659" i="1"/>
  <c r="E659" i="1"/>
  <c r="F658" i="1"/>
  <c r="E658" i="1"/>
  <c r="F657" i="1"/>
  <c r="E657" i="1"/>
  <c r="F656" i="1"/>
  <c r="E656" i="1"/>
  <c r="F655" i="1"/>
  <c r="E655" i="1"/>
  <c r="F654" i="1"/>
  <c r="E654" i="1"/>
  <c r="F653" i="1"/>
  <c r="E653" i="1"/>
  <c r="F652" i="1"/>
  <c r="E652" i="1"/>
  <c r="F651" i="1"/>
  <c r="E651" i="1"/>
  <c r="F650" i="1"/>
  <c r="E650" i="1"/>
  <c r="F649" i="1"/>
  <c r="E649" i="1"/>
  <c r="F648" i="1"/>
  <c r="E648" i="1"/>
  <c r="F647" i="1"/>
  <c r="E647" i="1"/>
  <c r="F646" i="1"/>
  <c r="E646" i="1"/>
  <c r="F645" i="1"/>
  <c r="E645" i="1"/>
  <c r="F644" i="1"/>
  <c r="E644" i="1"/>
  <c r="F643" i="1"/>
  <c r="E643" i="1"/>
  <c r="F642" i="1"/>
  <c r="E642" i="1"/>
  <c r="F641" i="1"/>
  <c r="E641" i="1"/>
  <c r="F640" i="1"/>
  <c r="E640" i="1"/>
  <c r="F639" i="1"/>
  <c r="E639" i="1"/>
  <c r="F638" i="1"/>
  <c r="E638" i="1"/>
  <c r="F637" i="1"/>
  <c r="E637" i="1"/>
  <c r="F636" i="1"/>
  <c r="E636" i="1"/>
  <c r="F635" i="1"/>
  <c r="E635" i="1"/>
  <c r="F634" i="1"/>
  <c r="E634" i="1"/>
  <c r="F633" i="1"/>
  <c r="E633" i="1"/>
  <c r="F632" i="1"/>
  <c r="E632" i="1"/>
  <c r="F631" i="1"/>
  <c r="E631" i="1"/>
  <c r="F630" i="1"/>
  <c r="E630" i="1"/>
  <c r="F629" i="1"/>
  <c r="E629" i="1"/>
  <c r="F628" i="1"/>
  <c r="E628" i="1"/>
  <c r="F627" i="1"/>
  <c r="E627" i="1"/>
  <c r="F626" i="1"/>
  <c r="E626" i="1"/>
  <c r="F625" i="1"/>
  <c r="E625" i="1"/>
  <c r="F624" i="1"/>
  <c r="E624" i="1"/>
  <c r="F623" i="1"/>
  <c r="E623" i="1"/>
  <c r="F622" i="1"/>
  <c r="E622" i="1"/>
  <c r="F621" i="1"/>
  <c r="E621" i="1"/>
  <c r="F620" i="1"/>
  <c r="E620" i="1"/>
  <c r="F619" i="1"/>
  <c r="E619" i="1"/>
  <c r="F618" i="1"/>
  <c r="E618" i="1"/>
  <c r="F617" i="1"/>
  <c r="E617" i="1"/>
  <c r="F616" i="1"/>
  <c r="E616" i="1"/>
  <c r="F615" i="1"/>
  <c r="E615" i="1"/>
  <c r="F614" i="1"/>
  <c r="E614" i="1"/>
  <c r="F613" i="1"/>
  <c r="E613" i="1"/>
  <c r="F612" i="1"/>
  <c r="E612" i="1"/>
  <c r="F611" i="1"/>
  <c r="E611" i="1"/>
  <c r="F610" i="1"/>
  <c r="E610" i="1"/>
  <c r="F609" i="1"/>
  <c r="E609" i="1"/>
  <c r="F608" i="1"/>
  <c r="E608" i="1"/>
  <c r="F607" i="1"/>
  <c r="E607" i="1"/>
  <c r="F606" i="1"/>
  <c r="E606" i="1"/>
  <c r="F605" i="1"/>
  <c r="E605" i="1"/>
  <c r="F604" i="1"/>
  <c r="E604" i="1"/>
  <c r="F603" i="1"/>
  <c r="E603" i="1"/>
  <c r="F602" i="1"/>
  <c r="E602" i="1"/>
  <c r="F601" i="1"/>
  <c r="E601" i="1"/>
  <c r="F600" i="1"/>
  <c r="E600" i="1"/>
  <c r="F599" i="1"/>
  <c r="E599" i="1"/>
  <c r="F598" i="1"/>
  <c r="E598" i="1"/>
  <c r="F597" i="1"/>
  <c r="E597" i="1"/>
  <c r="F596" i="1"/>
  <c r="E596" i="1"/>
  <c r="F595" i="1"/>
  <c r="E595" i="1"/>
  <c r="F594" i="1"/>
  <c r="E594" i="1"/>
  <c r="F593" i="1"/>
  <c r="E593" i="1"/>
  <c r="F592" i="1"/>
  <c r="E592" i="1"/>
  <c r="F591" i="1"/>
  <c r="E591" i="1"/>
  <c r="F590" i="1"/>
  <c r="E590" i="1"/>
  <c r="F589" i="1"/>
  <c r="E589" i="1"/>
  <c r="F588" i="1"/>
  <c r="E588" i="1"/>
  <c r="F587" i="1"/>
  <c r="E587" i="1"/>
  <c r="F586" i="1"/>
  <c r="E586" i="1"/>
  <c r="F585" i="1"/>
  <c r="E585" i="1"/>
  <c r="F584" i="1"/>
  <c r="E584" i="1"/>
  <c r="F583" i="1"/>
  <c r="E583" i="1"/>
  <c r="F582" i="1"/>
  <c r="E582" i="1"/>
  <c r="F581" i="1"/>
  <c r="E581" i="1"/>
  <c r="F580" i="1"/>
  <c r="E580" i="1"/>
  <c r="F579" i="1"/>
  <c r="E579" i="1"/>
  <c r="F578" i="1"/>
  <c r="E578" i="1"/>
  <c r="F577" i="1"/>
  <c r="E577" i="1"/>
  <c r="F576" i="1"/>
  <c r="E576" i="1"/>
  <c r="F575" i="1"/>
  <c r="E575" i="1"/>
  <c r="F574" i="1"/>
  <c r="E574" i="1"/>
  <c r="F573" i="1"/>
  <c r="E573" i="1"/>
  <c r="F572" i="1"/>
  <c r="E572" i="1"/>
  <c r="F571" i="1"/>
  <c r="E571" i="1"/>
  <c r="F570" i="1"/>
  <c r="E570" i="1"/>
  <c r="F569" i="1"/>
  <c r="E569" i="1"/>
  <c r="F568" i="1"/>
  <c r="E568" i="1"/>
  <c r="F567" i="1"/>
  <c r="E567" i="1"/>
  <c r="F566" i="1"/>
  <c r="E566" i="1"/>
  <c r="F565" i="1"/>
  <c r="E565" i="1"/>
  <c r="F564" i="1"/>
  <c r="E564" i="1"/>
  <c r="F563" i="1"/>
  <c r="E563" i="1"/>
  <c r="F562" i="1"/>
  <c r="E562" i="1"/>
  <c r="F561" i="1"/>
  <c r="E561" i="1"/>
  <c r="F560" i="1"/>
  <c r="E560" i="1"/>
  <c r="F559" i="1"/>
  <c r="E559" i="1"/>
  <c r="F558" i="1"/>
  <c r="E558" i="1"/>
  <c r="F557" i="1"/>
  <c r="E557" i="1"/>
  <c r="F556" i="1"/>
  <c r="E556" i="1"/>
  <c r="F555" i="1"/>
  <c r="E555" i="1"/>
  <c r="F554" i="1"/>
  <c r="E554" i="1"/>
  <c r="F553" i="1"/>
  <c r="E553" i="1"/>
  <c r="F552" i="1"/>
  <c r="E552" i="1"/>
  <c r="F551" i="1"/>
  <c r="E551" i="1"/>
  <c r="F550" i="1"/>
  <c r="E550" i="1"/>
  <c r="F549" i="1"/>
  <c r="E549" i="1"/>
  <c r="F548" i="1"/>
  <c r="E548" i="1"/>
  <c r="F547" i="1"/>
  <c r="E547" i="1"/>
  <c r="F546" i="1"/>
  <c r="E546" i="1"/>
  <c r="F545" i="1"/>
  <c r="E545" i="1"/>
  <c r="F544" i="1"/>
  <c r="E544" i="1"/>
  <c r="F543" i="1"/>
  <c r="E543" i="1"/>
  <c r="F542" i="1"/>
  <c r="E542" i="1"/>
  <c r="F541" i="1"/>
  <c r="E541" i="1"/>
  <c r="F540" i="1"/>
  <c r="E540" i="1"/>
  <c r="F539" i="1"/>
  <c r="E539" i="1"/>
  <c r="F538" i="1"/>
  <c r="E538" i="1"/>
  <c r="F537" i="1"/>
  <c r="E537" i="1"/>
  <c r="F536" i="1"/>
  <c r="E536" i="1"/>
  <c r="F535" i="1"/>
  <c r="E535" i="1"/>
  <c r="F534" i="1"/>
  <c r="E534" i="1"/>
  <c r="F533" i="1"/>
  <c r="E533" i="1"/>
  <c r="F532" i="1"/>
  <c r="E532" i="1"/>
  <c r="F531" i="1"/>
  <c r="E531" i="1"/>
  <c r="F530" i="1"/>
  <c r="E530" i="1"/>
  <c r="F529" i="1"/>
  <c r="E529" i="1"/>
  <c r="F528" i="1"/>
  <c r="E528" i="1"/>
  <c r="F527" i="1"/>
  <c r="E527" i="1"/>
  <c r="F526" i="1"/>
  <c r="E526" i="1"/>
  <c r="F525" i="1"/>
  <c r="E525" i="1"/>
  <c r="F524" i="1"/>
  <c r="E524" i="1"/>
  <c r="F523" i="1"/>
  <c r="E523" i="1"/>
  <c r="F522" i="1"/>
  <c r="E522" i="1"/>
  <c r="F521" i="1"/>
  <c r="E521" i="1"/>
  <c r="F520" i="1"/>
  <c r="E520" i="1"/>
  <c r="F519" i="1"/>
  <c r="E519" i="1"/>
  <c r="F518" i="1"/>
  <c r="E518" i="1"/>
  <c r="F517" i="1"/>
  <c r="E517" i="1"/>
  <c r="F516" i="1"/>
  <c r="E516" i="1"/>
  <c r="F515" i="1"/>
  <c r="E515" i="1"/>
  <c r="F514" i="1"/>
  <c r="E514" i="1"/>
  <c r="F513" i="1"/>
  <c r="E513" i="1"/>
  <c r="F512" i="1"/>
  <c r="E512" i="1"/>
  <c r="F511" i="1"/>
  <c r="E511" i="1"/>
  <c r="F510" i="1"/>
  <c r="E510" i="1"/>
  <c r="F509" i="1"/>
  <c r="E509" i="1"/>
  <c r="F508" i="1"/>
  <c r="E508" i="1"/>
  <c r="F507" i="1"/>
  <c r="E507" i="1"/>
  <c r="F506" i="1"/>
  <c r="E506" i="1"/>
  <c r="F505" i="1"/>
  <c r="E505" i="1"/>
  <c r="F504" i="1"/>
  <c r="E504" i="1"/>
  <c r="F503" i="1"/>
  <c r="E503" i="1"/>
  <c r="F502" i="1"/>
  <c r="E502" i="1"/>
  <c r="F501" i="1"/>
  <c r="E501" i="1"/>
  <c r="F500" i="1"/>
  <c r="E500" i="1"/>
  <c r="F499" i="1"/>
  <c r="E499" i="1"/>
  <c r="F498" i="1"/>
  <c r="E498" i="1"/>
  <c r="F497" i="1"/>
  <c r="E497" i="1"/>
  <c r="F496" i="1"/>
  <c r="E496" i="1"/>
  <c r="F495" i="1"/>
  <c r="E495" i="1"/>
  <c r="F494" i="1"/>
  <c r="E494" i="1"/>
  <c r="F493" i="1"/>
  <c r="E493" i="1"/>
  <c r="F492" i="1"/>
  <c r="E492" i="1"/>
  <c r="F491" i="1"/>
  <c r="E491" i="1"/>
  <c r="F490" i="1"/>
  <c r="E490" i="1"/>
  <c r="F489" i="1"/>
  <c r="E489" i="1"/>
  <c r="F488" i="1"/>
  <c r="E488" i="1"/>
  <c r="F487" i="1"/>
  <c r="E487" i="1"/>
  <c r="F486" i="1"/>
  <c r="E486" i="1"/>
  <c r="F485" i="1"/>
  <c r="E485" i="1"/>
  <c r="F484" i="1"/>
  <c r="E484" i="1"/>
  <c r="F483" i="1"/>
  <c r="E483" i="1"/>
  <c r="F482" i="1"/>
  <c r="E482" i="1"/>
  <c r="F481" i="1"/>
  <c r="E481" i="1"/>
  <c r="F480" i="1"/>
  <c r="E480" i="1"/>
  <c r="F479" i="1"/>
  <c r="E479" i="1"/>
  <c r="F478" i="1"/>
  <c r="E478" i="1"/>
  <c r="F477" i="1"/>
  <c r="E477" i="1"/>
  <c r="F476" i="1"/>
  <c r="E476" i="1"/>
  <c r="F475" i="1"/>
  <c r="E475" i="1"/>
  <c r="F474" i="1"/>
  <c r="E474" i="1"/>
  <c r="F473" i="1"/>
  <c r="E473" i="1"/>
  <c r="F472" i="1"/>
  <c r="E472" i="1"/>
  <c r="F471" i="1"/>
  <c r="E471" i="1"/>
  <c r="F470" i="1"/>
  <c r="E470" i="1"/>
  <c r="F469" i="1"/>
  <c r="E469" i="1"/>
  <c r="F468" i="1"/>
  <c r="E468" i="1"/>
  <c r="F467" i="1"/>
  <c r="E467" i="1"/>
  <c r="F466" i="1"/>
  <c r="E466" i="1"/>
  <c r="F465" i="1"/>
  <c r="E465" i="1"/>
  <c r="F464" i="1"/>
  <c r="E464" i="1"/>
  <c r="F463" i="1"/>
  <c r="E463" i="1"/>
  <c r="F462" i="1"/>
  <c r="E462" i="1"/>
  <c r="F461" i="1"/>
  <c r="E461" i="1"/>
  <c r="F460" i="1"/>
  <c r="E460" i="1"/>
  <c r="F459" i="1"/>
  <c r="E459" i="1"/>
  <c r="F458" i="1"/>
  <c r="E458" i="1"/>
  <c r="F457" i="1"/>
  <c r="E457" i="1"/>
  <c r="F456" i="1"/>
  <c r="E456" i="1"/>
  <c r="F455" i="1"/>
  <c r="E455" i="1"/>
  <c r="F454" i="1"/>
  <c r="E454" i="1"/>
  <c r="F453" i="1"/>
  <c r="E453" i="1"/>
  <c r="F452" i="1"/>
  <c r="E452" i="1"/>
  <c r="F451" i="1"/>
  <c r="E451" i="1"/>
  <c r="F450" i="1"/>
  <c r="E450" i="1"/>
  <c r="F449" i="1"/>
  <c r="E449" i="1"/>
  <c r="F448" i="1"/>
  <c r="E448" i="1"/>
  <c r="F447" i="1"/>
  <c r="E447" i="1"/>
  <c r="F446" i="1"/>
  <c r="E446" i="1"/>
  <c r="F445" i="1"/>
  <c r="E445" i="1"/>
  <c r="F444" i="1"/>
  <c r="E444" i="1"/>
  <c r="F443" i="1"/>
  <c r="E443" i="1"/>
  <c r="F442" i="1"/>
  <c r="E442" i="1"/>
  <c r="F441" i="1"/>
  <c r="E441" i="1"/>
  <c r="F440" i="1"/>
  <c r="E440" i="1"/>
  <c r="F439" i="1"/>
  <c r="E439" i="1"/>
  <c r="F438" i="1"/>
  <c r="E438" i="1"/>
  <c r="F437" i="1"/>
  <c r="E437" i="1"/>
  <c r="F436" i="1"/>
  <c r="E436" i="1"/>
  <c r="F435" i="1"/>
  <c r="E435" i="1"/>
  <c r="F434" i="1"/>
  <c r="E434" i="1"/>
  <c r="F433" i="1"/>
  <c r="E433" i="1"/>
  <c r="F432" i="1"/>
  <c r="E432" i="1"/>
  <c r="F431" i="1"/>
  <c r="E431" i="1"/>
  <c r="F430" i="1"/>
  <c r="E430" i="1"/>
  <c r="F429" i="1"/>
  <c r="E429" i="1"/>
  <c r="F428" i="1"/>
  <c r="E428" i="1"/>
  <c r="F427" i="1"/>
  <c r="E427" i="1"/>
  <c r="F426" i="1"/>
  <c r="E426" i="1"/>
  <c r="F425" i="1"/>
  <c r="E425" i="1"/>
  <c r="F424" i="1"/>
  <c r="E424" i="1"/>
  <c r="F423" i="1"/>
  <c r="E423" i="1"/>
  <c r="F422" i="1"/>
  <c r="E422" i="1"/>
  <c r="F421" i="1"/>
  <c r="E421" i="1"/>
  <c r="F420" i="1"/>
  <c r="E420" i="1"/>
  <c r="F419" i="1"/>
  <c r="E419" i="1"/>
  <c r="F418" i="1"/>
  <c r="E418" i="1"/>
  <c r="F417" i="1"/>
  <c r="E417" i="1"/>
  <c r="F416" i="1"/>
  <c r="E416" i="1"/>
  <c r="F415" i="1"/>
  <c r="E415" i="1"/>
  <c r="F414" i="1"/>
  <c r="E414" i="1"/>
  <c r="F413" i="1"/>
  <c r="E413" i="1"/>
  <c r="F412" i="1"/>
  <c r="E412" i="1"/>
  <c r="F411" i="1"/>
  <c r="E411" i="1"/>
  <c r="F410" i="1"/>
  <c r="E410" i="1"/>
  <c r="F409" i="1"/>
  <c r="E409" i="1"/>
  <c r="F408" i="1"/>
  <c r="E408" i="1"/>
  <c r="F407" i="1"/>
  <c r="E407" i="1"/>
  <c r="F406" i="1"/>
  <c r="E406" i="1"/>
  <c r="F405" i="1"/>
  <c r="E405" i="1"/>
  <c r="F404" i="1"/>
  <c r="E404" i="1"/>
  <c r="F403" i="1"/>
  <c r="E403" i="1"/>
  <c r="F402" i="1"/>
  <c r="E402" i="1"/>
  <c r="F401" i="1"/>
  <c r="E401" i="1"/>
  <c r="F400" i="1"/>
  <c r="E400" i="1"/>
  <c r="F399" i="1"/>
  <c r="E399" i="1"/>
  <c r="F398" i="1"/>
  <c r="E398" i="1"/>
  <c r="F397" i="1"/>
  <c r="E397" i="1"/>
  <c r="F396" i="1"/>
  <c r="E396" i="1"/>
  <c r="F395" i="1"/>
  <c r="E395" i="1"/>
  <c r="F394" i="1"/>
  <c r="E394" i="1"/>
  <c r="F393" i="1"/>
  <c r="E393" i="1"/>
  <c r="F392" i="1"/>
  <c r="E392" i="1"/>
  <c r="F391" i="1"/>
  <c r="E391" i="1"/>
  <c r="F390" i="1"/>
  <c r="E390" i="1"/>
  <c r="F389" i="1"/>
  <c r="E389" i="1"/>
  <c r="F388" i="1"/>
  <c r="E388" i="1"/>
  <c r="F387" i="1"/>
  <c r="E387" i="1"/>
  <c r="F386" i="1"/>
  <c r="E386" i="1"/>
  <c r="F385" i="1"/>
  <c r="E385" i="1"/>
  <c r="F384" i="1"/>
  <c r="E384" i="1"/>
  <c r="F383" i="1"/>
  <c r="E383" i="1"/>
  <c r="F382" i="1"/>
  <c r="E382" i="1"/>
  <c r="F381" i="1"/>
  <c r="E381" i="1"/>
  <c r="F380" i="1"/>
  <c r="E380" i="1"/>
  <c r="F379" i="1"/>
  <c r="E379" i="1"/>
  <c r="F378" i="1"/>
  <c r="E378" i="1"/>
  <c r="F377" i="1"/>
  <c r="E377" i="1"/>
  <c r="F376" i="1"/>
  <c r="E376" i="1"/>
  <c r="F375" i="1"/>
  <c r="E375" i="1"/>
  <c r="F374" i="1"/>
  <c r="E374" i="1"/>
  <c r="F373" i="1"/>
  <c r="E373" i="1"/>
  <c r="F372" i="1"/>
  <c r="E372" i="1"/>
  <c r="F371" i="1"/>
  <c r="E371" i="1"/>
  <c r="F370" i="1"/>
  <c r="E370" i="1"/>
  <c r="F369" i="1"/>
  <c r="E369" i="1"/>
  <c r="F368" i="1"/>
  <c r="E368" i="1"/>
  <c r="F367" i="1"/>
  <c r="E367" i="1"/>
  <c r="F366" i="1"/>
  <c r="E366" i="1"/>
  <c r="F365" i="1"/>
  <c r="E365" i="1"/>
  <c r="F364" i="1"/>
  <c r="E364" i="1"/>
  <c r="F363" i="1"/>
  <c r="E363" i="1"/>
  <c r="F362" i="1"/>
  <c r="E362" i="1"/>
  <c r="F361" i="1"/>
  <c r="E361" i="1"/>
  <c r="F360" i="1"/>
  <c r="E360" i="1"/>
  <c r="F359" i="1"/>
  <c r="E359" i="1"/>
  <c r="F358" i="1"/>
  <c r="E358" i="1"/>
  <c r="F357" i="1"/>
  <c r="E357" i="1"/>
  <c r="F356" i="1"/>
  <c r="E356" i="1"/>
  <c r="F355" i="1"/>
  <c r="E355" i="1"/>
  <c r="F354" i="1"/>
  <c r="E354" i="1"/>
  <c r="F353" i="1"/>
  <c r="E353" i="1"/>
  <c r="F352" i="1"/>
  <c r="E352" i="1"/>
  <c r="F351" i="1"/>
  <c r="E351" i="1"/>
  <c r="F350" i="1"/>
  <c r="E350" i="1"/>
  <c r="F349" i="1"/>
  <c r="E349" i="1"/>
  <c r="F348" i="1"/>
  <c r="E348" i="1"/>
  <c r="F347" i="1"/>
  <c r="E347" i="1"/>
  <c r="F346" i="1"/>
  <c r="E346" i="1"/>
  <c r="F345" i="1"/>
  <c r="E345" i="1"/>
  <c r="F344" i="1"/>
  <c r="E344" i="1"/>
  <c r="F343" i="1"/>
  <c r="E343" i="1"/>
  <c r="F342" i="1"/>
  <c r="E342" i="1"/>
  <c r="F341" i="1"/>
  <c r="E341" i="1"/>
  <c r="F340" i="1"/>
  <c r="E340" i="1"/>
  <c r="F339" i="1"/>
  <c r="E339" i="1"/>
  <c r="F338" i="1"/>
  <c r="E338" i="1"/>
  <c r="F337" i="1"/>
  <c r="E337" i="1"/>
  <c r="F336" i="1"/>
  <c r="E336" i="1"/>
  <c r="F335" i="1"/>
  <c r="E335" i="1"/>
  <c r="F334" i="1"/>
  <c r="E334" i="1"/>
  <c r="F333" i="1"/>
  <c r="E333" i="1"/>
  <c r="F332" i="1"/>
  <c r="E332" i="1"/>
  <c r="F331" i="1"/>
  <c r="E331" i="1"/>
  <c r="F330" i="1"/>
  <c r="E330" i="1"/>
  <c r="F329" i="1"/>
  <c r="E329" i="1"/>
  <c r="F328" i="1"/>
  <c r="E328" i="1"/>
  <c r="F327" i="1"/>
  <c r="E327" i="1"/>
  <c r="F326" i="1"/>
  <c r="E326" i="1"/>
  <c r="F325" i="1"/>
  <c r="E325" i="1"/>
  <c r="F324" i="1"/>
  <c r="E324" i="1"/>
  <c r="F323" i="1"/>
  <c r="E323" i="1"/>
  <c r="F322" i="1"/>
  <c r="E322" i="1"/>
  <c r="F321" i="1"/>
  <c r="E321" i="1"/>
  <c r="F320" i="1"/>
  <c r="E320" i="1"/>
  <c r="F319" i="1"/>
  <c r="E319" i="1"/>
  <c r="F318" i="1"/>
  <c r="E318" i="1"/>
  <c r="F317" i="1"/>
  <c r="E317" i="1"/>
  <c r="F316" i="1"/>
  <c r="E316" i="1"/>
  <c r="F315" i="1"/>
  <c r="E315" i="1"/>
  <c r="F314" i="1"/>
  <c r="E314" i="1"/>
  <c r="F313" i="1"/>
  <c r="E313" i="1"/>
  <c r="F312" i="1"/>
  <c r="E312" i="1"/>
  <c r="F311" i="1"/>
  <c r="E311" i="1"/>
  <c r="F310" i="1"/>
  <c r="E310" i="1"/>
  <c r="F309" i="1"/>
  <c r="E309" i="1"/>
  <c r="F308" i="1"/>
  <c r="E308" i="1"/>
  <c r="F307" i="1"/>
  <c r="E307" i="1"/>
  <c r="F306" i="1"/>
  <c r="E306" i="1"/>
  <c r="F305" i="1"/>
  <c r="E305" i="1"/>
  <c r="F304" i="1"/>
  <c r="E304" i="1"/>
  <c r="F303" i="1"/>
  <c r="E303" i="1"/>
  <c r="F302" i="1"/>
  <c r="E302" i="1"/>
  <c r="F301" i="1"/>
  <c r="E301" i="1"/>
  <c r="F300" i="1"/>
  <c r="E300" i="1"/>
  <c r="F299" i="1"/>
  <c r="E299" i="1"/>
  <c r="F298" i="1"/>
  <c r="E298" i="1"/>
  <c r="F297" i="1"/>
  <c r="E297" i="1"/>
  <c r="F296" i="1"/>
  <c r="E296" i="1"/>
  <c r="F295" i="1"/>
  <c r="E295" i="1"/>
  <c r="F294" i="1"/>
  <c r="E294" i="1"/>
  <c r="F293" i="1"/>
  <c r="E293" i="1"/>
  <c r="F292" i="1"/>
  <c r="E292" i="1"/>
  <c r="F291" i="1"/>
  <c r="E291" i="1"/>
  <c r="F290" i="1"/>
  <c r="E290" i="1"/>
  <c r="F289" i="1"/>
  <c r="E289" i="1"/>
  <c r="F288" i="1"/>
  <c r="E288" i="1"/>
  <c r="F287" i="1"/>
  <c r="E287" i="1"/>
  <c r="F286" i="1"/>
  <c r="E286" i="1"/>
  <c r="F285" i="1"/>
  <c r="E285" i="1"/>
  <c r="F284" i="1"/>
  <c r="E284" i="1"/>
  <c r="F283" i="1"/>
  <c r="E283" i="1"/>
  <c r="F282" i="1"/>
  <c r="E282" i="1"/>
  <c r="F281" i="1"/>
  <c r="E281" i="1"/>
  <c r="F280" i="1"/>
  <c r="E280" i="1"/>
  <c r="F279" i="1"/>
  <c r="E279" i="1"/>
  <c r="F278" i="1"/>
  <c r="E278" i="1"/>
  <c r="F277" i="1"/>
  <c r="E277" i="1"/>
  <c r="F276" i="1"/>
  <c r="E276" i="1"/>
  <c r="F275" i="1"/>
  <c r="E275" i="1"/>
  <c r="F274" i="1"/>
  <c r="E274" i="1"/>
  <c r="F273" i="1"/>
  <c r="E273" i="1"/>
  <c r="F272" i="1"/>
  <c r="E272" i="1"/>
  <c r="F271" i="1"/>
  <c r="E271" i="1"/>
  <c r="F270" i="1"/>
  <c r="E270" i="1"/>
  <c r="F269" i="1"/>
  <c r="E269" i="1"/>
  <c r="F268" i="1"/>
  <c r="E268" i="1"/>
  <c r="F267" i="1"/>
  <c r="E267" i="1"/>
  <c r="F266" i="1"/>
  <c r="E266" i="1"/>
  <c r="F265" i="1"/>
  <c r="E265" i="1"/>
  <c r="F264" i="1"/>
  <c r="E264" i="1"/>
  <c r="F263" i="1"/>
  <c r="E263" i="1"/>
  <c r="F262" i="1"/>
  <c r="E262" i="1"/>
  <c r="F261" i="1"/>
  <c r="E261" i="1"/>
  <c r="F260" i="1"/>
  <c r="E260" i="1"/>
  <c r="F259" i="1"/>
  <c r="E259" i="1"/>
  <c r="F258" i="1"/>
  <c r="E258" i="1"/>
  <c r="F257" i="1"/>
  <c r="E257" i="1"/>
  <c r="F256" i="1"/>
  <c r="E256" i="1"/>
  <c r="F255" i="1"/>
  <c r="E255" i="1"/>
  <c r="F254" i="1"/>
  <c r="E254" i="1"/>
  <c r="F253" i="1"/>
  <c r="E253" i="1"/>
  <c r="F252" i="1"/>
  <c r="E252" i="1"/>
  <c r="F251" i="1"/>
  <c r="E251" i="1"/>
  <c r="F250" i="1"/>
  <c r="E250" i="1"/>
  <c r="F249" i="1"/>
  <c r="E249" i="1"/>
  <c r="F248" i="1"/>
  <c r="E248" i="1"/>
  <c r="F247" i="1"/>
  <c r="E247" i="1"/>
  <c r="F246" i="1"/>
  <c r="E246" i="1"/>
  <c r="F245" i="1"/>
  <c r="E245" i="1"/>
  <c r="F244" i="1"/>
  <c r="E244" i="1"/>
  <c r="F243" i="1"/>
  <c r="E243" i="1"/>
  <c r="F242" i="1"/>
  <c r="E242" i="1"/>
  <c r="F241" i="1"/>
  <c r="E241" i="1"/>
  <c r="F240" i="1"/>
  <c r="E240" i="1"/>
  <c r="F239" i="1"/>
  <c r="E239" i="1"/>
  <c r="F238" i="1"/>
  <c r="E238" i="1"/>
  <c r="F237" i="1"/>
  <c r="E237" i="1"/>
  <c r="F236" i="1"/>
  <c r="E236" i="1"/>
  <c r="F235" i="1"/>
  <c r="E235" i="1"/>
  <c r="F234" i="1"/>
  <c r="E234" i="1"/>
  <c r="F233" i="1"/>
  <c r="E233" i="1"/>
  <c r="F232" i="1"/>
  <c r="E232" i="1"/>
  <c r="F231" i="1"/>
  <c r="E231" i="1"/>
  <c r="F230" i="1"/>
  <c r="E230" i="1"/>
  <c r="F229" i="1"/>
  <c r="E229" i="1"/>
  <c r="F228" i="1"/>
  <c r="E228" i="1"/>
  <c r="F227" i="1"/>
  <c r="E227" i="1"/>
  <c r="F226" i="1"/>
  <c r="E226" i="1"/>
  <c r="F225" i="1"/>
  <c r="E225" i="1"/>
  <c r="F224" i="1"/>
  <c r="E224" i="1"/>
  <c r="F223" i="1"/>
  <c r="E223" i="1"/>
  <c r="F222" i="1"/>
  <c r="E222" i="1"/>
  <c r="F221" i="1"/>
  <c r="E221" i="1"/>
  <c r="F220" i="1"/>
  <c r="E220" i="1"/>
  <c r="F219" i="1"/>
  <c r="E219" i="1"/>
  <c r="F218" i="1"/>
  <c r="E218" i="1"/>
  <c r="F217" i="1"/>
  <c r="E217" i="1"/>
  <c r="F216" i="1"/>
  <c r="E216" i="1"/>
  <c r="F215" i="1"/>
  <c r="E215" i="1"/>
  <c r="F214" i="1"/>
  <c r="E214" i="1"/>
  <c r="F213" i="1"/>
  <c r="E213" i="1"/>
  <c r="F212" i="1"/>
  <c r="E212" i="1"/>
  <c r="F211" i="1"/>
  <c r="E211" i="1"/>
  <c r="F210" i="1"/>
  <c r="E210" i="1"/>
  <c r="F209" i="1"/>
  <c r="E209" i="1"/>
  <c r="F208" i="1"/>
  <c r="E208" i="1"/>
  <c r="F207" i="1"/>
  <c r="E207" i="1"/>
  <c r="F206" i="1"/>
  <c r="E206" i="1"/>
  <c r="F205" i="1"/>
  <c r="E205" i="1"/>
  <c r="F204" i="1"/>
  <c r="E204" i="1"/>
  <c r="F203" i="1"/>
  <c r="E203" i="1"/>
  <c r="F202" i="1"/>
  <c r="E202" i="1"/>
  <c r="F201" i="1"/>
  <c r="E201" i="1"/>
  <c r="F200" i="1"/>
  <c r="E200" i="1"/>
  <c r="F199" i="1"/>
  <c r="E199" i="1"/>
  <c r="F198" i="1"/>
  <c r="E198" i="1"/>
  <c r="F197" i="1"/>
  <c r="E197" i="1"/>
  <c r="F196" i="1"/>
  <c r="E196" i="1"/>
  <c r="F195" i="1"/>
  <c r="E195" i="1"/>
  <c r="F194" i="1"/>
  <c r="E194" i="1"/>
  <c r="F193" i="1"/>
  <c r="E193" i="1"/>
  <c r="F192" i="1"/>
  <c r="E192" i="1"/>
  <c r="F191" i="1"/>
  <c r="E191" i="1"/>
  <c r="F190" i="1"/>
  <c r="E190" i="1"/>
  <c r="F189" i="1"/>
  <c r="E189" i="1"/>
  <c r="F188" i="1"/>
  <c r="E188" i="1"/>
  <c r="F187" i="1"/>
  <c r="E187" i="1"/>
  <c r="F186" i="1"/>
  <c r="E186" i="1"/>
  <c r="F185" i="1"/>
  <c r="E185" i="1"/>
  <c r="F184" i="1"/>
  <c r="E184" i="1"/>
  <c r="F183" i="1"/>
  <c r="E183" i="1"/>
  <c r="F182" i="1"/>
  <c r="E182" i="1"/>
  <c r="F181" i="1"/>
  <c r="E181" i="1"/>
  <c r="F180" i="1"/>
  <c r="E180" i="1"/>
  <c r="F179" i="1"/>
  <c r="E179" i="1"/>
  <c r="F178" i="1"/>
  <c r="E178" i="1"/>
  <c r="F177" i="1"/>
  <c r="E177" i="1"/>
  <c r="F176" i="1"/>
  <c r="E176" i="1"/>
  <c r="F175" i="1"/>
  <c r="E175" i="1"/>
  <c r="F174" i="1"/>
  <c r="E174" i="1"/>
  <c r="F173" i="1"/>
  <c r="E173" i="1"/>
  <c r="F172" i="1"/>
  <c r="E172" i="1"/>
  <c r="F171" i="1"/>
  <c r="E171" i="1"/>
  <c r="F170" i="1"/>
  <c r="E170" i="1"/>
  <c r="F169" i="1"/>
  <c r="E169" i="1"/>
  <c r="F168" i="1"/>
  <c r="E168" i="1"/>
  <c r="F167" i="1"/>
  <c r="E167" i="1"/>
  <c r="F166" i="1"/>
  <c r="E166" i="1"/>
  <c r="F165" i="1"/>
  <c r="E165" i="1"/>
  <c r="F164" i="1"/>
  <c r="E164" i="1"/>
  <c r="F163" i="1"/>
  <c r="E163" i="1"/>
  <c r="F162" i="1"/>
  <c r="E162" i="1"/>
  <c r="F161" i="1"/>
  <c r="E161" i="1"/>
  <c r="F160" i="1"/>
  <c r="E160" i="1"/>
  <c r="F159" i="1"/>
  <c r="E159" i="1"/>
  <c r="F158" i="1"/>
  <c r="E158" i="1"/>
  <c r="F157" i="1"/>
  <c r="E157" i="1"/>
  <c r="F156" i="1"/>
  <c r="E156" i="1"/>
  <c r="F155" i="1"/>
  <c r="E155" i="1"/>
  <c r="F154" i="1"/>
  <c r="E154" i="1"/>
  <c r="F153" i="1"/>
  <c r="E153" i="1"/>
  <c r="F152" i="1"/>
  <c r="E152" i="1"/>
  <c r="F151" i="1"/>
  <c r="E151" i="1"/>
  <c r="F150" i="1"/>
  <c r="E150" i="1"/>
  <c r="F149" i="1"/>
  <c r="E149" i="1"/>
  <c r="F148" i="1"/>
  <c r="E148" i="1"/>
  <c r="F147" i="1"/>
  <c r="E147" i="1"/>
  <c r="F146" i="1"/>
  <c r="E146" i="1"/>
  <c r="F145" i="1"/>
  <c r="E145" i="1"/>
  <c r="F144" i="1"/>
  <c r="E144" i="1"/>
  <c r="F143" i="1"/>
  <c r="E143" i="1"/>
  <c r="F142" i="1"/>
  <c r="E142" i="1"/>
  <c r="F141" i="1"/>
  <c r="E141" i="1"/>
  <c r="F140" i="1"/>
  <c r="E140" i="1"/>
  <c r="F139" i="1"/>
  <c r="E139" i="1"/>
  <c r="F138" i="1"/>
  <c r="E138" i="1"/>
  <c r="F137" i="1"/>
  <c r="E137" i="1"/>
  <c r="F136" i="1"/>
  <c r="E136" i="1"/>
  <c r="F135" i="1"/>
  <c r="E135" i="1"/>
  <c r="F134" i="1"/>
  <c r="E134" i="1"/>
  <c r="F133" i="1"/>
  <c r="E133" i="1"/>
  <c r="F132" i="1"/>
  <c r="E132" i="1"/>
  <c r="F131" i="1"/>
  <c r="E131" i="1"/>
  <c r="F130" i="1"/>
  <c r="E130" i="1"/>
  <c r="F129" i="1"/>
  <c r="E129" i="1"/>
  <c r="F128" i="1"/>
  <c r="E128" i="1"/>
  <c r="F127" i="1"/>
  <c r="E127" i="1"/>
  <c r="F126" i="1"/>
  <c r="E126" i="1"/>
  <c r="F125" i="1"/>
  <c r="E125" i="1"/>
  <c r="F124" i="1"/>
  <c r="E124" i="1"/>
  <c r="F123" i="1"/>
  <c r="E123" i="1"/>
  <c r="F122" i="1"/>
  <c r="E122" i="1"/>
  <c r="F121" i="1"/>
  <c r="E121" i="1"/>
  <c r="F120" i="1"/>
  <c r="E120" i="1"/>
  <c r="F119" i="1"/>
  <c r="E119" i="1"/>
  <c r="F118" i="1"/>
  <c r="E118" i="1"/>
  <c r="F117" i="1"/>
  <c r="E117" i="1"/>
  <c r="F116" i="1"/>
  <c r="E116" i="1"/>
  <c r="F115" i="1"/>
  <c r="E115" i="1"/>
  <c r="F114" i="1"/>
  <c r="E114" i="1"/>
  <c r="F113" i="1"/>
  <c r="E113" i="1"/>
  <c r="F112" i="1"/>
  <c r="E112" i="1"/>
  <c r="F111" i="1"/>
  <c r="E111" i="1"/>
  <c r="F110" i="1"/>
  <c r="E110" i="1"/>
  <c r="F109" i="1"/>
  <c r="E109" i="1"/>
  <c r="F108" i="1"/>
  <c r="E108" i="1"/>
  <c r="F107" i="1"/>
  <c r="E107" i="1"/>
  <c r="F106" i="1"/>
  <c r="E106" i="1"/>
  <c r="F105" i="1"/>
  <c r="E105" i="1"/>
  <c r="F104" i="1"/>
  <c r="E104" i="1"/>
  <c r="F103" i="1"/>
  <c r="E103" i="1"/>
  <c r="F102" i="1"/>
  <c r="E102" i="1"/>
  <c r="F101" i="1"/>
  <c r="E101" i="1"/>
  <c r="F100" i="1"/>
  <c r="E100" i="1"/>
  <c r="F99" i="1"/>
  <c r="E99" i="1"/>
  <c r="F98" i="1"/>
  <c r="E98" i="1"/>
  <c r="F97" i="1"/>
  <c r="E97" i="1"/>
  <c r="F96" i="1"/>
  <c r="E96" i="1"/>
  <c r="F95" i="1"/>
  <c r="E95" i="1"/>
  <c r="F94" i="1"/>
  <c r="E94" i="1"/>
  <c r="F93" i="1"/>
  <c r="E93" i="1"/>
  <c r="F92" i="1"/>
  <c r="E92" i="1"/>
  <c r="F91" i="1"/>
  <c r="E91" i="1"/>
  <c r="F90" i="1"/>
  <c r="E90" i="1"/>
  <c r="F89" i="1"/>
  <c r="E89" i="1"/>
  <c r="F88" i="1"/>
  <c r="E88" i="1"/>
  <c r="F87" i="1"/>
  <c r="E87" i="1"/>
  <c r="F86" i="1"/>
  <c r="E86" i="1"/>
  <c r="F85" i="1"/>
  <c r="E85" i="1"/>
  <c r="F84" i="1"/>
  <c r="E84" i="1"/>
  <c r="F83" i="1"/>
  <c r="E83" i="1"/>
  <c r="F82" i="1"/>
  <c r="E82" i="1"/>
  <c r="F81" i="1"/>
  <c r="E81" i="1"/>
  <c r="F80" i="1"/>
  <c r="E80" i="1"/>
  <c r="F79" i="1"/>
  <c r="E79" i="1"/>
  <c r="F78" i="1"/>
  <c r="E78" i="1"/>
  <c r="F77" i="1"/>
  <c r="E77" i="1"/>
  <c r="F76" i="1"/>
  <c r="E76" i="1"/>
  <c r="F75" i="1"/>
  <c r="E75" i="1"/>
  <c r="F74" i="1"/>
  <c r="E74" i="1"/>
  <c r="F73" i="1"/>
  <c r="E73" i="1"/>
  <c r="F72" i="1"/>
  <c r="E72" i="1"/>
  <c r="F71" i="1"/>
  <c r="E71" i="1"/>
  <c r="F70" i="1"/>
  <c r="E70" i="1"/>
  <c r="F69" i="1"/>
  <c r="E69" i="1"/>
  <c r="F68" i="1"/>
  <c r="E68" i="1"/>
  <c r="F67" i="1"/>
  <c r="E67" i="1"/>
  <c r="F66" i="1"/>
  <c r="E66" i="1"/>
  <c r="F65" i="1"/>
  <c r="E65" i="1"/>
  <c r="F64" i="1"/>
  <c r="E64" i="1"/>
  <c r="F63" i="1"/>
  <c r="E63" i="1"/>
  <c r="F62" i="1"/>
  <c r="E62" i="1"/>
  <c r="F61" i="1"/>
  <c r="E61" i="1"/>
  <c r="F60" i="1"/>
  <c r="E60" i="1"/>
  <c r="F59" i="1"/>
  <c r="E59" i="1"/>
  <c r="F58" i="1"/>
  <c r="E58" i="1"/>
  <c r="F57" i="1"/>
  <c r="E57" i="1"/>
  <c r="F56" i="1"/>
  <c r="E56" i="1"/>
  <c r="F55" i="1"/>
  <c r="E55" i="1"/>
  <c r="F54" i="1"/>
  <c r="E54" i="1"/>
  <c r="F53" i="1"/>
  <c r="E53" i="1"/>
  <c r="F52" i="1"/>
  <c r="E52" i="1"/>
  <c r="F51" i="1"/>
  <c r="E51" i="1"/>
  <c r="F50" i="1"/>
  <c r="E50" i="1"/>
  <c r="F49" i="1"/>
  <c r="E49" i="1"/>
  <c r="F48" i="1"/>
  <c r="E48" i="1"/>
  <c r="F47" i="1"/>
  <c r="E47" i="1"/>
  <c r="F46" i="1"/>
  <c r="E46" i="1"/>
  <c r="F45" i="1"/>
  <c r="E45" i="1"/>
  <c r="F44" i="1"/>
  <c r="E44" i="1"/>
  <c r="F43" i="1"/>
  <c r="E43" i="1"/>
  <c r="F42" i="1"/>
  <c r="E42" i="1"/>
  <c r="F41" i="1"/>
  <c r="E41" i="1"/>
  <c r="F40" i="1"/>
  <c r="E40" i="1"/>
  <c r="F39" i="1"/>
  <c r="E39" i="1"/>
  <c r="F38" i="1"/>
  <c r="E38" i="1"/>
  <c r="F37" i="1"/>
  <c r="E37" i="1"/>
  <c r="F36" i="1"/>
  <c r="E36" i="1"/>
  <c r="F35" i="1"/>
  <c r="E35" i="1"/>
  <c r="F34" i="1"/>
  <c r="E34" i="1"/>
  <c r="F33" i="1"/>
  <c r="E33" i="1"/>
  <c r="F32" i="1"/>
  <c r="E32" i="1"/>
  <c r="F31" i="1"/>
  <c r="E31" i="1"/>
  <c r="F30" i="1"/>
  <c r="E30" i="1"/>
  <c r="F29" i="1"/>
  <c r="E29" i="1"/>
  <c r="F28" i="1"/>
  <c r="E28" i="1"/>
  <c r="F27" i="1"/>
  <c r="E27" i="1"/>
  <c r="F26" i="1"/>
  <c r="E26" i="1"/>
  <c r="F25" i="1"/>
  <c r="E25" i="1"/>
  <c r="F24" i="1"/>
  <c r="E24" i="1"/>
  <c r="F23" i="1"/>
  <c r="E23" i="1"/>
  <c r="F22" i="1"/>
  <c r="E22" i="1"/>
  <c r="F21" i="1"/>
  <c r="E21" i="1"/>
  <c r="F20" i="1"/>
  <c r="E20" i="1"/>
  <c r="F19" i="1"/>
  <c r="E19" i="1"/>
  <c r="F18" i="1"/>
  <c r="E18" i="1"/>
  <c r="F17" i="1"/>
  <c r="E17" i="1"/>
  <c r="F16" i="1"/>
  <c r="E16" i="1"/>
  <c r="F15" i="1"/>
  <c r="E15" i="1"/>
  <c r="F14" i="1"/>
  <c r="E14" i="1"/>
  <c r="F13" i="1"/>
  <c r="E13" i="1"/>
  <c r="F12" i="1"/>
  <c r="E12" i="1"/>
  <c r="F11" i="1"/>
  <c r="E11" i="1"/>
  <c r="F10" i="1"/>
  <c r="E10" i="1"/>
  <c r="F9" i="1"/>
  <c r="E9" i="1"/>
  <c r="F8" i="1"/>
  <c r="E8" i="1"/>
  <c r="F7" i="1"/>
  <c r="E7" i="1"/>
  <c r="F6" i="1"/>
  <c r="E6" i="1"/>
  <c r="F5" i="1"/>
  <c r="E5" i="1"/>
  <c r="F4" i="1"/>
  <c r="E4" i="1"/>
  <c r="F3" i="1"/>
  <c r="E3" i="1"/>
  <c r="F2" i="1"/>
  <c r="E2" i="1"/>
</calcChain>
</file>

<file path=xl/sharedStrings.xml><?xml version="1.0" encoding="utf-8"?>
<sst xmlns="http://schemas.openxmlformats.org/spreadsheetml/2006/main" count="7416" uniqueCount="4446">
  <si>
    <t>Rótulos de Linha</t>
  </si>
  <si>
    <t>specie</t>
  </si>
  <si>
    <t>name</t>
  </si>
  <si>
    <t>description</t>
  </si>
  <si>
    <t>1</t>
  </si>
  <si>
    <t>Seed Pokémon</t>
  </si>
  <si>
    <t>Bulbasaur</t>
  </si>
  <si>
    <t>Bulbasaur is a Grass/Poison type Pokémon introduced in Generation 1. It is known as the Seed Pokémon.</t>
  </si>
  <si>
    <t>10</t>
  </si>
  <si>
    <t>Worm Pokémon</t>
  </si>
  <si>
    <t>Caterpie</t>
  </si>
  <si>
    <t>Caterpie is a Bug type Pokémon introduced in Generation 1. It is known as the Worm Pokémon.</t>
  </si>
  <si>
    <t>100</t>
  </si>
  <si>
    <t>Ball Pokémon</t>
  </si>
  <si>
    <t>Voltorb</t>
  </si>
  <si>
    <t>Voltorb is an Electric type Pokémon introduced in Generation 1. It is known as the Ball Pokémon.</t>
  </si>
  <si>
    <t>101</t>
  </si>
  <si>
    <t>Electrode</t>
  </si>
  <si>
    <t>Electrode is an Electric type Pokémon introduced in Generation 1. It is known as the Ball Pokémon.</t>
  </si>
  <si>
    <t>102</t>
  </si>
  <si>
    <t>Egg Pokémon</t>
  </si>
  <si>
    <t>Exeggcute</t>
  </si>
  <si>
    <t>Exeggcute is a Grass/Psychic type Pokémon introduced in Generation 1. It is known as the Egg Pokémon.</t>
  </si>
  <si>
    <t>103</t>
  </si>
  <si>
    <t>Coconut Pokémon</t>
  </si>
  <si>
    <t>Alolan Exeggutor</t>
  </si>
  <si>
    <t>Exeggutor is a Grass/Psychic type Pokémon introduced in Generation 1. It is known as the Coconut Pokémon.
Exeggutor has a new Alolan form introduced in Pokémon Sun/Moon.</t>
  </si>
  <si>
    <t>Exeggutor</t>
  </si>
  <si>
    <t>104</t>
  </si>
  <si>
    <t>Lonely Pokémon</t>
  </si>
  <si>
    <t>Cubone</t>
  </si>
  <si>
    <t>Cubone is a Ground type Pokémon introduced in Generation 1. It is known as the Lonely Pokémon.</t>
  </si>
  <si>
    <t>105</t>
  </si>
  <si>
    <t>Bone Keeper Pokémon</t>
  </si>
  <si>
    <t>Alolan Marowak</t>
  </si>
  <si>
    <t>Marowak is a Ground type Pokémon introduced in Generation 1. It is known as the Bone Keeper Pokémon.
Marowak has a new Alolan form introduced in Pokémon Sun/Moon.</t>
  </si>
  <si>
    <t>Marowak</t>
  </si>
  <si>
    <t>106</t>
  </si>
  <si>
    <t>Kicking Pokémon</t>
  </si>
  <si>
    <t>Hitmonlee</t>
  </si>
  <si>
    <t>Hitmonlee is a Fighting type Pokémon introduced in Generation 1. It is known as the Kicking Pokémon.</t>
  </si>
  <si>
    <t>107</t>
  </si>
  <si>
    <t>Punching Pokémon</t>
  </si>
  <si>
    <t>Hitmonchan</t>
  </si>
  <si>
    <t>Hitmonchan is a Fighting type Pokémon introduced in Generation 1. It is known as the Punching Pokémon.</t>
  </si>
  <si>
    <t>108</t>
  </si>
  <si>
    <t>Licking Pokémon</t>
  </si>
  <si>
    <t>Lickitung</t>
  </si>
  <si>
    <t>Lickitung is a Normal type Pokémon introduced in Generation 1. It is known as the Licking Pokémon.</t>
  </si>
  <si>
    <t>109</t>
  </si>
  <si>
    <t>Poison Gas Pokémon</t>
  </si>
  <si>
    <t>Koffing</t>
  </si>
  <si>
    <t>Koffing is a Poison type Pokémon introduced in Generation 1. It is known as the Poison Gas Pokémon.</t>
  </si>
  <si>
    <t>11</t>
  </si>
  <si>
    <t>Cocoon Pokémon</t>
  </si>
  <si>
    <t>Metapod</t>
  </si>
  <si>
    <t>Metapod is a Bug type Pokémon introduced in Generation 1. It is known as the Cocoon Pokémon.</t>
  </si>
  <si>
    <t>110</t>
  </si>
  <si>
    <t>Weezing</t>
  </si>
  <si>
    <t>Weezing is a Poison type Pokémon introduced in Generation 1. It is known as the Poison Gas Pokémon.</t>
  </si>
  <si>
    <t>111</t>
  </si>
  <si>
    <t>Spikes Pokémon</t>
  </si>
  <si>
    <t>Rhyhorn</t>
  </si>
  <si>
    <t>Rhyhorn is a Ground/Rock type Pokémon introduced in Generation 1. It is known as the Spikes Pokémon.</t>
  </si>
  <si>
    <t>112</t>
  </si>
  <si>
    <t>Drill Pokémon</t>
  </si>
  <si>
    <t>Rhydon</t>
  </si>
  <si>
    <t>Rhydon is a Ground/Rock type Pokémon introduced in Generation 1. It is known as the Drill Pokémon.</t>
  </si>
  <si>
    <t>113</t>
  </si>
  <si>
    <t>Chansey</t>
  </si>
  <si>
    <t>Chansey is a Normal type Pokémon introduced in Generation 1. It is known as the Egg Pokémon.</t>
  </si>
  <si>
    <t>114</t>
  </si>
  <si>
    <t>Vine Pokémon</t>
  </si>
  <si>
    <t>Tangela</t>
  </si>
  <si>
    <t>Tangela is a Grass type Pokémon introduced in Generation 1. It is known as the Vine Pokémon.</t>
  </si>
  <si>
    <t>115</t>
  </si>
  <si>
    <t>Parent Pokémon</t>
  </si>
  <si>
    <t>Kangaskhan</t>
  </si>
  <si>
    <t>Kangaskhan is a Normal type Pokémon introduced in Generation 1. It is known as the Parent Pokémon.
Kangaskhan has a Mega Evolution, available from X &amp; Y onwards.</t>
  </si>
  <si>
    <t>Mega Kangaskhan</t>
  </si>
  <si>
    <t>116</t>
  </si>
  <si>
    <t>Dragon Pokémon</t>
  </si>
  <si>
    <t>Horsea</t>
  </si>
  <si>
    <t>Horsea is a Water type Pokémon introduced in Generation 1. It is known as the Dragon Pokémon.</t>
  </si>
  <si>
    <t>117</t>
  </si>
  <si>
    <t>Seadra</t>
  </si>
  <si>
    <t>Seadra is a Water type Pokémon introduced in Generation 1. It is known as the Dragon Pokémon.</t>
  </si>
  <si>
    <t>118</t>
  </si>
  <si>
    <t>Goldfish Pokémon</t>
  </si>
  <si>
    <t>Goldeen</t>
  </si>
  <si>
    <t>Goldeen is a Water type Pokémon introduced in Generation 1. It is known as the Goldfish Pokémon.</t>
  </si>
  <si>
    <t>119</t>
  </si>
  <si>
    <t>Seaking</t>
  </si>
  <si>
    <t>Seaking is a Water type Pokémon introduced in Generation 1. It is known as the Goldfish Pokémon.</t>
  </si>
  <si>
    <t>12</t>
  </si>
  <si>
    <t>Butterfly Pokémon</t>
  </si>
  <si>
    <t>Butterfree</t>
  </si>
  <si>
    <t>Butterfree is a Bug/Flying type Pokémon introduced in Generation 1. It is known as the Butterfly Pokémon.</t>
  </si>
  <si>
    <t>120</t>
  </si>
  <si>
    <t>Star Shape Pokémon</t>
  </si>
  <si>
    <t>Staryu</t>
  </si>
  <si>
    <t>Staryu is a Water type Pokémon introduced in Generation 1. It is known as the Star Shape Pokémon.</t>
  </si>
  <si>
    <t>121</t>
  </si>
  <si>
    <t>Mysterious Pokémon</t>
  </si>
  <si>
    <t>Starmie</t>
  </si>
  <si>
    <t>Starmie is a Water/Psychic type Pokémon introduced in Generation 1. It is known as the Mysterious Pokémon.</t>
  </si>
  <si>
    <t>122</t>
  </si>
  <si>
    <t>Barrier Pokémon</t>
  </si>
  <si>
    <t>Mr. Mime</t>
  </si>
  <si>
    <t>Mr. Mime is a Psychic/Fairy type Pokémon introduced in Generation 1. It is known as the Barrier Pokémon.</t>
  </si>
  <si>
    <t>123</t>
  </si>
  <si>
    <t>Mantis Pokémon</t>
  </si>
  <si>
    <t>Scyther</t>
  </si>
  <si>
    <t>Scyther is a Bug/Flying type Pokémon introduced in Generation 1. It is known as the Mantis Pokémon.</t>
  </si>
  <si>
    <t>124</t>
  </si>
  <si>
    <t>Human Shape Pokémon</t>
  </si>
  <si>
    <t>Jynx</t>
  </si>
  <si>
    <t>Jynx is an Ice/Psychic type Pokémon introduced in Generation 1. It is known as the Human Shape Pokémon.</t>
  </si>
  <si>
    <t>125</t>
  </si>
  <si>
    <t>Electric Pokémon</t>
  </si>
  <si>
    <t>Electabuzz</t>
  </si>
  <si>
    <t>Electabuzz is an Electric type Pokémon introduced in Generation 1. It is known as the Electric Pokémon.</t>
  </si>
  <si>
    <t>126</t>
  </si>
  <si>
    <t>Spitfire Pokémon</t>
  </si>
  <si>
    <t>Magmar</t>
  </si>
  <si>
    <t>Magmar is a Fire type Pokémon introduced in Generation 1. It is known as the Spitfire Pokémon.</t>
  </si>
  <si>
    <t>127</t>
  </si>
  <si>
    <t>Stag Beetle Pokémon</t>
  </si>
  <si>
    <t>Mega Pinsir</t>
  </si>
  <si>
    <t>Pinsir is a Bug type Pokémon introduced in Generation 1. It is known as the Stag Beetle Pokémon.
Pinsir has a Mega Evolution, available from X &amp; Y onwards.</t>
  </si>
  <si>
    <t>Pinsir</t>
  </si>
  <si>
    <t>128</t>
  </si>
  <si>
    <t>Wild Bull Pokémon</t>
  </si>
  <si>
    <t>Tauros</t>
  </si>
  <si>
    <t>Tauros is a Normal type Pokémon introduced in Generation 1. It is known as the Wild Bull Pokémon.</t>
  </si>
  <si>
    <t>129</t>
  </si>
  <si>
    <t>Fish Pokémon</t>
  </si>
  <si>
    <t>Magikarp</t>
  </si>
  <si>
    <t>Magikarp is a Water type Pokémon introduced in Generation 1. It is known as the Fish Pokémon.</t>
  </si>
  <si>
    <t>13</t>
  </si>
  <si>
    <t>Hairy Bug Pokémon</t>
  </si>
  <si>
    <t>Weedle</t>
  </si>
  <si>
    <t>Weedle is a Bug/Poison type Pokémon introduced in Generation 1. It is known as the Hairy Bug Pokémon.</t>
  </si>
  <si>
    <t>130</t>
  </si>
  <si>
    <t>Atrocious Pokémon</t>
  </si>
  <si>
    <t>Gyarados</t>
  </si>
  <si>
    <t>Gyarados is a Water/Flying type Pokémon introduced in Generation 1. It is known as the Atrocious Pokémon.
Gyarados has a Mega Evolution, available from X &amp; Y onwards.</t>
  </si>
  <si>
    <t>Mega Gyarados</t>
  </si>
  <si>
    <t>131</t>
  </si>
  <si>
    <t>Transport Pokémon</t>
  </si>
  <si>
    <t>Lapras</t>
  </si>
  <si>
    <t>Lapras is a Water/Ice type Pokémon introduced in Generation 1. It is known as the Transport Pokémon.</t>
  </si>
  <si>
    <t>132</t>
  </si>
  <si>
    <t>Transform Pokémon</t>
  </si>
  <si>
    <t>Ditto</t>
  </si>
  <si>
    <t>Ditto is a Normal type Pokémon introduced in Generation 1. It is known as the Transform Pokémon.</t>
  </si>
  <si>
    <t>133</t>
  </si>
  <si>
    <t>Evolution Pokémon</t>
  </si>
  <si>
    <t>Eevee</t>
  </si>
  <si>
    <t>Eevee is a Normal type Pokémon introduced in Generation 1. It is known as the Evolution Pokémon.</t>
  </si>
  <si>
    <t>Partner Eevee</t>
  </si>
  <si>
    <t>134</t>
  </si>
  <si>
    <t>Bubble Jet Pokémon</t>
  </si>
  <si>
    <t>Vaporeon</t>
  </si>
  <si>
    <t>Vaporeon is a Water type Pokémon introduced in Generation 1. It is known as the Bubble Jet Pokémon.</t>
  </si>
  <si>
    <t>135</t>
  </si>
  <si>
    <t>Lightning Pokémon</t>
  </si>
  <si>
    <t>Jolteon</t>
  </si>
  <si>
    <t>Jolteon is an Electric type Pokémon introduced in Generation 1. It is known as the Lightning Pokémon.</t>
  </si>
  <si>
    <t>136</t>
  </si>
  <si>
    <t>Flame Pokémon</t>
  </si>
  <si>
    <t>Flareon</t>
  </si>
  <si>
    <t>Flareon is a Fire type Pokémon introduced in Generation 1. It is known as the Flame Pokémon.</t>
  </si>
  <si>
    <t>137</t>
  </si>
  <si>
    <t>Virtual Pokémon</t>
  </si>
  <si>
    <t>Porygon</t>
  </si>
  <si>
    <t>Porygon is a Normal type Pokémon introduced in Generation 1. It is known as the Virtual Pokémon.</t>
  </si>
  <si>
    <t>138</t>
  </si>
  <si>
    <t>Spiral Pokémon</t>
  </si>
  <si>
    <t>Omanyte</t>
  </si>
  <si>
    <t>Omanyte is a Rock/Water type Pokémon introduced in Generation 1. It is known as the Spiral Pokémon.</t>
  </si>
  <si>
    <t>139</t>
  </si>
  <si>
    <t>Omastar</t>
  </si>
  <si>
    <t>Omastar is a Rock/Water type Pokémon introduced in Generation 1. It is known as the Spiral Pokémon.</t>
  </si>
  <si>
    <t>14</t>
  </si>
  <si>
    <t>Kakuna</t>
  </si>
  <si>
    <t>Kakuna is a Bug/Poison type Pokémon introduced in Generation 1. It is known as the Cocoon Pokémon.</t>
  </si>
  <si>
    <t>140</t>
  </si>
  <si>
    <t>Shellfish Pokémon</t>
  </si>
  <si>
    <t>Kabuto</t>
  </si>
  <si>
    <t>Kabuto is a Rock/Water type Pokémon introduced in Generation 1. It is known as the Shellfish Pokémon.</t>
  </si>
  <si>
    <t>141</t>
  </si>
  <si>
    <t>Kabutops</t>
  </si>
  <si>
    <t>Kabutops is a Rock/Water type Pokémon introduced in Generation 1. It is known as the Shellfish Pokémon.</t>
  </si>
  <si>
    <t>142</t>
  </si>
  <si>
    <t>Fossil Pokémon</t>
  </si>
  <si>
    <t>Aerodactyl</t>
  </si>
  <si>
    <t>Aerodactyl is a Rock/Flying type Pokémon introduced in Generation 1. It is known as the Fossil Pokémon.
Aerodactyl has a Mega Evolution, available from X &amp; Y onwards.</t>
  </si>
  <si>
    <t>Mega Aerodactyl</t>
  </si>
  <si>
    <t>143</t>
  </si>
  <si>
    <t>Sleeping Pokémon</t>
  </si>
  <si>
    <t>Snorlax</t>
  </si>
  <si>
    <t>Snorlax is a Normal type Pokémon introduced in Generation 1. It is known as the Sleeping Pokémon.</t>
  </si>
  <si>
    <t>144</t>
  </si>
  <si>
    <t>Freeze Pokémon</t>
  </si>
  <si>
    <t>Articuno</t>
  </si>
  <si>
    <t>Articuno is an Ice/Flying type Pokémon introduced in Generation 1. It is known as the Freeze Pokémon.</t>
  </si>
  <si>
    <t>145</t>
  </si>
  <si>
    <t>Zapdos</t>
  </si>
  <si>
    <t>Zapdos is an Electric/Flying type Pokémon introduced in Generation 1. It is known as the Electric Pokémon.</t>
  </si>
  <si>
    <t>146</t>
  </si>
  <si>
    <t>Moltres</t>
  </si>
  <si>
    <t>Moltres is a Fire/Flying type Pokémon introduced in Generation 1. It is known as the Flame Pokémon.</t>
  </si>
  <si>
    <t>147</t>
  </si>
  <si>
    <t>Dratini</t>
  </si>
  <si>
    <t>Dratini is a Dragon type Pokémon introduced in Generation 1. It is known as the Dragon Pokémon.</t>
  </si>
  <si>
    <t>148</t>
  </si>
  <si>
    <t>Dragonair</t>
  </si>
  <si>
    <t>Dragonair is a Dragon type Pokémon introduced in Generation 1. It is known as the Dragon Pokémon.</t>
  </si>
  <si>
    <t>149</t>
  </si>
  <si>
    <t>Dragonite</t>
  </si>
  <si>
    <t>Dragonite is a Dragon/Flying type Pokémon introduced in Generation 1. It is known as the Dragon Pokémon.</t>
  </si>
  <si>
    <t>15</t>
  </si>
  <si>
    <t>Poison Bee Pokémon</t>
  </si>
  <si>
    <t>Beedrill</t>
  </si>
  <si>
    <t>Beedrill is a Bug/Poison type Pokémon introduced in Generation 1. It is known as the Poison Bee Pokémon.
Beedrill has a Mega Evolution, available from Omega Ruby &amp; Alpha Sapphire onwards.</t>
  </si>
  <si>
    <t>Mega Beedrill</t>
  </si>
  <si>
    <t>150</t>
  </si>
  <si>
    <t>Genetic Pokémon</t>
  </si>
  <si>
    <t>Mega Mewtwo X</t>
  </si>
  <si>
    <t>Mewtwo is a Psychic type Pokémon introduced in Generation 1. It is known as the Genetic Pokémon.
Mewtwo has two Mega Evolutions, available from X &amp; Y onwards. They can be activated in battle when holding the Mega Stones, Mewtwonite X and Mewtwonite Y respectively.</t>
  </si>
  <si>
    <t>Mega Mewtwo Y</t>
  </si>
  <si>
    <t>Mewtwo</t>
  </si>
  <si>
    <t>151</t>
  </si>
  <si>
    <t>New Species Pokémon</t>
  </si>
  <si>
    <t>Mew</t>
  </si>
  <si>
    <t>Mew is a Psychic type Pokémon introduced in Generation 1. It is known as the New Species Pokémon.</t>
  </si>
  <si>
    <t>152</t>
  </si>
  <si>
    <t>Leaf Pokémon</t>
  </si>
  <si>
    <t>Chikorita</t>
  </si>
  <si>
    <t>Chikorita is a Grass type Pokémon introduced in Generation 2. It is known as the Leaf Pokémon.</t>
  </si>
  <si>
    <t>153</t>
  </si>
  <si>
    <t>Bayleef</t>
  </si>
  <si>
    <t>Bayleef is a Grass type Pokémon introduced in Generation 2. It is known as the Leaf Pokémon.</t>
  </si>
  <si>
    <t>154</t>
  </si>
  <si>
    <t>Herb Pokémon</t>
  </si>
  <si>
    <t>Meganium</t>
  </si>
  <si>
    <t>Meganium is a Grass type Pokémon introduced in Generation 2. It is known as the Herb Pokémon.</t>
  </si>
  <si>
    <t>155</t>
  </si>
  <si>
    <t>Fire Mouse Pokémon</t>
  </si>
  <si>
    <t>Cyndaquil</t>
  </si>
  <si>
    <t>Cyndaquil is a Fire type Pokémon introduced in Generation 2. It is known as the Fire Mouse Pokémon.</t>
  </si>
  <si>
    <t>156</t>
  </si>
  <si>
    <t>Volcano Pokémon</t>
  </si>
  <si>
    <t>Quilava</t>
  </si>
  <si>
    <t>Quilava is a Fire type Pokémon introduced in Generation 2. It is known as the Volcano Pokémon.</t>
  </si>
  <si>
    <t>157</t>
  </si>
  <si>
    <t>Typhlosion</t>
  </si>
  <si>
    <t>Typhlosion is a Fire type Pokémon introduced in Generation 2. It is known as the Volcano Pokémon.</t>
  </si>
  <si>
    <t>158</t>
  </si>
  <si>
    <t>Big Jaw Pokémon</t>
  </si>
  <si>
    <t>Totodile</t>
  </si>
  <si>
    <t>Totodile is a Water type Pokémon introduced in Generation 2. It is known as the Big Jaw Pokémon.</t>
  </si>
  <si>
    <t>159</t>
  </si>
  <si>
    <t>Croconaw</t>
  </si>
  <si>
    <t>Croconaw is a Water type Pokémon introduced in Generation 2. It is known as the Big Jaw Pokémon.</t>
  </si>
  <si>
    <t>16</t>
  </si>
  <si>
    <t>Tiny Bird Pokémon</t>
  </si>
  <si>
    <t>Pidgey</t>
  </si>
  <si>
    <t>Pidgey is a Normal/Flying type Pokémon introduced in Generation 1. It is known as the Tiny Bird Pokémon.</t>
  </si>
  <si>
    <t>160</t>
  </si>
  <si>
    <t>Feraligatr</t>
  </si>
  <si>
    <t>Feraligatr is a Water type Pokémon introduced in Generation 2. It is known as the Big Jaw Pokémon.</t>
  </si>
  <si>
    <t>161</t>
  </si>
  <si>
    <t>Scout Pokémon</t>
  </si>
  <si>
    <t>Sentret</t>
  </si>
  <si>
    <t>Sentret is a Normal type Pokémon introduced in Generation 2. It is known as the Scout Pokémon.</t>
  </si>
  <si>
    <t>162</t>
  </si>
  <si>
    <t>Long Body Pokémon</t>
  </si>
  <si>
    <t>Furret</t>
  </si>
  <si>
    <t>Furret is a Normal type Pokémon introduced in Generation 2. It is known as the Long Body Pokémon.</t>
  </si>
  <si>
    <t>163</t>
  </si>
  <si>
    <t>Owl Pokémon</t>
  </si>
  <si>
    <t>Hoothoot</t>
  </si>
  <si>
    <t>Hoothoot is a Normal/Flying type Pokémon introduced in Generation 2. It is known as the Owl Pokémon.</t>
  </si>
  <si>
    <t>164</t>
  </si>
  <si>
    <t>Noctowl</t>
  </si>
  <si>
    <t>Noctowl is a Normal/Flying type Pokémon introduced in Generation 2. It is known as the Owl Pokémon.</t>
  </si>
  <si>
    <t>165</t>
  </si>
  <si>
    <t>Five Star Pokémon</t>
  </si>
  <si>
    <t>Ledyba</t>
  </si>
  <si>
    <t>Ledyba is a Bug/Flying type Pokémon introduced in Generation 2. It is known as the Five Star Pokémon.</t>
  </si>
  <si>
    <t>166</t>
  </si>
  <si>
    <t>Ledian</t>
  </si>
  <si>
    <t>Ledian is a Bug/Flying type Pokémon introduced in Generation 2. It is known as the Five Star Pokémon.</t>
  </si>
  <si>
    <t>167</t>
  </si>
  <si>
    <t>String Spit Pokémon</t>
  </si>
  <si>
    <t>Spinarak</t>
  </si>
  <si>
    <t>Spinarak is a Bug/Poison type Pokémon introduced in Generation 2. It is known as the String Spit Pokémon.</t>
  </si>
  <si>
    <t>168</t>
  </si>
  <si>
    <t>Long Leg Pokémon</t>
  </si>
  <si>
    <t>Ariados</t>
  </si>
  <si>
    <t>Ariados is a Bug/Poison type Pokémon introduced in Generation 2. It is known as the Long Leg Pokémon.</t>
  </si>
  <si>
    <t>169</t>
  </si>
  <si>
    <t>Bat Pokémon</t>
  </si>
  <si>
    <t>Crobat</t>
  </si>
  <si>
    <t>Crobat is a Poison/Flying type Pokémon introduced in Generation 2. It is known as the Bat Pokémon.</t>
  </si>
  <si>
    <t>17</t>
  </si>
  <si>
    <t>Bird Pokémon</t>
  </si>
  <si>
    <t>Pidgeotto</t>
  </si>
  <si>
    <t>Pidgeotto is a Normal/Flying type Pokémon introduced in Generation 1. It is known as the Bird Pokémon.</t>
  </si>
  <si>
    <t>170</t>
  </si>
  <si>
    <t>Angler Pokémon</t>
  </si>
  <si>
    <t>Chinchou</t>
  </si>
  <si>
    <t>Chinchou is a Water/Electric type Pokémon introduced in Generation 2. It is known as the Angler Pokémon.</t>
  </si>
  <si>
    <t>171</t>
  </si>
  <si>
    <t>Light Pokémon</t>
  </si>
  <si>
    <t>Lanturn</t>
  </si>
  <si>
    <t>Lanturn is a Water/Electric type Pokémon introduced in Generation 2. It is known as the Light Pokémon.</t>
  </si>
  <si>
    <t>172</t>
  </si>
  <si>
    <t>Tiny Mouse Pokémon</t>
  </si>
  <si>
    <t>Pichu</t>
  </si>
  <si>
    <t>Pichu is an Electric type Pokémon introduced in Generation 2. It is known as the Tiny Mouse Pokémon.</t>
  </si>
  <si>
    <t>173</t>
  </si>
  <si>
    <t>Cleffa</t>
  </si>
  <si>
    <t>Cleffa is a Fairy type Pokémon introduced in Generation 2. It is known as the Star Shape Pokémon.</t>
  </si>
  <si>
    <t>174</t>
  </si>
  <si>
    <t>Balloon Pokémon</t>
  </si>
  <si>
    <t>Igglybuff</t>
  </si>
  <si>
    <t>Igglybuff is a Normal/Fairy type Pokémon introduced in Generation 2. It is known as the Balloon Pokémon.</t>
  </si>
  <si>
    <t>175</t>
  </si>
  <si>
    <t>Spike Ball Pokémon</t>
  </si>
  <si>
    <t>Togepi</t>
  </si>
  <si>
    <t>Togepi is a Fairy type Pokémon introduced in Generation 2. It is known as the Spike Ball Pokémon.</t>
  </si>
  <si>
    <t>176</t>
  </si>
  <si>
    <t>Happiness Pokémon</t>
  </si>
  <si>
    <t>Togetic</t>
  </si>
  <si>
    <t>Togetic is a Fairy/Flying type Pokémon introduced in Generation 2. It is known as the Happiness Pokémon.</t>
  </si>
  <si>
    <t>177</t>
  </si>
  <si>
    <t>Natu</t>
  </si>
  <si>
    <t>Natu is a Psychic/Flying type Pokémon introduced in Generation 2. It is known as the Tiny Bird Pokémon.</t>
  </si>
  <si>
    <t>178</t>
  </si>
  <si>
    <t>Mystic Pokémon</t>
  </si>
  <si>
    <t>Xatu</t>
  </si>
  <si>
    <t>Xatu is a Psychic/Flying type Pokémon introduced in Generation 2. It is known as the Mystic Pokémon.</t>
  </si>
  <si>
    <t>179</t>
  </si>
  <si>
    <t>Wool Pokémon</t>
  </si>
  <si>
    <t>Mareep</t>
  </si>
  <si>
    <t>Mareep is an Electric type Pokémon introduced in Generation 2. It is known as the Wool Pokémon.</t>
  </si>
  <si>
    <t>18</t>
  </si>
  <si>
    <t>Mega Pidgeot</t>
  </si>
  <si>
    <t>Pidgeot is a Normal/Flying type Pokémon introduced in Generation 1. It is known as the Bird Pokémon.
Pidgeot has a Mega Evolution, available from Omega Ruby &amp; Alpha Sapphire onwards.</t>
  </si>
  <si>
    <t>Pidgeot</t>
  </si>
  <si>
    <t>180</t>
  </si>
  <si>
    <t>Flaaffy</t>
  </si>
  <si>
    <t>Flaaffy is an Electric type Pokémon introduced in Generation 2. It is known as the Wool Pokémon.</t>
  </si>
  <si>
    <t>181</t>
  </si>
  <si>
    <t>Ampharos</t>
  </si>
  <si>
    <t>Ampharos is an Electric type Pokémon introduced in Generation 2. It is known as the Light Pokémon.</t>
  </si>
  <si>
    <t>Mega Ampharos</t>
  </si>
  <si>
    <t>182</t>
  </si>
  <si>
    <t>Flower Pokémon</t>
  </si>
  <si>
    <t>Bellossom</t>
  </si>
  <si>
    <t>Bellossom is a Grass type Pokémon introduced in Generation 2. It is known as the Flower Pokémon.</t>
  </si>
  <si>
    <t>183</t>
  </si>
  <si>
    <t>Aqua Mouse Pokémon</t>
  </si>
  <si>
    <t>Marill</t>
  </si>
  <si>
    <t>Marill is a Water/Fairy type Pokémon introduced in Generation 2. It is known as the Aqua Mouse Pokémon.</t>
  </si>
  <si>
    <t>184</t>
  </si>
  <si>
    <t>Aqua Rabbit Pokémon</t>
  </si>
  <si>
    <t>Azumarill</t>
  </si>
  <si>
    <t>Azumarill is a Water/Fairy type Pokémon introduced in Generation 2. It is known as the Aqua Rabbit Pokémon.</t>
  </si>
  <si>
    <t>185</t>
  </si>
  <si>
    <t>Imitation Pokémon</t>
  </si>
  <si>
    <t>Sudowoodo</t>
  </si>
  <si>
    <t>Sudowoodo is a Rock type Pokémon introduced in Generation 2. It is known as the Imitation Pokémon.</t>
  </si>
  <si>
    <t>186</t>
  </si>
  <si>
    <t>Frog Pokémon</t>
  </si>
  <si>
    <t>Politoed</t>
  </si>
  <si>
    <t>Politoed is a Water type Pokémon introduced in Generation 2. It is known as the Frog Pokémon.</t>
  </si>
  <si>
    <t>187</t>
  </si>
  <si>
    <t>Cottonweed Pokémon</t>
  </si>
  <si>
    <t>Hoppip</t>
  </si>
  <si>
    <t>Hoppip is a Grass/Flying type Pokémon introduced in Generation 2. It is known as the Cottonweed Pokémon.</t>
  </si>
  <si>
    <t>188</t>
  </si>
  <si>
    <t>Skiploom</t>
  </si>
  <si>
    <t>Skiploom is a Grass/Flying type Pokémon introduced in Generation 2. It is known as the Cottonweed Pokémon.</t>
  </si>
  <si>
    <t>189</t>
  </si>
  <si>
    <t>Jumpluff</t>
  </si>
  <si>
    <t>Jumpluff is a Grass/Flying type Pokémon introduced in Generation 2. It is known as the Cottonweed Pokémon.</t>
  </si>
  <si>
    <t>19</t>
  </si>
  <si>
    <t>Mouse Pokémon</t>
  </si>
  <si>
    <t>Alolan Rattata</t>
  </si>
  <si>
    <t>Rattata is a Normal type Pokémon introduced in Generation 1. It is known as the Mouse Pokémon.
Rattata has a new Alolan form introduced in Pokémon Sun/Moon.</t>
  </si>
  <si>
    <t>Rattata</t>
  </si>
  <si>
    <t>190</t>
  </si>
  <si>
    <t>Long Tail Pokémon</t>
  </si>
  <si>
    <t>Aipom</t>
  </si>
  <si>
    <t>Aipom is a Normal type Pokémon introduced in Generation 2. It is known as the Long Tail Pokémon.</t>
  </si>
  <si>
    <t>191</t>
  </si>
  <si>
    <t>Sunkern</t>
  </si>
  <si>
    <t>Sunkern is a Grass type Pokémon introduced in Generation 2. It is known as the Seed Pokémon.</t>
  </si>
  <si>
    <t>192</t>
  </si>
  <si>
    <t>Sun Pokémon</t>
  </si>
  <si>
    <t>Sunflora</t>
  </si>
  <si>
    <t>Sunflora is a Grass type Pokémon introduced in Generation 2. It is known as the Sun Pokémon.</t>
  </si>
  <si>
    <t>193</t>
  </si>
  <si>
    <t>Clear Wing Pokémon</t>
  </si>
  <si>
    <t>Yanma</t>
  </si>
  <si>
    <t>Yanma is a Bug/Flying type Pokémon introduced in Generation 2. It is known as the Clear Wing Pokémon.</t>
  </si>
  <si>
    <t>194</t>
  </si>
  <si>
    <t>Water Fish Pokémon</t>
  </si>
  <si>
    <t>Wooper</t>
  </si>
  <si>
    <t>Wooper is a Water/Ground type Pokémon introduced in Generation 2. It is known as the Water Fish Pokémon.</t>
  </si>
  <si>
    <t>195</t>
  </si>
  <si>
    <t>Quagsire</t>
  </si>
  <si>
    <t>Quagsire is a Water/Ground type Pokémon introduced in Generation 2. It is known as the Water Fish Pokémon.</t>
  </si>
  <si>
    <t>196</t>
  </si>
  <si>
    <t>Espeon</t>
  </si>
  <si>
    <t>Espeon is a Psychic type Pokémon introduced in Generation 2. It is known as the Sun Pokémon.</t>
  </si>
  <si>
    <t>197</t>
  </si>
  <si>
    <t>Moonlight Pokémon</t>
  </si>
  <si>
    <t>Umbreon</t>
  </si>
  <si>
    <t>Umbreon is a Dark type Pokémon introduced in Generation 2. It is known as the Moonlight Pokémon.</t>
  </si>
  <si>
    <t>198</t>
  </si>
  <si>
    <t>Darkness Pokémon</t>
  </si>
  <si>
    <t>Murkrow</t>
  </si>
  <si>
    <t>Murkrow is a Dark/Flying type Pokémon introduced in Generation 2. It is known as the Darkness Pokémon.</t>
  </si>
  <si>
    <t>199</t>
  </si>
  <si>
    <t>Royal Pokémon</t>
  </si>
  <si>
    <t>Slowking</t>
  </si>
  <si>
    <t>Slowking is a Water/Psychic type Pokémon introduced in Generation 2. It is known as the Royal Pokémon.</t>
  </si>
  <si>
    <t>2</t>
  </si>
  <si>
    <t>Ivysaur</t>
  </si>
  <si>
    <t>Ivysaur is a Grass/Poison type Pokémon introduced in Generation 1. It is known as the Seed Pokémon.</t>
  </si>
  <si>
    <t>20</t>
  </si>
  <si>
    <t>Alolan Raticate</t>
  </si>
  <si>
    <t>Raticate is a Normal type Pokémon introduced in Generation 1. It is known as the Mouse Pokémon.</t>
  </si>
  <si>
    <t>Raticate</t>
  </si>
  <si>
    <t>200</t>
  </si>
  <si>
    <t>Screech Pokémon</t>
  </si>
  <si>
    <t>Misdreavus</t>
  </si>
  <si>
    <t>Misdreavus is a Ghost type Pokémon introduced in Generation 2. It is known as the Screech Pokémon.</t>
  </si>
  <si>
    <t>201</t>
  </si>
  <si>
    <t>Symbol Pokémon</t>
  </si>
  <si>
    <t>Unown</t>
  </si>
  <si>
    <t>Unown is a Psychic type Pokémon introduced in Generation 2. It is known as the Symbol Pokémon.</t>
  </si>
  <si>
    <t>202</t>
  </si>
  <si>
    <t>Patient Pokémon</t>
  </si>
  <si>
    <t>Wobbuffet</t>
  </si>
  <si>
    <t>Wobbuffet is a Psychic type Pokémon introduced in Generation 2. It is known as the Patient Pokémon.</t>
  </si>
  <si>
    <t>203</t>
  </si>
  <si>
    <t>Long Neck Pokémon</t>
  </si>
  <si>
    <t>Girafarig</t>
  </si>
  <si>
    <t>Girafarig is a Normal/Psychic type Pokémon introduced in Generation 2. It is known as the Long Neck Pokémon.</t>
  </si>
  <si>
    <t>204</t>
  </si>
  <si>
    <t>Bagworm Pokémon</t>
  </si>
  <si>
    <t>Pineco</t>
  </si>
  <si>
    <t>Pineco is a Bug type Pokémon introduced in Generation 2. It is known as the Bagworm Pokémon.</t>
  </si>
  <si>
    <t>205</t>
  </si>
  <si>
    <t>Forretress</t>
  </si>
  <si>
    <t>Forretress is a Bug/Steel type Pokémon introduced in Generation 2. It is known as the Bagworm Pokémon.</t>
  </si>
  <si>
    <t>206</t>
  </si>
  <si>
    <t>Land Snake Pokémon</t>
  </si>
  <si>
    <t>Dunsparce</t>
  </si>
  <si>
    <t>Dunsparce is a Normal type Pokémon introduced in Generation 2. It is known as the Land Snake Pokémon.</t>
  </si>
  <si>
    <t>207</t>
  </si>
  <si>
    <t>FlyScorpion Pokémon</t>
  </si>
  <si>
    <t>Gligar</t>
  </si>
  <si>
    <t>Gligar is a Ground/Flying type Pokémon introduced in Generation 2. It is known as the FlyScorpion Pokémon.</t>
  </si>
  <si>
    <t>208</t>
  </si>
  <si>
    <t>Iron Snake Pokémon</t>
  </si>
  <si>
    <t>Mega Steelix</t>
  </si>
  <si>
    <t>Steelix is a Steel/Ground type Pokémon introduced in Generation 2. It is known as the Iron Snake Pokémon.
Steelix has a Mega Evolution, available from Omega Ruby &amp; Alpha Sapphire onwards.</t>
  </si>
  <si>
    <t>Steelix</t>
  </si>
  <si>
    <t>209</t>
  </si>
  <si>
    <t>Fairy Pokémon</t>
  </si>
  <si>
    <t>Snubbull</t>
  </si>
  <si>
    <t>Snubbull is a Fairy type Pokémon introduced in Generation 2. It is known as the Fairy Pokémon.</t>
  </si>
  <si>
    <t>21</t>
  </si>
  <si>
    <t>Spearow</t>
  </si>
  <si>
    <t>Spearow is a Normal/Flying type Pokémon introduced in Generation 1. It is known as the Tiny Bird Pokémon.</t>
  </si>
  <si>
    <t>210</t>
  </si>
  <si>
    <t>Granbull</t>
  </si>
  <si>
    <t>Granbull is a Fairy type Pokémon introduced in Generation 2. It is known as the Fairy Pokémon.</t>
  </si>
  <si>
    <t>211</t>
  </si>
  <si>
    <t>Qwilfish</t>
  </si>
  <si>
    <t>Qwilfish is a Water/Poison type Pokémon introduced in Generation 2. It is known as the Balloon Pokémon.</t>
  </si>
  <si>
    <t>212</t>
  </si>
  <si>
    <t>Pincer Pokémon</t>
  </si>
  <si>
    <t>Mega Scizor</t>
  </si>
  <si>
    <t>Scizor is a Bug/Steel type Pokémon introduced in Generation 2. It is known as the Pincer Pokémon.
Scizor is a red, metal, ant-like Pokémon with yellow and black patterns on its pincers which resemble an eye pattern. Its body consists of three main parts: the torso, the abdomen and the head. It stands on two legs and has a pair of small wings located on its back which are used to control its body temperature, rather than flying. Scizor's habitat is lush and vast where it can reside with the rest of the swarm.
Scizor evolves from the Bug/Flying type Scyther, thus losing its Flying type upon evolution - a rare occurrence for Pokémon.
Scizor has a Mega Evolution, available from X &amp; Y onwards.</t>
  </si>
  <si>
    <t>Scizor</t>
  </si>
  <si>
    <t>213</t>
  </si>
  <si>
    <t>Mold Pokémon</t>
  </si>
  <si>
    <t>Shuckle</t>
  </si>
  <si>
    <t>Shuckle is a Bug/Rock type Pokémon introduced in Generation 2. It is known as the Mold Pokémon.</t>
  </si>
  <si>
    <t>214</t>
  </si>
  <si>
    <t>Single Horn Pokémon</t>
  </si>
  <si>
    <t>Heracross</t>
  </si>
  <si>
    <t>Heracross is a Bug/Fighting type Pokémon introduced in Generation 2. It is known as the Single Horn Pokémon.
Heracross has a Mega Evolution, available from X &amp; Y onwards.</t>
  </si>
  <si>
    <t>Mega Heracross</t>
  </si>
  <si>
    <t>215</t>
  </si>
  <si>
    <t>Sharp Claw Pokémon</t>
  </si>
  <si>
    <t>Sneasel</t>
  </si>
  <si>
    <t>Sneasel is a Dark/Ice type Pokémon introduced in Generation 2. It is known as the Sharp Claw Pokémon.</t>
  </si>
  <si>
    <t>216</t>
  </si>
  <si>
    <t>Little Bear Pokémon</t>
  </si>
  <si>
    <t>Teddiursa</t>
  </si>
  <si>
    <t>Teddiursa is a Normal type Pokémon introduced in Generation 2. It is known as the Little Bear Pokémon.</t>
  </si>
  <si>
    <t>217</t>
  </si>
  <si>
    <t>Hibernator Pokémon</t>
  </si>
  <si>
    <t>Ursaring</t>
  </si>
  <si>
    <t>Ursaring is a Normal type Pokémon introduced in Generation 2. It is known as the Hibernator Pokémon.</t>
  </si>
  <si>
    <t>218</t>
  </si>
  <si>
    <t>Lava Pokémon</t>
  </si>
  <si>
    <t>Slugma</t>
  </si>
  <si>
    <t>Slugma is a Fire type Pokémon introduced in Generation 2. It is known as the Lava Pokémon.</t>
  </si>
  <si>
    <t>219</t>
  </si>
  <si>
    <t>Magcargo</t>
  </si>
  <si>
    <t>Magcargo is a Fire/Rock type Pokémon introduced in Generation 2. It is known as the Lava Pokémon.</t>
  </si>
  <si>
    <t>22</t>
  </si>
  <si>
    <t>Beak Pokémon</t>
  </si>
  <si>
    <t>Fearow</t>
  </si>
  <si>
    <t>Fearow is a Normal/Flying type Pokémon introduced in Generation 1. It is known as the Beak Pokémon.</t>
  </si>
  <si>
    <t>220</t>
  </si>
  <si>
    <t>Pig Pokémon</t>
  </si>
  <si>
    <t>Swinub</t>
  </si>
  <si>
    <t>Swinub is an Ice/Ground type Pokémon introduced in Generation 2. It is known as the Pig Pokémon.</t>
  </si>
  <si>
    <t>221</t>
  </si>
  <si>
    <t>Swine Pokémon</t>
  </si>
  <si>
    <t>Piloswine</t>
  </si>
  <si>
    <t>Piloswine is an Ice/Ground type Pokémon introduced in Generation 2. It is known as the Swine Pokémon.</t>
  </si>
  <si>
    <t>222</t>
  </si>
  <si>
    <t>Coral Pokémon</t>
  </si>
  <si>
    <t>Corsola</t>
  </si>
  <si>
    <t>Corsola is a Water/Rock type Pokémon introduced in Generation 2. It is known as the Coral Pokémon.</t>
  </si>
  <si>
    <t>223</t>
  </si>
  <si>
    <t>Jet Pokémon</t>
  </si>
  <si>
    <t>Remoraid</t>
  </si>
  <si>
    <t>Remoraid is a Water type Pokémon introduced in Generation 2. It is known as the Jet Pokémon.</t>
  </si>
  <si>
    <t>224</t>
  </si>
  <si>
    <t>Octillery</t>
  </si>
  <si>
    <t>Octillery is a Water type Pokémon introduced in Generation 2. It is known as the Jet Pokémon.</t>
  </si>
  <si>
    <t>225</t>
  </si>
  <si>
    <t>Delivery Pokémon</t>
  </si>
  <si>
    <t>Delibird</t>
  </si>
  <si>
    <t>Delibird is an Ice/Flying type Pokémon introduced in Generation 2. It is known as the Delivery Pokémon.</t>
  </si>
  <si>
    <t>226</t>
  </si>
  <si>
    <t>Kite Pokémon</t>
  </si>
  <si>
    <t>Mantine</t>
  </si>
  <si>
    <t>Mantine is a Water/Flying type Pokémon introduced in Generation 2. It is known as the Kite Pokémon.</t>
  </si>
  <si>
    <t>227</t>
  </si>
  <si>
    <t>Armor Bird Pokémon</t>
  </si>
  <si>
    <t>Skarmory</t>
  </si>
  <si>
    <t>Skarmory is a Steel/Flying type Pokémon introduced in Generation 2. It is known as the Armor Bird Pokémon.</t>
  </si>
  <si>
    <t>228</t>
  </si>
  <si>
    <t>Dark Pokémon</t>
  </si>
  <si>
    <t>Houndour</t>
  </si>
  <si>
    <t>Houndour is a Dark/Fire type Pokémon introduced in Generation 2. It is known as the Dark Pokémon.</t>
  </si>
  <si>
    <t>229</t>
  </si>
  <si>
    <t>Houndoom</t>
  </si>
  <si>
    <t>Houndoom is a Dark/Fire type Pokémon introduced in Generation 2. It is known as the Dark Pokémon.
Houndoom has a Mega Evolution, available from X &amp; Y onwards.</t>
  </si>
  <si>
    <t>Mega Houndoom</t>
  </si>
  <si>
    <t>23</t>
  </si>
  <si>
    <t>Snake Pokémon</t>
  </si>
  <si>
    <t>Ekans</t>
  </si>
  <si>
    <t>Ekans is a Poison type Pokémon introduced in Generation 1. It is known as the Snake Pokémon.</t>
  </si>
  <si>
    <t>230</t>
  </si>
  <si>
    <t>Kingdra</t>
  </si>
  <si>
    <t>Kingdra is a Water/Dragon type Pokémon introduced in Generation 2. It is known as the Dragon Pokémon.</t>
  </si>
  <si>
    <t>231</t>
  </si>
  <si>
    <t>Long Nose Pokémon</t>
  </si>
  <si>
    <t>Phanpy</t>
  </si>
  <si>
    <t>Phanpy is a Ground type Pokémon introduced in Generation 2. It is known as the Long Nose Pokémon.</t>
  </si>
  <si>
    <t>232</t>
  </si>
  <si>
    <t>Armor Pokémon</t>
  </si>
  <si>
    <t>Donphan</t>
  </si>
  <si>
    <t>Donphan is a Ground type Pokémon introduced in Generation 2. It is known as the Armor Pokémon.</t>
  </si>
  <si>
    <t>233</t>
  </si>
  <si>
    <t>Porygon2</t>
  </si>
  <si>
    <t>Porygon2 is a Normal type Pokémon introduced in Generation 2. It is known as the Virtual Pokémon.</t>
  </si>
  <si>
    <t>234</t>
  </si>
  <si>
    <t>Big Horn Pokémon</t>
  </si>
  <si>
    <t>Stantler</t>
  </si>
  <si>
    <t>Stantler is a Normal type Pokémon introduced in Generation 2. It is known as the Big Horn Pokémon.</t>
  </si>
  <si>
    <t>235</t>
  </si>
  <si>
    <t>Painter Pokémon</t>
  </si>
  <si>
    <t>Smeargle</t>
  </si>
  <si>
    <t>Smeargle is a Normal type Pokémon introduced in Generation 2. It is known as the Painter Pokémon.</t>
  </si>
  <si>
    <t>236</t>
  </si>
  <si>
    <t>Scuffle Pokémon</t>
  </si>
  <si>
    <t>Tyrogue</t>
  </si>
  <si>
    <t>Tyrogue is a Fighting type Pokémon introduced in Generation 2. It is known as the Scuffle Pokémon.</t>
  </si>
  <si>
    <t>237</t>
  </si>
  <si>
    <t>Handstand Pokémon</t>
  </si>
  <si>
    <t>Hitmontop</t>
  </si>
  <si>
    <t>Hitmontop is a Fighting type Pokémon introduced in Generation 2. It is known as the Handstand Pokémon.</t>
  </si>
  <si>
    <t>238</t>
  </si>
  <si>
    <t>Kiss Pokémon</t>
  </si>
  <si>
    <t>Smoochum</t>
  </si>
  <si>
    <t>Smoochum is an Ice/Psychic type Pokémon introduced in Generation 2. It is known as the Kiss Pokémon.</t>
  </si>
  <si>
    <t>239</t>
  </si>
  <si>
    <t>Elekid</t>
  </si>
  <si>
    <t>Elekid is an Electric type Pokémon introduced in Generation 2. It is known as the Electric Pokémon.</t>
  </si>
  <si>
    <t>24</t>
  </si>
  <si>
    <t>Cobra Pokémon</t>
  </si>
  <si>
    <t>Arbok</t>
  </si>
  <si>
    <t>Arbok is a Poison type Pokémon introduced in Generation 1. It is known as the Cobra Pokémon.</t>
  </si>
  <si>
    <t>240</t>
  </si>
  <si>
    <t>Live Coal Pokémon</t>
  </si>
  <si>
    <t>Magby</t>
  </si>
  <si>
    <t>Magby is a Fire type Pokémon introduced in Generation 2. It is known as the Live Coal Pokémon.</t>
  </si>
  <si>
    <t>241</t>
  </si>
  <si>
    <t>Milk Cow Pokémon</t>
  </si>
  <si>
    <t>Miltank</t>
  </si>
  <si>
    <t>Miltank is a Normal type Pokémon introduced in Generation 2. It is known as the Milk Cow Pokémon.</t>
  </si>
  <si>
    <t>242</t>
  </si>
  <si>
    <t>Blissey</t>
  </si>
  <si>
    <t>Blissey is a Normal type Pokémon introduced in Generation 2. It is known as the Happiness Pokémon.</t>
  </si>
  <si>
    <t>243</t>
  </si>
  <si>
    <t>Thunder Pokémon</t>
  </si>
  <si>
    <t>Raikou</t>
  </si>
  <si>
    <t>Raikou is an Electric type Pokémon introduced in Generation 2. It is known as the Thunder Pokémon.
Prior to Generation 7, Raikou had Volt Absorb as its hidden ability.</t>
  </si>
  <si>
    <t>244</t>
  </si>
  <si>
    <t>Entei</t>
  </si>
  <si>
    <t>Entei is a Fire type Pokémon introduced in Generation 2. It is known as the Volcano Pokémon.
Prior to Generation 7, Entei had Flash Fire as its hidden ability.</t>
  </si>
  <si>
    <t>245</t>
  </si>
  <si>
    <t>Aurora Pokémon</t>
  </si>
  <si>
    <t>Suicune</t>
  </si>
  <si>
    <t>Suicune is a Water type Pokémon introduced in Generation 2. It is known as the Aurora Pokémon.
Prior to Generation 7, Suicune has Water Absorb as its hidden ability.</t>
  </si>
  <si>
    <t>246</t>
  </si>
  <si>
    <t>Rock Skin Pokémon</t>
  </si>
  <si>
    <t>Larvitar</t>
  </si>
  <si>
    <t>Larvitar is a Rock/Ground type Pokémon introduced in Generation 2. It is known as the Rock Skin Pokémon.</t>
  </si>
  <si>
    <t>247</t>
  </si>
  <si>
    <t>Hard Shell Pokémon</t>
  </si>
  <si>
    <t>Pupitar</t>
  </si>
  <si>
    <t>Pupitar is a Rock/Ground type Pokémon introduced in Generation 2. It is known as the Hard Shell Pokémon.</t>
  </si>
  <si>
    <t>248</t>
  </si>
  <si>
    <t>Mega Tyranitar</t>
  </si>
  <si>
    <t>Tyranitar is a Rock/Dark type Pokémon introduced in Generation 2. It is known as the Armor Pokémon.
Tyranitar has a Mega Evolution, available from X &amp; Y onwards.</t>
  </si>
  <si>
    <t>Tyranitar</t>
  </si>
  <si>
    <t>249</t>
  </si>
  <si>
    <t>Diving Pokémon</t>
  </si>
  <si>
    <t>Lugia</t>
  </si>
  <si>
    <t>Lugia is a Psychic/Flying type Pokémon introduced in Generation 2. It is known as the Diving Pokémon.</t>
  </si>
  <si>
    <t>25</t>
  </si>
  <si>
    <t>Partner Pikachu</t>
  </si>
  <si>
    <t>Pikachu is an Electric type Pokémon introduced in Generation 1. It is known as the Mouse Pokémon.</t>
  </si>
  <si>
    <t>Pikachu</t>
  </si>
  <si>
    <t>250</t>
  </si>
  <si>
    <t>Rainbow Pokémon</t>
  </si>
  <si>
    <t>Ho-oh</t>
  </si>
  <si>
    <t>Ho-oh is a Fire/Flying type Pokémon introduced in Generation 2. It is known as the Rainbow Pokémon.</t>
  </si>
  <si>
    <t>251</t>
  </si>
  <si>
    <t>Time Travel Pokémon</t>
  </si>
  <si>
    <t>Celebi</t>
  </si>
  <si>
    <t>Celebi is a Psychic/Grass type Pokémon introduced in Generation 2. It is known as the Time Travel Pokémon.</t>
  </si>
  <si>
    <t>252</t>
  </si>
  <si>
    <t>Wood Gecko Pokémon</t>
  </si>
  <si>
    <t>Treecko</t>
  </si>
  <si>
    <t>Treecko is a Grass type Pokémon introduced in Generation 3. It is known as the Wood Gecko Pokémon.</t>
  </si>
  <si>
    <t>253</t>
  </si>
  <si>
    <t>Grovyle</t>
  </si>
  <si>
    <t>Grovyle is a Grass type Pokémon introduced in Generation 3. It is known as the Wood Gecko Pokémon.</t>
  </si>
  <si>
    <t>254</t>
  </si>
  <si>
    <t>Forest Pokémon</t>
  </si>
  <si>
    <t>Mega Sceptile</t>
  </si>
  <si>
    <t>Sceptile is a Grass type Pokémon introduced in Generation 3. It is known as the Forest Pokémon.
Sceptile has a Mega Evolution, available from Omega Ruby &amp; Alpha Sapphire onwards.</t>
  </si>
  <si>
    <t>Sceptile</t>
  </si>
  <si>
    <t>255</t>
  </si>
  <si>
    <t>Chick Pokémon</t>
  </si>
  <si>
    <t>Torchic</t>
  </si>
  <si>
    <t>Torchic is a Fire type Pokémon introduced in Generation 3. It is known as the Chick Pokémon.</t>
  </si>
  <si>
    <t>256</t>
  </si>
  <si>
    <t>Young Fowl Pokémon</t>
  </si>
  <si>
    <t>Combusken</t>
  </si>
  <si>
    <t>Combusken is a Fire/Fighting type Pokémon introduced in Generation 3. It is known as the Young Fowl Pokémon.</t>
  </si>
  <si>
    <t>257</t>
  </si>
  <si>
    <t>Blaze Pokémon</t>
  </si>
  <si>
    <t>Blaziken</t>
  </si>
  <si>
    <t>Blaziken is a Fire/Fighting type Pokémon introduced in Generation 3. It is known as the Blaze Pokémon.
Blaziken has a Mega Evolution, available from X &amp; Y onwards.</t>
  </si>
  <si>
    <t>Mega Blaziken</t>
  </si>
  <si>
    <t>258</t>
  </si>
  <si>
    <t>Mud Fish Pokémon</t>
  </si>
  <si>
    <t>Mudkip</t>
  </si>
  <si>
    <t>Mudkip is a Water type Pokémon introduced in Generation 3. It is known as the Mud Fish Pokémon.</t>
  </si>
  <si>
    <t>259</t>
  </si>
  <si>
    <t>Marshtomp</t>
  </si>
  <si>
    <t>Marshtomp is a Water/Ground type Pokémon introduced in Generation 3. It is known as the Mud Fish Pokémon.</t>
  </si>
  <si>
    <t>26</t>
  </si>
  <si>
    <t>Alolan Raichu</t>
  </si>
  <si>
    <t>Raichu is an Electric type Pokémon introduced in Generation 1. It is known as the Mouse Pokémon.
Raichu has a new Alolan form introduced in Pokémon Sun/Moon.</t>
  </si>
  <si>
    <t>Raichu</t>
  </si>
  <si>
    <t>260</t>
  </si>
  <si>
    <t>Mega Swampert</t>
  </si>
  <si>
    <t>Swampert is a Water/Ground type Pokémon introduced in Generation 3. It is known as the Mud Fish Pokémon.
Swampert has a Mega Evolution, available from Omega Ruby &amp; Alpha Sapphire onwards.</t>
  </si>
  <si>
    <t>Swampert</t>
  </si>
  <si>
    <t>261</t>
  </si>
  <si>
    <t>Bite Pokémon</t>
  </si>
  <si>
    <t>Poochyena</t>
  </si>
  <si>
    <t>Poochyena is a Dark type Pokémon introduced in Generation 3. It is known as the Bite Pokémon.</t>
  </si>
  <si>
    <t>262</t>
  </si>
  <si>
    <t>Mightyena</t>
  </si>
  <si>
    <t>Mightyena is a Dark type Pokémon introduced in Generation 3. It is known as the Bite Pokémon.</t>
  </si>
  <si>
    <t>263</t>
  </si>
  <si>
    <t>TinyRaccoon Pokémon</t>
  </si>
  <si>
    <t>Zigzagoon</t>
  </si>
  <si>
    <t>Zigzagoon is a Normal type Pokémon introduced in Generation 3. It is known as the TinyRaccoon Pokémon.</t>
  </si>
  <si>
    <t>264</t>
  </si>
  <si>
    <t>Rushing Pokémon</t>
  </si>
  <si>
    <t>Linoone</t>
  </si>
  <si>
    <t>Linoone is a Normal type Pokémon introduced in Generation 3. It is known as the Rushing Pokémon.</t>
  </si>
  <si>
    <t>265</t>
  </si>
  <si>
    <t>Wurmple</t>
  </si>
  <si>
    <t>Wurmple is a Bug type Pokémon introduced in Generation 3. It is known as the Worm Pokémon.</t>
  </si>
  <si>
    <t>266</t>
  </si>
  <si>
    <t>Silcoon</t>
  </si>
  <si>
    <t>Silcoon is a Bug type Pokémon introduced in Generation 3. It is known as the Cocoon Pokémon.</t>
  </si>
  <si>
    <t>267</t>
  </si>
  <si>
    <t>Beautifly</t>
  </si>
  <si>
    <t>Beautifly is a Bug/Flying type Pokémon introduced in Generation 3. It is known as the Butterfly Pokémon.</t>
  </si>
  <si>
    <t>268</t>
  </si>
  <si>
    <t>Cascoon</t>
  </si>
  <si>
    <t>Cascoon is a Bug type Pokémon introduced in Generation 3. It is known as the Cocoon Pokémon.</t>
  </si>
  <si>
    <t>269</t>
  </si>
  <si>
    <t>Poison Moth Pokémon</t>
  </si>
  <si>
    <t>Dustox</t>
  </si>
  <si>
    <t>Dustox is a Bug/Poison type Pokémon introduced in Generation 3. It is known as the Poison Moth Pokémon.</t>
  </si>
  <si>
    <t>27</t>
  </si>
  <si>
    <t>Alolan Sandshrew</t>
  </si>
  <si>
    <t>Sandshrew is a Ground type Pokémon introduced in Generation 1. It is known as the Mouse Pokémon.
Sandshrew has a new Alolan form introduced in Pokémon Sun/Moon.</t>
  </si>
  <si>
    <t>Sandshrew</t>
  </si>
  <si>
    <t>270</t>
  </si>
  <si>
    <t>Water Weed Pokémon</t>
  </si>
  <si>
    <t>Lotad</t>
  </si>
  <si>
    <t>Lotad is a Water/Grass type Pokémon introduced in Generation 3. It is known as the Water Weed Pokémon.</t>
  </si>
  <si>
    <t>271</t>
  </si>
  <si>
    <t>Jolly Pokémon</t>
  </si>
  <si>
    <t>Lombre</t>
  </si>
  <si>
    <t>Lombre is a Water/Grass type Pokémon introduced in Generation 3. It is known as the Jolly Pokémon.</t>
  </si>
  <si>
    <t>272</t>
  </si>
  <si>
    <t>Carefree Pokémon</t>
  </si>
  <si>
    <t>Ludicolo</t>
  </si>
  <si>
    <t>Ludicolo is a Water/Grass type Pokémon introduced in Generation 3. It is known as the Carefree Pokémon.</t>
  </si>
  <si>
    <t>273</t>
  </si>
  <si>
    <t>Acorn Pokémon</t>
  </si>
  <si>
    <t>Seedot</t>
  </si>
  <si>
    <t>Seedot is a Grass type Pokémon introduced in Generation 3. It is known as the Acorn Pokémon.</t>
  </si>
  <si>
    <t>274</t>
  </si>
  <si>
    <t>Wily Pokémon</t>
  </si>
  <si>
    <t>Nuzleaf</t>
  </si>
  <si>
    <t>Nuzleaf is a Grass/Dark type Pokémon introduced in Generation 3. It is known as the Wily Pokémon.</t>
  </si>
  <si>
    <t>275</t>
  </si>
  <si>
    <t>Wicked Pokémon</t>
  </si>
  <si>
    <t>Shiftry</t>
  </si>
  <si>
    <t>Shiftry is a Grass/Dark type Pokémon introduced in Generation 3. It is known as the Wicked Pokémon.</t>
  </si>
  <si>
    <t>276</t>
  </si>
  <si>
    <t>TinySwallow Pokémon</t>
  </si>
  <si>
    <t>Taillow</t>
  </si>
  <si>
    <t>Taillow is a Normal/Flying type Pokémon introduced in Generation 3. It is known as the TinySwallow Pokémon.</t>
  </si>
  <si>
    <t>277</t>
  </si>
  <si>
    <t>Swallow Pokémon</t>
  </si>
  <si>
    <t>Swellow</t>
  </si>
  <si>
    <t>Swellow is a Normal/Flying type Pokémon introduced in Generation 3. It is known as the Swallow Pokémon.</t>
  </si>
  <si>
    <t>278</t>
  </si>
  <si>
    <t>Seagull Pokémon</t>
  </si>
  <si>
    <t>Wingull</t>
  </si>
  <si>
    <t>Wingull is a Water/Flying type Pokémon introduced in Generation 3. It is known as the Seagull Pokémon.</t>
  </si>
  <si>
    <t>279</t>
  </si>
  <si>
    <t>Water Bird Pokémon</t>
  </si>
  <si>
    <t>Pelipper</t>
  </si>
  <si>
    <t>Pelipper is a Water/Flying type Pokémon introduced in Generation 3. It is known as the Water Bird Pokémon.</t>
  </si>
  <si>
    <t>28</t>
  </si>
  <si>
    <t>Alolan Sandslash</t>
  </si>
  <si>
    <t>Sandslash is a Ground type Pokémon introduced in Generation 1. It is known as the Mouse Pokémon.
Sandslash has a new Alolan form introduced in Pokémon Sun/Moon.</t>
  </si>
  <si>
    <t>Sandslash</t>
  </si>
  <si>
    <t>280</t>
  </si>
  <si>
    <t>Feeling Pokémon</t>
  </si>
  <si>
    <t>Ralts</t>
  </si>
  <si>
    <t>Ralts is a Psychic/Fairy type Pokémon introduced in Generation 3. It is known as the Feeling Pokémon.</t>
  </si>
  <si>
    <t>281</t>
  </si>
  <si>
    <t>Emotion Pokémon</t>
  </si>
  <si>
    <t>Kirlia</t>
  </si>
  <si>
    <t>Kirlia is a Psychic/Fairy type Pokémon introduced in Generation 3. It is known as the Emotion Pokémon.</t>
  </si>
  <si>
    <t>282</t>
  </si>
  <si>
    <t>Embrace Pokémon</t>
  </si>
  <si>
    <t>Gardevoir</t>
  </si>
  <si>
    <t>Gardevoir is a Psychic/Fairy type Pokémon introduced in Generation 3. It is known as the Embrace Pokémon.
Gardevoir has a Mega Evolution, available from X &amp; Y onwards.</t>
  </si>
  <si>
    <t>Mega Gardevoir</t>
  </si>
  <si>
    <t>283</t>
  </si>
  <si>
    <t>Pond Skater Pokémon</t>
  </si>
  <si>
    <t>Surskit</t>
  </si>
  <si>
    <t>Surskit is a Bug/Water type Pokémon introduced in Generation 3. It is known as the Pond Skater Pokémon.</t>
  </si>
  <si>
    <t>284</t>
  </si>
  <si>
    <t>Eyeball Pokémon</t>
  </si>
  <si>
    <t>Masquerain</t>
  </si>
  <si>
    <t>Masquerain is a Bug/Flying type Pokémon introduced in Generation 3. It is known as the Eyeball Pokémon.</t>
  </si>
  <si>
    <t>285</t>
  </si>
  <si>
    <t>Mushroom Pokémon</t>
  </si>
  <si>
    <t>Shroomish</t>
  </si>
  <si>
    <t>Shroomish is a Grass type Pokémon introduced in Generation 3. It is known as the Mushroom Pokémon.</t>
  </si>
  <si>
    <t>286</t>
  </si>
  <si>
    <t>Breloom</t>
  </si>
  <si>
    <t>Breloom is a Grass/Fighting type Pokémon introduced in Generation 3. It is known as the Mushroom Pokémon.</t>
  </si>
  <si>
    <t>287</t>
  </si>
  <si>
    <t>Slacker Pokémon</t>
  </si>
  <si>
    <t>Slakoth</t>
  </si>
  <si>
    <t>Slakoth is a Normal type Pokémon introduced in Generation 3. It is known as the Slacker Pokémon.</t>
  </si>
  <si>
    <t>288</t>
  </si>
  <si>
    <t>Wild Monkey Pokémon</t>
  </si>
  <si>
    <t>Vigoroth</t>
  </si>
  <si>
    <t>Vigoroth is a Normal type Pokémon introduced in Generation 3. It is known as the Wild Monkey Pokémon.</t>
  </si>
  <si>
    <t>289</t>
  </si>
  <si>
    <t>Lazy Pokémon</t>
  </si>
  <si>
    <t>Slaking</t>
  </si>
  <si>
    <t>Slaking is a Normal type Pokémon introduced in Generation 3. It is known as the Lazy Pokémon.</t>
  </si>
  <si>
    <t>29</t>
  </si>
  <si>
    <t>Poison Pin Pokémon</t>
  </si>
  <si>
    <t>Nidoran♀</t>
  </si>
  <si>
    <t>Nidoran♀ is a Poison type Pokémon introduced in Generation 1. It is known as the Poison Pin Pokémon.</t>
  </si>
  <si>
    <t>290</t>
  </si>
  <si>
    <t>Trainee Pokémon</t>
  </si>
  <si>
    <t>Nincada</t>
  </si>
  <si>
    <t>Nincada is a Bug/Ground type Pokémon introduced in Generation 3. It is known as the Trainee Pokémon.</t>
  </si>
  <si>
    <t>291</t>
  </si>
  <si>
    <t>Ninja Pokémon</t>
  </si>
  <si>
    <t>Ninjask</t>
  </si>
  <si>
    <t>Ninjask is a Bug/Flying type Pokémon introduced in Generation 3. It is known as the Ninja Pokémon.</t>
  </si>
  <si>
    <t>292</t>
  </si>
  <si>
    <t>Shed Pokémon</t>
  </si>
  <si>
    <t>Shedinja</t>
  </si>
  <si>
    <t>Shedinja is a Bug/Ghost type Pokémon introduced in Generation 3. It is known as the Shed Pokémon.</t>
  </si>
  <si>
    <t>293</t>
  </si>
  <si>
    <t>Whisper Pokémon</t>
  </si>
  <si>
    <t>Whismur</t>
  </si>
  <si>
    <t>Whismur is a Normal type Pokémon introduced in Generation 3. It is known as the Whisper Pokémon.</t>
  </si>
  <si>
    <t>294</t>
  </si>
  <si>
    <t>Big Voice Pokémon</t>
  </si>
  <si>
    <t>Loudred</t>
  </si>
  <si>
    <t>Loudred is a Normal type Pokémon introduced in Generation 3. It is known as the Big Voice Pokémon.</t>
  </si>
  <si>
    <t>295</t>
  </si>
  <si>
    <t>Loud Noise Pokémon</t>
  </si>
  <si>
    <t>Exploud</t>
  </si>
  <si>
    <t>Exploud is a Normal type Pokémon introduced in Generation 3. It is known as the Loud Noise Pokémon.</t>
  </si>
  <si>
    <t>296</t>
  </si>
  <si>
    <t>Guts Pokémon</t>
  </si>
  <si>
    <t>Makuhita</t>
  </si>
  <si>
    <t>Makuhita is a Fighting type Pokémon introduced in Generation 3. It is known as the Guts Pokémon.</t>
  </si>
  <si>
    <t>297</t>
  </si>
  <si>
    <t>Arm Thrust Pokémon</t>
  </si>
  <si>
    <t>Hariyama</t>
  </si>
  <si>
    <t>Hariyama is a Fighting type Pokémon introduced in Generation 3. It is known as the Arm Thrust Pokémon.</t>
  </si>
  <si>
    <t>298</t>
  </si>
  <si>
    <t>Polka Dot Pokémon</t>
  </si>
  <si>
    <t>Azurill</t>
  </si>
  <si>
    <t>Azurill is a Normal/Fairy type Pokémon introduced in Generation 3. It is known as the Polka Dot Pokémon.</t>
  </si>
  <si>
    <t>299</t>
  </si>
  <si>
    <t>Compass Pokémon</t>
  </si>
  <si>
    <t>Nosepass</t>
  </si>
  <si>
    <t>Nosepass is a Rock type Pokémon introduced in Generation 3. It is known as the Compass Pokémon.</t>
  </si>
  <si>
    <t>3</t>
  </si>
  <si>
    <t>Mega Venusaur</t>
  </si>
  <si>
    <t>Venusaur is a Grass/Poison type Pokémon introduced in Generation 1. It is known as the Seed Pokémon.
Venusaur has a Mega Evolution, available from X &amp; Y onwards.</t>
  </si>
  <si>
    <t>Venusaur</t>
  </si>
  <si>
    <t>30</t>
  </si>
  <si>
    <t>Nidorina</t>
  </si>
  <si>
    <t>Nidorina is a Poison type Pokémon introduced in Generation 1. It is known as the Poison Pin Pokémon.</t>
  </si>
  <si>
    <t>300</t>
  </si>
  <si>
    <t>Kitten Pokémon</t>
  </si>
  <si>
    <t>Skitty</t>
  </si>
  <si>
    <t>Skitty is a Normal type Pokémon introduced in Generation 3. It is known as the Kitten Pokémon.</t>
  </si>
  <si>
    <t>301</t>
  </si>
  <si>
    <t>Prim Pokémon</t>
  </si>
  <si>
    <t>Delcatty</t>
  </si>
  <si>
    <t>Delcatty is a Normal type Pokémon introduced in Generation 3. It is known as the Prim Pokémon.</t>
  </si>
  <si>
    <t>302</t>
  </si>
  <si>
    <t>Mega Sableye</t>
  </si>
  <si>
    <t>Sableye is a Dark/Ghost type Pokémon introduced in Generation 3. It is known as the Darkness Pokémon.
Sableye has a Mega Evolution, available from Omega Ruby &amp; Alpha Sapphire onwards.</t>
  </si>
  <si>
    <t>Sableye</t>
  </si>
  <si>
    <t>303</t>
  </si>
  <si>
    <t>Deceiver Pokémon</t>
  </si>
  <si>
    <t>Mawile</t>
  </si>
  <si>
    <t>Mawile is a Steel/Fairy type Pokémon introduced in Generation 3. It is known as the Deceiver Pokémon.
Mawile has a Mega Evolution, available from X &amp; Y onwards.</t>
  </si>
  <si>
    <t>Mega Mawile</t>
  </si>
  <si>
    <t>304</t>
  </si>
  <si>
    <t>Iron Armor Pokémon</t>
  </si>
  <si>
    <t>Aron</t>
  </si>
  <si>
    <t>Aron is a Steel/Rock type Pokémon introduced in Generation 3. It is known as the Iron Armor Pokémon.</t>
  </si>
  <si>
    <t>305</t>
  </si>
  <si>
    <t>Lairon</t>
  </si>
  <si>
    <t>Lairon is a Steel/Rock type Pokémon introduced in Generation 3. It is known as the Iron Armor Pokémon.</t>
  </si>
  <si>
    <t>306</t>
  </si>
  <si>
    <t>Aggron</t>
  </si>
  <si>
    <t>Aggron is a Steel/Rock type Pokémon introduced in Generation 3. It is known as the Iron Armor Pokémon.
Aggron has a Mega Evolution, available from X &amp; Y onwards.</t>
  </si>
  <si>
    <t>Mega Aggron</t>
  </si>
  <si>
    <t>307</t>
  </si>
  <si>
    <t>Meditate Pokémon</t>
  </si>
  <si>
    <t>Meditite</t>
  </si>
  <si>
    <t>Meditite is a Fighting/Psychic type Pokémon introduced in Generation 3. It is known as the Meditate Pokémon.</t>
  </si>
  <si>
    <t>308</t>
  </si>
  <si>
    <t>Medicham</t>
  </si>
  <si>
    <t>Medicham is a Fighting/Psychic type Pokémon introduced in Generation 3. It is known as the Meditate Pokémon.
Medicham has a Mega Evolution, available from X &amp; Y onwards.</t>
  </si>
  <si>
    <t>Mega Medicham</t>
  </si>
  <si>
    <t>309</t>
  </si>
  <si>
    <t>Electrike</t>
  </si>
  <si>
    <t>Electrike is an Electric type Pokémon introduced in Generation 3. It is known as the Lightning Pokémon.</t>
  </si>
  <si>
    <t>31</t>
  </si>
  <si>
    <t>Nidoqueen</t>
  </si>
  <si>
    <t>Nidoqueen is a Poison/Ground type Pokémon introduced in Generation 1. It is known as the Drill Pokémon.</t>
  </si>
  <si>
    <t>310</t>
  </si>
  <si>
    <t>Discharge Pokémon</t>
  </si>
  <si>
    <t>Manectric</t>
  </si>
  <si>
    <t>Manectric is an Electric type Pokémon introduced in Generation 3. It is known as the Discharge Pokémon.
Manectric has a Mega Evolution, available from X &amp; Y onwards.</t>
  </si>
  <si>
    <t>Mega Manectric</t>
  </si>
  <si>
    <t>311</t>
  </si>
  <si>
    <t>Cheering Pokémon</t>
  </si>
  <si>
    <t>Plusle</t>
  </si>
  <si>
    <t>Plusle is an Electric type Pokémon introduced in Generation 3. It is known as the Cheering Pokémon.</t>
  </si>
  <si>
    <t>312</t>
  </si>
  <si>
    <t>Minun</t>
  </si>
  <si>
    <t>Minun is an Electric type Pokémon introduced in Generation 3. It is known as the Cheering Pokémon.</t>
  </si>
  <si>
    <t>313</t>
  </si>
  <si>
    <t>Firefly Pokémon</t>
  </si>
  <si>
    <t>Volbeat</t>
  </si>
  <si>
    <t>Volbeat is a Bug type Pokémon introduced in Generation 3. It is known as the Firefly Pokémon.</t>
  </si>
  <si>
    <t>314</t>
  </si>
  <si>
    <t>Illumise</t>
  </si>
  <si>
    <t>Illumise is a Bug type Pokémon introduced in Generation 3. It is known as the Firefly Pokémon.</t>
  </si>
  <si>
    <t>315</t>
  </si>
  <si>
    <t>Thorn Pokémon</t>
  </si>
  <si>
    <t>Roselia</t>
  </si>
  <si>
    <t>Roselia is a Grass/Poison type Pokémon introduced in Generation 3. It is known as the Thorn Pokémon.</t>
  </si>
  <si>
    <t>316</t>
  </si>
  <si>
    <t>Stomach Pokémon</t>
  </si>
  <si>
    <t>Gulpin</t>
  </si>
  <si>
    <t>Gulpin is a Poison type Pokémon introduced in Generation 3. It is known as the Stomach Pokémon.</t>
  </si>
  <si>
    <t>317</t>
  </si>
  <si>
    <t>Poison Bag Pokémon</t>
  </si>
  <si>
    <t>Swalot</t>
  </si>
  <si>
    <t>Swalot is a Poison type Pokémon introduced in Generation 3. It is known as the Poison Bag Pokémon.</t>
  </si>
  <si>
    <t>318</t>
  </si>
  <si>
    <t>Savage Pokémon</t>
  </si>
  <si>
    <t>Carvanha</t>
  </si>
  <si>
    <t>Carvanha is a Water/Dark type Pokémon introduced in Generation 3. It is known as the Savage Pokémon.</t>
  </si>
  <si>
    <t>319</t>
  </si>
  <si>
    <t>Brutal Pokémon</t>
  </si>
  <si>
    <t>Mega Sharpedo</t>
  </si>
  <si>
    <t>Sharpedo is a Water/Dark type Pokémon introduced in Generation 3. It is known as the Brutal Pokémon.
Sharpedo has a Mega Evolution, available from Omega Ruby &amp; Alpha Sapphire onwards.</t>
  </si>
  <si>
    <t>Sharpedo</t>
  </si>
  <si>
    <t>32</t>
  </si>
  <si>
    <t>Nidoran♂</t>
  </si>
  <si>
    <t>Nidoran♂ is a Poison type Pokémon introduced in Generation 1. It is known as the Poison Pin Pokémon.</t>
  </si>
  <si>
    <t>320</t>
  </si>
  <si>
    <t>Ball Whale Pokémon</t>
  </si>
  <si>
    <t>Wailmer</t>
  </si>
  <si>
    <t>Wailmer is a Water type Pokémon introduced in Generation 3. It is known as the Ball Whale Pokémon.</t>
  </si>
  <si>
    <t>321</t>
  </si>
  <si>
    <t>Float Whale Pokémon</t>
  </si>
  <si>
    <t>Wailord</t>
  </si>
  <si>
    <t>Wailord is a Water type Pokémon introduced in Generation 3. It is known as the Float Whale Pokémon.</t>
  </si>
  <si>
    <t>322</t>
  </si>
  <si>
    <t>Numb Pokémon</t>
  </si>
  <si>
    <t>Numel</t>
  </si>
  <si>
    <t>Numel is a Fire/Ground type Pokémon introduced in Generation 3. It is known as the Numb Pokémon.</t>
  </si>
  <si>
    <t>323</t>
  </si>
  <si>
    <t>Eruption Pokémon</t>
  </si>
  <si>
    <t>Camerupt</t>
  </si>
  <si>
    <t>Camerupt is a Fire/Ground type Pokémon introduced in Generation 3. It is known as the Eruption Pokémon.
Camerupt has a Mega Evolution, available from Omega Ruby &amp; Alpha Sapphire onwards.</t>
  </si>
  <si>
    <t>Mega Camerupt</t>
  </si>
  <si>
    <t>324</t>
  </si>
  <si>
    <t>Coal Pokémon</t>
  </si>
  <si>
    <t>Torkoal</t>
  </si>
  <si>
    <t>Torkoal is a Fire type Pokémon introduced in Generation 3. It is known as the Coal Pokémon.</t>
  </si>
  <si>
    <t>325</t>
  </si>
  <si>
    <t>Bounce Pokémon</t>
  </si>
  <si>
    <t>Spoink</t>
  </si>
  <si>
    <t>Spoink is a Psychic type Pokémon introduced in Generation 3. It is known as the Bounce Pokémon.</t>
  </si>
  <si>
    <t>326</t>
  </si>
  <si>
    <t>Manipulate Pokémon</t>
  </si>
  <si>
    <t>Grumpig</t>
  </si>
  <si>
    <t>Grumpig is a Psychic type Pokémon introduced in Generation 3. It is known as the Manipulate Pokémon.</t>
  </si>
  <si>
    <t>327</t>
  </si>
  <si>
    <t>Spot Panda Pokémon</t>
  </si>
  <si>
    <t>Spinda</t>
  </si>
  <si>
    <t>Spinda is a Normal type Pokémon introduced in Generation 3. It is known as the Spot Panda Pokémon.</t>
  </si>
  <si>
    <t>328</t>
  </si>
  <si>
    <t>Ant Pit Pokémon</t>
  </si>
  <si>
    <t>Trapinch</t>
  </si>
  <si>
    <t>Trapinch is a Ground type Pokémon introduced in Generation 3. It is known as the Ant Pit Pokémon.</t>
  </si>
  <si>
    <t>329</t>
  </si>
  <si>
    <t>Vibration Pokémon</t>
  </si>
  <si>
    <t>Vibrava</t>
  </si>
  <si>
    <t>Vibrava is a Ground/Dragon type Pokémon introduced in Generation 3. It is known as the Vibration Pokémon.</t>
  </si>
  <si>
    <t>33</t>
  </si>
  <si>
    <t>Nidorino</t>
  </si>
  <si>
    <t>Nidorino is a Poison type Pokémon introduced in Generation 1. It is known as the Poison Pin Pokémon.</t>
  </si>
  <si>
    <t>330</t>
  </si>
  <si>
    <t>Flygon</t>
  </si>
  <si>
    <t>Flygon is a Ground/Dragon type Pokémon introduced in Generation 3. It is known as the Mystic Pokémon.</t>
  </si>
  <si>
    <t>331</t>
  </si>
  <si>
    <t>Cactus Pokémon</t>
  </si>
  <si>
    <t>Cacnea</t>
  </si>
  <si>
    <t>Cacnea is a Grass type Pokémon introduced in Generation 3. It is known as the Cactus Pokémon.</t>
  </si>
  <si>
    <t>332</t>
  </si>
  <si>
    <t>Scarecrow Pokémon</t>
  </si>
  <si>
    <t>Cacturne</t>
  </si>
  <si>
    <t>Cacturne is a Grass/Dark type Pokémon introduced in Generation 3. It is known as the Scarecrow Pokémon.</t>
  </si>
  <si>
    <t>333</t>
  </si>
  <si>
    <t>Cotton Bird Pokémon</t>
  </si>
  <si>
    <t>Swablu</t>
  </si>
  <si>
    <t>Swablu is a Normal/Flying type Pokémon introduced in Generation 3. It is known as the Cotton Bird Pokémon.</t>
  </si>
  <si>
    <t>334</t>
  </si>
  <si>
    <t>Humming Pokémon</t>
  </si>
  <si>
    <t>Altaria</t>
  </si>
  <si>
    <t>Altaria is a Dragon/Flying type Pokémon introduced in Generation 3. It is known as the Humming Pokémon.
Altaria has a Mega Evolution, available from Omega Ruby &amp; Alpha Sapphire onwards.</t>
  </si>
  <si>
    <t>Mega Altaria</t>
  </si>
  <si>
    <t>335</t>
  </si>
  <si>
    <t>Cat Ferret Pokémon</t>
  </si>
  <si>
    <t>Zangoose</t>
  </si>
  <si>
    <t>Zangoose is a Normal type Pokémon introduced in Generation 3. It is known as the Cat Ferret Pokémon.</t>
  </si>
  <si>
    <t>336</t>
  </si>
  <si>
    <t>Fang Snake Pokémon</t>
  </si>
  <si>
    <t>Seviper</t>
  </si>
  <si>
    <t>Seviper is a Poison type Pokémon introduced in Generation 3. It is known as the Fang Snake Pokémon.</t>
  </si>
  <si>
    <t>337</t>
  </si>
  <si>
    <t>Meteorite Pokémon</t>
  </si>
  <si>
    <t>Lunatone</t>
  </si>
  <si>
    <t>Lunatone is a Rock/Psychic type Pokémon introduced in Generation 3. It is known as the Meteorite Pokémon.</t>
  </si>
  <si>
    <t>338</t>
  </si>
  <si>
    <t>Solrock</t>
  </si>
  <si>
    <t>Solrock is a Rock/Psychic type Pokémon introduced in Generation 3. It is known as the Meteorite Pokémon.</t>
  </si>
  <si>
    <t>339</t>
  </si>
  <si>
    <t>Whiskers Pokémon</t>
  </si>
  <si>
    <t>Barboach</t>
  </si>
  <si>
    <t>Barboach is a Water/Ground type Pokémon introduced in Generation 3. It is known as the Whiskers Pokémon.</t>
  </si>
  <si>
    <t>34</t>
  </si>
  <si>
    <t>Nidoking</t>
  </si>
  <si>
    <t>Nidoking is a Poison/Ground type Pokémon introduced in Generation 1. It is known as the Drill Pokémon.</t>
  </si>
  <si>
    <t>340</t>
  </si>
  <si>
    <t>Whiscash</t>
  </si>
  <si>
    <t>Whiscash is a Water/Ground type Pokémon introduced in Generation 3. It is known as the Whiskers Pokémon.</t>
  </si>
  <si>
    <t>341</t>
  </si>
  <si>
    <t>Ruffian Pokémon</t>
  </si>
  <si>
    <t>Corphish</t>
  </si>
  <si>
    <t>Corphish is a Water type Pokémon introduced in Generation 3. It is known as the Ruffian Pokémon.</t>
  </si>
  <si>
    <t>342</t>
  </si>
  <si>
    <t>Rogue Pokémon</t>
  </si>
  <si>
    <t>Crawdaunt</t>
  </si>
  <si>
    <t>Crawdaunt is a Water/Dark type Pokémon introduced in Generation 3. It is known as the Rogue Pokémon.</t>
  </si>
  <si>
    <t>343</t>
  </si>
  <si>
    <t>Clay Doll Pokémon</t>
  </si>
  <si>
    <t>Baltoy</t>
  </si>
  <si>
    <t>Baltoy is a Ground/Psychic type Pokémon introduced in Generation 3. It is known as the Clay Doll Pokémon.</t>
  </si>
  <si>
    <t>344</t>
  </si>
  <si>
    <t>Claydol</t>
  </si>
  <si>
    <t>Claydol is a Ground/Psychic type Pokémon introduced in Generation 3. It is known as the Clay Doll Pokémon.</t>
  </si>
  <si>
    <t>345</t>
  </si>
  <si>
    <t>Sea Lily Pokémon</t>
  </si>
  <si>
    <t>Lileep</t>
  </si>
  <si>
    <t>Lileep is a Rock/Grass type Pokémon introduced in Generation 3. It is known as the Sea Lily Pokémon.</t>
  </si>
  <si>
    <t>346</t>
  </si>
  <si>
    <t>Barnacle Pokémon</t>
  </si>
  <si>
    <t>Cradily</t>
  </si>
  <si>
    <t>Cradily is a Rock/Grass type Pokémon introduced in Generation 3. It is known as the Barnacle Pokémon.</t>
  </si>
  <si>
    <t>347</t>
  </si>
  <si>
    <t>Old Shrimp Pokémon</t>
  </si>
  <si>
    <t>Anorith</t>
  </si>
  <si>
    <t>Anorith is a Rock/Bug type Pokémon introduced in Generation 3. It is known as the Old Shrimp Pokémon.</t>
  </si>
  <si>
    <t>348</t>
  </si>
  <si>
    <t>Plate Pokémon</t>
  </si>
  <si>
    <t>Armaldo</t>
  </si>
  <si>
    <t>Armaldo is a Rock/Bug type Pokémon introduced in Generation 3. It is known as the Plate Pokémon.</t>
  </si>
  <si>
    <t>349</t>
  </si>
  <si>
    <t>Feebas</t>
  </si>
  <si>
    <t>Feebas is a Water type Pokémon introduced in Generation 3. It is known as the Fish Pokémon.
Feebas is very rare in Ruby/Sapphire/Emerald, being available by fishing in one of only six random squares on Route 119. Similarly in Diamond/Pearl/Platinum it can only be found in one of four random squares in Mt. Coronet.
Feebas also has a unique evolution. In RSE, DPPt and Omega Ruby/Alpha Sapphire it will evolve into Milotic by maximizing its Beauty stat with Poffins. From Black/White onwards Feebas will evolve when traded holding a Prism Scale, however it can also evolve if migrated from an earlier game already having maximum Beauty.</t>
  </si>
  <si>
    <t>35</t>
  </si>
  <si>
    <t>Clefairy</t>
  </si>
  <si>
    <t>Clefairy is a Fairy type Pokémon introduced in Generation 1. It is known as the Fairy Pokémon.</t>
  </si>
  <si>
    <t>350</t>
  </si>
  <si>
    <t>Tender Pokémon</t>
  </si>
  <si>
    <t>Milotic</t>
  </si>
  <si>
    <t>Milotic is a Water type Pokémon introduced in Generation 3. It is known as the Tender Pokémon.
Milotic evolves from Feebas when traded holding a Prism Scale or, prior to Black/White, by maximizing its Beauty stat with Poffins.</t>
  </si>
  <si>
    <t>351</t>
  </si>
  <si>
    <t>Weather Pokémon</t>
  </si>
  <si>
    <t>Castform</t>
  </si>
  <si>
    <t>Castform is a Normal type Pokémon introduced in Generation 3. It is known as the Weather Pokémon.</t>
  </si>
  <si>
    <t>Rainy Form</t>
  </si>
  <si>
    <t>Snowy Form</t>
  </si>
  <si>
    <t>Sunny Form</t>
  </si>
  <si>
    <t>352</t>
  </si>
  <si>
    <t>Color Swap Pokémon</t>
  </si>
  <si>
    <t>Kecleon</t>
  </si>
  <si>
    <t>Kecleon is a Normal type Pokémon introduced in Generation 3. It is known as the Color Swap Pokémon.</t>
  </si>
  <si>
    <t>353</t>
  </si>
  <si>
    <t>Puppet Pokémon</t>
  </si>
  <si>
    <t>Shuppet</t>
  </si>
  <si>
    <t>Shuppet is a Ghost type Pokémon introduced in Generation 3. It is known as the Puppet Pokémon.</t>
  </si>
  <si>
    <t>354</t>
  </si>
  <si>
    <t>Marionette Pokémon</t>
  </si>
  <si>
    <t>Banette</t>
  </si>
  <si>
    <t>Banette is a Ghost type Pokémon introduced in Generation 3. It is known as the Marionette Pokémon.
Banette has a Mega Evolution, available from X &amp; Y onwards.</t>
  </si>
  <si>
    <t>Mega Banette</t>
  </si>
  <si>
    <t>355</t>
  </si>
  <si>
    <t>Requiem Pokémon</t>
  </si>
  <si>
    <t>Duskull</t>
  </si>
  <si>
    <t>Duskull is a Ghost type Pokémon introduced in Generation 3. It is known as the Requiem Pokémon.</t>
  </si>
  <si>
    <t>356</t>
  </si>
  <si>
    <t>Beckon Pokémon</t>
  </si>
  <si>
    <t>Dusclops</t>
  </si>
  <si>
    <t>Dusclops is a Ghost type Pokémon introduced in Generation 3. It is known as the Beckon Pokémon.</t>
  </si>
  <si>
    <t>357</t>
  </si>
  <si>
    <t>Fruit Pokémon</t>
  </si>
  <si>
    <t>Tropius</t>
  </si>
  <si>
    <t>Tropius is a Grass/Flying type Pokémon introduced in Generation 3. It is known as the Fruit Pokémon.</t>
  </si>
  <si>
    <t>358</t>
  </si>
  <si>
    <t>Wind Chime Pokémon</t>
  </si>
  <si>
    <t>Chimecho</t>
  </si>
  <si>
    <t>Chimecho is a Psychic type Pokémon introduced in Generation 3. It is known as the Wind Chime Pokémon.</t>
  </si>
  <si>
    <t>359</t>
  </si>
  <si>
    <t>Disaster Pokémon</t>
  </si>
  <si>
    <t>Absol</t>
  </si>
  <si>
    <t>Absol is a Dark type Pokémon introduced in Generation 3. It is known as the Disaster Pokémon.
Absol has a Mega Evolution, available from X &amp; Y onwards.</t>
  </si>
  <si>
    <t>Mega Absol</t>
  </si>
  <si>
    <t>36</t>
  </si>
  <si>
    <t>Clefable</t>
  </si>
  <si>
    <t>Clefable is a Fairy type Pokémon introduced in Generation 1. It is known as the Fairy Pokémon.</t>
  </si>
  <si>
    <t>360</t>
  </si>
  <si>
    <t>Bright Pokémon</t>
  </si>
  <si>
    <t>Wynaut</t>
  </si>
  <si>
    <t>Wynaut is a Psychic type Pokémon introduced in Generation 3. It is known as the Bright Pokémon.</t>
  </si>
  <si>
    <t>361</t>
  </si>
  <si>
    <t>Snow Hat Pokémon</t>
  </si>
  <si>
    <t>Snorunt</t>
  </si>
  <si>
    <t>Snorunt is an Ice type Pokémon introduced in Generation 3. It is known as the Snow Hat Pokémon.</t>
  </si>
  <si>
    <t>362</t>
  </si>
  <si>
    <t>Face Pokémon</t>
  </si>
  <si>
    <t>Glalie</t>
  </si>
  <si>
    <t>Glalie is an Ice type Pokémon introduced in Generation 3. It is known as the Face Pokémon.
Glalie has a Mega Evolution, available from Omega Ruby &amp; Alpha Sapphire onwards.</t>
  </si>
  <si>
    <t>Mega Glalie</t>
  </si>
  <si>
    <t>363</t>
  </si>
  <si>
    <t>Clap Pokémon</t>
  </si>
  <si>
    <t>Spheal</t>
  </si>
  <si>
    <t>Spheal is an Ice/Water type Pokémon introduced in Generation 3. It is known as the Clap Pokémon.</t>
  </si>
  <si>
    <t>364</t>
  </si>
  <si>
    <t>Ball Roll Pokémon</t>
  </si>
  <si>
    <t>Sealeo</t>
  </si>
  <si>
    <t>Sealeo is an Ice/Water type Pokémon introduced in Generation 3. It is known as the Ball Roll Pokémon.</t>
  </si>
  <si>
    <t>365</t>
  </si>
  <si>
    <t>Ice Break Pokémon</t>
  </si>
  <si>
    <t>Walrein</t>
  </si>
  <si>
    <t>Walrein is an Ice/Water type Pokémon introduced in Generation 3. It is known as the Ice Break Pokémon.</t>
  </si>
  <si>
    <t>366</t>
  </si>
  <si>
    <t>Bivalve Pokémon</t>
  </si>
  <si>
    <t>Clamperl</t>
  </si>
  <si>
    <t>Clamperl is a Water type Pokémon introduced in Generation 3. It is known as the Bivalve Pokémon.</t>
  </si>
  <si>
    <t>367</t>
  </si>
  <si>
    <t>Deep Sea Pokémon</t>
  </si>
  <si>
    <t>Huntail</t>
  </si>
  <si>
    <t>Huntail is a Water type Pokémon introduced in Generation 3. It is known as the Deep Sea Pokémon.</t>
  </si>
  <si>
    <t>368</t>
  </si>
  <si>
    <t>South Sea Pokémon</t>
  </si>
  <si>
    <t>Gorebyss</t>
  </si>
  <si>
    <t>Gorebyss is a Water type Pokémon introduced in Generation 3. It is known as the South Sea Pokémon.</t>
  </si>
  <si>
    <t>369</t>
  </si>
  <si>
    <t>Longevity Pokémon</t>
  </si>
  <si>
    <t>Relicanth</t>
  </si>
  <si>
    <t>Relicanth is a Water/Rock type Pokémon introduced in Generation 3. It is known as the Longevity Pokémon.</t>
  </si>
  <si>
    <t>37</t>
  </si>
  <si>
    <t>Fox Pokémon</t>
  </si>
  <si>
    <t>Alolan Vulpix</t>
  </si>
  <si>
    <t>Vulpix is a Fire type Pokémon introduced in Generation 1. It is known as the Fox Pokémon.
Vulpix has a new Alolan form introduced in Pokémon Sun/Moon.</t>
  </si>
  <si>
    <t>Vulpix</t>
  </si>
  <si>
    <t>370</t>
  </si>
  <si>
    <t>Rendezvous Pokémon</t>
  </si>
  <si>
    <t>Luvdisc</t>
  </si>
  <si>
    <t>Luvdisc is a Water type Pokémon introduced in Generation 3. It is known as the Rendezvous Pokémon.</t>
  </si>
  <si>
    <t>371</t>
  </si>
  <si>
    <t>Rock Head Pokémon</t>
  </si>
  <si>
    <t>Bagon</t>
  </si>
  <si>
    <t>Bagon is a Dragon type Pokémon introduced in Generation 3. It is known as the Rock Head Pokémon.</t>
  </si>
  <si>
    <t>372</t>
  </si>
  <si>
    <t>Endurance Pokémon</t>
  </si>
  <si>
    <t>Shelgon</t>
  </si>
  <si>
    <t>Shelgon is a Dragon type Pokémon introduced in Generation 3. It is known as the Endurance Pokémon.</t>
  </si>
  <si>
    <t>373</t>
  </si>
  <si>
    <t>Mega Salamence</t>
  </si>
  <si>
    <t>Salamence is a Dragon/Flying type Pokémon introduced in Generation 3. It is known as the Dragon Pokémon.
Salamence has a Mega Evolution, available from Omega Ruby &amp; Alpha Sapphire onwards.</t>
  </si>
  <si>
    <t>Salamence</t>
  </si>
  <si>
    <t>374</t>
  </si>
  <si>
    <t>Iron Ball Pokémon</t>
  </si>
  <si>
    <t>Beldum</t>
  </si>
  <si>
    <t>Beldum is a Steel/Psychic type Pokémon introduced in Generation 3. It is known as the Iron Ball Pokémon.</t>
  </si>
  <si>
    <t>375</t>
  </si>
  <si>
    <t>Iron Claw Pokémon</t>
  </si>
  <si>
    <t>Metang</t>
  </si>
  <si>
    <t>Metang is a Steel/Psychic type Pokémon introduced in Generation 3. It is known as the Iron Claw Pokémon.</t>
  </si>
  <si>
    <t>376</t>
  </si>
  <si>
    <t>Iron Leg Pokémon</t>
  </si>
  <si>
    <t>Mega Metagross</t>
  </si>
  <si>
    <t>Metagross is a Steel/Psychic type Pokémon introduced in Generation 3. It is known as the Iron Leg Pokémon.
Metagross has a Mega Evolution, available from Omega Ruby &amp; Alpha Sapphire onwards.</t>
  </si>
  <si>
    <t>Metagross</t>
  </si>
  <si>
    <t>377</t>
  </si>
  <si>
    <t>Rock Peak Pokémon</t>
  </si>
  <si>
    <t>Regirock</t>
  </si>
  <si>
    <t>Regirock is a Rock type Pokémon introduced in Generation 3. It is known as the Rock Peak Pokémon.</t>
  </si>
  <si>
    <t>378</t>
  </si>
  <si>
    <t>Iceberg Pokémon</t>
  </si>
  <si>
    <t>Regice</t>
  </si>
  <si>
    <t>Regice is an Ice type Pokémon introduced in Generation 3. It is known as the Iceberg Pokémon.</t>
  </si>
  <si>
    <t>379</t>
  </si>
  <si>
    <t>Iron Pokémon</t>
  </si>
  <si>
    <t>Registeel</t>
  </si>
  <si>
    <t>Registeel is a Steel type Pokémon introduced in Generation 3. It is known as the Iron Pokémon.</t>
  </si>
  <si>
    <t>38</t>
  </si>
  <si>
    <t>Alolan Ninetales</t>
  </si>
  <si>
    <t>Ninetales is a Fire type Pokémon introduced in Generation 1. It is known as the Fox Pokémon.</t>
  </si>
  <si>
    <t>Ninetales</t>
  </si>
  <si>
    <t>380</t>
  </si>
  <si>
    <t>Eon Pokémon</t>
  </si>
  <si>
    <t>Latias</t>
  </si>
  <si>
    <t>Latias is a Dragon/Psychic type Pokémon introduced in Generation 3. It is known as the Eon Pokémon.
Latias has a Mega Evolution, available from Omega Ruby &amp; Alpha Sapphire onwards.</t>
  </si>
  <si>
    <t>Mega Latias</t>
  </si>
  <si>
    <t>381</t>
  </si>
  <si>
    <t>Latios</t>
  </si>
  <si>
    <t>Latios is a Dragon/Psychic type Pokémon introduced in Generation 3. It is known as the Eon Pokémon.
Latios has a Mega Evolution, available from Omega Ruby &amp; Alpha Sapphire onwards.</t>
  </si>
  <si>
    <t>Mega Latios</t>
  </si>
  <si>
    <t>382</t>
  </si>
  <si>
    <t>Sea Basin Pokémon</t>
  </si>
  <si>
    <t>Kyogre</t>
  </si>
  <si>
    <t>Kyogre is a Water type Pokémon introduced in Generation 3. It is known as the Sea Basin Pokémon.</t>
  </si>
  <si>
    <t>Primal Kyogre</t>
  </si>
  <si>
    <t>383</t>
  </si>
  <si>
    <t>Continent Pokémon</t>
  </si>
  <si>
    <t>Groudon</t>
  </si>
  <si>
    <t>Groudon is a Ground type Pokémon introduced in Generation 3. It is known as the Continent Pokémon.</t>
  </si>
  <si>
    <t>Primal Groudon</t>
  </si>
  <si>
    <t>384</t>
  </si>
  <si>
    <t>Sky High Pokémon</t>
  </si>
  <si>
    <t>Mega Rayquaza</t>
  </si>
  <si>
    <t>Rayquaza is a Dragon/Flying type Pokémon introduced in Generation 3. It is known as the Sky High Pokémon.
Rayquaza has a Mega Evolution, available from Omega Ruby &amp; Alpha Sapphire onwards.</t>
  </si>
  <si>
    <t>Rayquaza</t>
  </si>
  <si>
    <t>385</t>
  </si>
  <si>
    <t>Wish Pokémon</t>
  </si>
  <si>
    <t>Jirachi</t>
  </si>
  <si>
    <t>Jirachi is a Steel/Psychic type Pokémon introduced in Generation 3. It is known as the Wish Pokémon.</t>
  </si>
  <si>
    <t>386</t>
  </si>
  <si>
    <t>DNA Pokémon</t>
  </si>
  <si>
    <t>Attack Forme</t>
  </si>
  <si>
    <t>Deoxys is a Psychic type Pokémon introduced in Generation 3. It is known as the DNA Pokémon.</t>
  </si>
  <si>
    <t>Defense Forme</t>
  </si>
  <si>
    <t>Normal Forme</t>
  </si>
  <si>
    <t>Speed Forme</t>
  </si>
  <si>
    <t>387</t>
  </si>
  <si>
    <t>Tiny Leaf Pokémon</t>
  </si>
  <si>
    <t>Turtwig</t>
  </si>
  <si>
    <t>Turtwig is a Grass type Pokémon introduced in Generation 4. It is known as the Tiny Leaf Pokémon.</t>
  </si>
  <si>
    <t>388</t>
  </si>
  <si>
    <t>Grove Pokémon</t>
  </si>
  <si>
    <t>Grotle</t>
  </si>
  <si>
    <t>Grotle is a Grass type Pokémon introduced in Generation 4. It is known as the Grove Pokémon.</t>
  </si>
  <si>
    <t>389</t>
  </si>
  <si>
    <t>Torterra</t>
  </si>
  <si>
    <t>Torterra is a Grass/Ground type Pokémon introduced in Generation 4. It is known as the Continent Pokémon.</t>
  </si>
  <si>
    <t>39</t>
  </si>
  <si>
    <t>Jigglypuff</t>
  </si>
  <si>
    <t>Jigglypuff is a Normal/Fairy type Pokémon introduced in Generation 1. It is known as the Balloon Pokémon.</t>
  </si>
  <si>
    <t>390</t>
  </si>
  <si>
    <t>Chimp Pokémon</t>
  </si>
  <si>
    <t>Chimchar</t>
  </si>
  <si>
    <t>Chimchar is a Fire type Pokémon introduced in Generation 4. It is known as the Chimp Pokémon.</t>
  </si>
  <si>
    <t>391</t>
  </si>
  <si>
    <t>Playful Pokémon</t>
  </si>
  <si>
    <t>Monferno</t>
  </si>
  <si>
    <t>Monferno is a Fire/Fighting type Pokémon introduced in Generation 4. It is known as the Playful Pokémon.</t>
  </si>
  <si>
    <t>392</t>
  </si>
  <si>
    <t>Infernape</t>
  </si>
  <si>
    <t>Infernape is a Fire/Fighting type Pokémon introduced in Generation 4. It is known as the Flame Pokémon.</t>
  </si>
  <si>
    <t>393</t>
  </si>
  <si>
    <t>Penguin Pokémon</t>
  </si>
  <si>
    <t>Piplup</t>
  </si>
  <si>
    <t>Piplup is a Water type Pokémon introduced in Generation 4. It is known as the Penguin Pokémon.</t>
  </si>
  <si>
    <t>394</t>
  </si>
  <si>
    <t>Prinplup</t>
  </si>
  <si>
    <t>Prinplup is a Water type Pokémon introduced in Generation 4. It is known as the Penguin Pokémon.</t>
  </si>
  <si>
    <t>395</t>
  </si>
  <si>
    <t>Emperor Pokémon</t>
  </si>
  <si>
    <t>Empoleon</t>
  </si>
  <si>
    <t>Empoleon is a Water/Steel type Pokémon introduced in Generation 4. It is known as the Emperor Pokémon.</t>
  </si>
  <si>
    <t>396</t>
  </si>
  <si>
    <t>Starling Pokémon</t>
  </si>
  <si>
    <t>Starly</t>
  </si>
  <si>
    <t>Starly is a Normal/Flying type Pokémon introduced in Generation 4. It is known as the Starling Pokémon.</t>
  </si>
  <si>
    <t>397</t>
  </si>
  <si>
    <t>Staravia</t>
  </si>
  <si>
    <t>Staravia is a Normal/Flying type Pokémon introduced in Generation 4. It is known as the Starling Pokémon.</t>
  </si>
  <si>
    <t>398</t>
  </si>
  <si>
    <t>Predator Pokémon</t>
  </si>
  <si>
    <t>Staraptor</t>
  </si>
  <si>
    <t>Staraptor is a Normal/Flying type Pokémon introduced in Generation 4. It is known as the Predator Pokémon.</t>
  </si>
  <si>
    <t>399</t>
  </si>
  <si>
    <t>Plump Mouse Pokémon</t>
  </si>
  <si>
    <t>Bidoof</t>
  </si>
  <si>
    <t>Bidoof is a Normal type Pokémon introduced in Generation 4. It is known as the Plump Mouse Pokémon.</t>
  </si>
  <si>
    <t>4</t>
  </si>
  <si>
    <t>Lizard Pokémon</t>
  </si>
  <si>
    <t>Charmander</t>
  </si>
  <si>
    <t>Charmander is a Fire type Pokémon introduced in Generation 1. It is known as the Lizard Pokémon.</t>
  </si>
  <si>
    <t>40</t>
  </si>
  <si>
    <t>Wigglytuff</t>
  </si>
  <si>
    <t>Wigglytuff is a Normal/Fairy type Pokémon introduced in Generation 1. It is known as the Balloon Pokémon.</t>
  </si>
  <si>
    <t>400</t>
  </si>
  <si>
    <t>Beaver Pokémon</t>
  </si>
  <si>
    <t>Bibarel</t>
  </si>
  <si>
    <t>Bibarel is a Normal/Water type Pokémon introduced in Generation 4. It is known as the Beaver Pokémon.</t>
  </si>
  <si>
    <t>401</t>
  </si>
  <si>
    <t>Cricket Pokémon</t>
  </si>
  <si>
    <t>Kricketot</t>
  </si>
  <si>
    <t>Kricketot is a Bug type Pokémon introduced in Generation 4. It is known as the Cricket Pokémon.</t>
  </si>
  <si>
    <t>402</t>
  </si>
  <si>
    <t>Kricketune</t>
  </si>
  <si>
    <t>Kricketune is a Bug type Pokémon introduced in Generation 4. It is known as the Cricket Pokémon.</t>
  </si>
  <si>
    <t>403</t>
  </si>
  <si>
    <t>Flash Pokémon</t>
  </si>
  <si>
    <t>Shinx</t>
  </si>
  <si>
    <t>Shinx is an Electric type Pokémon introduced in Generation 4. It is known as the Flash Pokémon.</t>
  </si>
  <si>
    <t>404</t>
  </si>
  <si>
    <t>Spark Pokémon</t>
  </si>
  <si>
    <t>Luxio</t>
  </si>
  <si>
    <t>Luxio is an Electric type Pokémon introduced in Generation 4. It is known as the Spark Pokémon.</t>
  </si>
  <si>
    <t>405</t>
  </si>
  <si>
    <t>Gleam Eyes Pokémon</t>
  </si>
  <si>
    <t>Luxray</t>
  </si>
  <si>
    <t>Luxray is an Electric type Pokémon introduced in Generation 4. It is known as the Gleam Eyes Pokémon.</t>
  </si>
  <si>
    <t>406</t>
  </si>
  <si>
    <t>Bud Pokémon</t>
  </si>
  <si>
    <t>Budew</t>
  </si>
  <si>
    <t>Budew is a Grass/Poison type Pokémon introduced in Generation 4. It is known as the Bud Pokémon.</t>
  </si>
  <si>
    <t>407</t>
  </si>
  <si>
    <t>Bouquet Pokémon</t>
  </si>
  <si>
    <t>Roserade</t>
  </si>
  <si>
    <t>Roserade is a Grass/Poison type Pokémon introduced in Generation 4. It is known as the Bouquet Pokémon.</t>
  </si>
  <si>
    <t>408</t>
  </si>
  <si>
    <t>Head Butt Pokémon</t>
  </si>
  <si>
    <t>Cranidos</t>
  </si>
  <si>
    <t>Cranidos is a Rock type Pokémon introduced in Generation 4. It is known as the Head Butt Pokémon.</t>
  </si>
  <si>
    <t>409</t>
  </si>
  <si>
    <t>Rampardos</t>
  </si>
  <si>
    <t>Rampardos is a Rock type Pokémon introduced in Generation 4. It is known as the Head Butt Pokémon.</t>
  </si>
  <si>
    <t>41</t>
  </si>
  <si>
    <t>Zubat</t>
  </si>
  <si>
    <t>Zubat is a Poison/Flying type Pokémon introduced in Generation 1. It is known as the Bat Pokémon.</t>
  </si>
  <si>
    <t>410</t>
  </si>
  <si>
    <t>Shield Pokémon</t>
  </si>
  <si>
    <t>Shieldon</t>
  </si>
  <si>
    <t>Shieldon is a Rock/Steel type Pokémon introduced in Generation 4. It is known as the Shield Pokémon.</t>
  </si>
  <si>
    <t>411</t>
  </si>
  <si>
    <t>Bastiodon</t>
  </si>
  <si>
    <t>Bastiodon is a Rock/Steel type Pokémon introduced in Generation 4. It is known as the Shield Pokémon.</t>
  </si>
  <si>
    <t>412</t>
  </si>
  <si>
    <t>Burmy</t>
  </si>
  <si>
    <t>Burmy is a Bug type Pokémon introduced in Generation 4. It is known as the Bagworm Pokémon.</t>
  </si>
  <si>
    <t>413</t>
  </si>
  <si>
    <t>Plant Cloak</t>
  </si>
  <si>
    <t>Wormadam is a Bug/Grass type Pokémon introduced in Generation 4. It is known as the Bagworm Pokémon.</t>
  </si>
  <si>
    <t>Sandy Cloak</t>
  </si>
  <si>
    <t>Trash Cloak</t>
  </si>
  <si>
    <t>414</t>
  </si>
  <si>
    <t>Moth Pokémon</t>
  </si>
  <si>
    <t>Mothim</t>
  </si>
  <si>
    <t>Mothim is a Bug/Flying type Pokémon introduced in Generation 4. It is known as the Moth Pokémon.</t>
  </si>
  <si>
    <t>415</t>
  </si>
  <si>
    <t>Tiny Bee Pokémon</t>
  </si>
  <si>
    <t>Combee</t>
  </si>
  <si>
    <t>Combee is a Bug/Flying type Pokémon introduced in Generation 4. It is known as the Tiny Bee Pokémon.</t>
  </si>
  <si>
    <t>416</t>
  </si>
  <si>
    <t>Beehive Pokémon</t>
  </si>
  <si>
    <t>Vespiquen</t>
  </si>
  <si>
    <t>Vespiquen is a Bug/Flying type Pokémon introduced in Generation 4. It is known as the Beehive Pokémon.</t>
  </si>
  <si>
    <t>417</t>
  </si>
  <si>
    <t>EleSquirrel Pokémon</t>
  </si>
  <si>
    <t>Pachirisu</t>
  </si>
  <si>
    <t>Pachirisu is an Electric type Pokémon introduced in Generation 4. It is known as the EleSquirrel Pokémon.</t>
  </si>
  <si>
    <t>418</t>
  </si>
  <si>
    <t>Sea Weasel Pokémon</t>
  </si>
  <si>
    <t>Buizel</t>
  </si>
  <si>
    <t>Buizel is a Water type Pokémon introduced in Generation 4. It is known as the Sea Weasel Pokémon.</t>
  </si>
  <si>
    <t>419</t>
  </si>
  <si>
    <t>Floatzel</t>
  </si>
  <si>
    <t>Floatzel is a Water type Pokémon introduced in Generation 4. It is known as the Sea Weasel Pokémon.</t>
  </si>
  <si>
    <t>42</t>
  </si>
  <si>
    <t>Golbat</t>
  </si>
  <si>
    <t>Golbat is a Poison/Flying type Pokémon introduced in Generation 1. It is known as the Bat Pokémon.</t>
  </si>
  <si>
    <t>420</t>
  </si>
  <si>
    <t>Cherry Pokémon</t>
  </si>
  <si>
    <t>Cherubi</t>
  </si>
  <si>
    <t>Cherubi is a Grass type Pokémon introduced in Generation 4. It is known as the Cherry Pokémon.</t>
  </si>
  <si>
    <t>421</t>
  </si>
  <si>
    <t>Blossom Pokémon</t>
  </si>
  <si>
    <t>Cherrim</t>
  </si>
  <si>
    <t>Cherrim is a Grass type Pokémon introduced in Generation 4. It is known as the Blossom Pokémon.</t>
  </si>
  <si>
    <t>422</t>
  </si>
  <si>
    <t>Sea Slug Pokémon</t>
  </si>
  <si>
    <t>Shellos</t>
  </si>
  <si>
    <t>Shellos is a Water type Pokémon introduced in Generation 4. It is known as the Sea Slug Pokémon.</t>
  </si>
  <si>
    <t>423</t>
  </si>
  <si>
    <t>Gastrodon</t>
  </si>
  <si>
    <t>Gastrodon is a Water/Ground type Pokémon introduced in Generation 4. It is known as the Sea Slug Pokémon.</t>
  </si>
  <si>
    <t>424</t>
  </si>
  <si>
    <t>Ambipom</t>
  </si>
  <si>
    <t>Ambipom is a Normal type Pokémon introduced in Generation 4. It is known as the Long Tail Pokémon.</t>
  </si>
  <si>
    <t>425</t>
  </si>
  <si>
    <t>Drifloon</t>
  </si>
  <si>
    <t>Drifloon is a Ghost/Flying type Pokémon introduced in Generation 4. It is known as the Balloon Pokémon.</t>
  </si>
  <si>
    <t>426</t>
  </si>
  <si>
    <t>Blimp Pokémon</t>
  </si>
  <si>
    <t>Drifblim</t>
  </si>
  <si>
    <t>Drifblim is a Ghost/Flying type Pokémon introduced in Generation 4. It is known as the Blimp Pokémon.</t>
  </si>
  <si>
    <t>427</t>
  </si>
  <si>
    <t>Rabbit Pokémon</t>
  </si>
  <si>
    <t>Buneary</t>
  </si>
  <si>
    <t>Buneary is a Normal type Pokémon introduced in Generation 4. It is known as the Rabbit Pokémon.</t>
  </si>
  <si>
    <t>428</t>
  </si>
  <si>
    <t>Lopunny</t>
  </si>
  <si>
    <t>Lopunny is a Normal type Pokémon introduced in Generation 4. It is known as the Rabbit Pokémon.
Lopunny has a Mega Evolution, available from Omega Ruby &amp; Alpha Sapphire onwards.</t>
  </si>
  <si>
    <t>Mega Lopunny</t>
  </si>
  <si>
    <t>429</t>
  </si>
  <si>
    <t>Magical Pokémon</t>
  </si>
  <si>
    <t>Mismagius</t>
  </si>
  <si>
    <t>Mismagius is a Ghost type Pokémon introduced in Generation 4. It is known as the Magical Pokémon.</t>
  </si>
  <si>
    <t>43</t>
  </si>
  <si>
    <t>Weed Pokémon</t>
  </si>
  <si>
    <t>Oddish</t>
  </si>
  <si>
    <t>Oddish is a Grass/Poison type Pokémon introduced in Generation 1. It is known as the Weed Pokémon.</t>
  </si>
  <si>
    <t>430</t>
  </si>
  <si>
    <t>Big Boss Pokémon</t>
  </si>
  <si>
    <t>Honchkrow</t>
  </si>
  <si>
    <t>Honchkrow is a Dark/Flying type Pokémon introduced in Generation 4. It is known as the Big Boss Pokémon.</t>
  </si>
  <si>
    <t>431</t>
  </si>
  <si>
    <t>Catty Pokémon</t>
  </si>
  <si>
    <t>Glameow</t>
  </si>
  <si>
    <t>Glameow is a Normal type Pokémon introduced in Generation 4. It is known as the Catty Pokémon.</t>
  </si>
  <si>
    <t>432</t>
  </si>
  <si>
    <t>Tiger Cat Pokémon</t>
  </si>
  <si>
    <t>Purugly</t>
  </si>
  <si>
    <t>Purugly is a Normal type Pokémon introduced in Generation 4. It is known as the Tiger Cat Pokémon.</t>
  </si>
  <si>
    <t>433</t>
  </si>
  <si>
    <t>Bell Pokémon</t>
  </si>
  <si>
    <t>Chingling</t>
  </si>
  <si>
    <t>Chingling is a Psychic type Pokémon introduced in Generation 4. It is known as the Bell Pokémon.</t>
  </si>
  <si>
    <t>434</t>
  </si>
  <si>
    <t>Skunk Pokémon</t>
  </si>
  <si>
    <t>Stunky</t>
  </si>
  <si>
    <t>Stunky is a Poison/Dark type Pokémon introduced in Generation 4. It is known as the Skunk Pokémon.</t>
  </si>
  <si>
    <t>435</t>
  </si>
  <si>
    <t>Skuntank</t>
  </si>
  <si>
    <t>Skuntank is a Poison/Dark type Pokémon introduced in Generation 4. It is known as the Skunk Pokémon.</t>
  </si>
  <si>
    <t>436</t>
  </si>
  <si>
    <t>Bronze Pokémon</t>
  </si>
  <si>
    <t>Bronzor</t>
  </si>
  <si>
    <t>Bronzor is a Steel/Psychic type Pokémon introduced in Generation 4. It is known as the Bronze Pokémon.</t>
  </si>
  <si>
    <t>437</t>
  </si>
  <si>
    <t>Bronze Bell Pokémon</t>
  </si>
  <si>
    <t>Bronzong</t>
  </si>
  <si>
    <t>Bronzong is a Steel/Psychic type Pokémon introduced in Generation 4. It is known as the Bronze Bell Pokémon.</t>
  </si>
  <si>
    <t>438</t>
  </si>
  <si>
    <t>Bonsai Pokémon</t>
  </si>
  <si>
    <t>Bonsly</t>
  </si>
  <si>
    <t>Bonsly is a Rock type Pokémon introduced in Generation 4. It is known as the Bonsai Pokémon.</t>
  </si>
  <si>
    <t>439</t>
  </si>
  <si>
    <t>Mime Pokémon</t>
  </si>
  <si>
    <t>Mime Jr.</t>
  </si>
  <si>
    <t>Mime Jr. is a Psychic/Fairy type Pokémon introduced in Generation 4. It is known as the Mime Pokémon.</t>
  </si>
  <si>
    <t>44</t>
  </si>
  <si>
    <t>Gloom</t>
  </si>
  <si>
    <t>Gloom is a Grass/Poison type Pokémon introduced in Generation 1. It is known as the Weed Pokémon.</t>
  </si>
  <si>
    <t>440</t>
  </si>
  <si>
    <t>Playhouse Pokémon</t>
  </si>
  <si>
    <t>Happiny</t>
  </si>
  <si>
    <t>Happiny is a Normal type Pokémon introduced in Generation 4. It is known as the Playhouse Pokémon.</t>
  </si>
  <si>
    <t>441</t>
  </si>
  <si>
    <t>Music Note Pokémon</t>
  </si>
  <si>
    <t>Chatot</t>
  </si>
  <si>
    <t>Chatot is a Normal/Flying type Pokémon introduced in Generation 4. It is known as the Music Note Pokémon.</t>
  </si>
  <si>
    <t>442</t>
  </si>
  <si>
    <t>Forbidden Pokémon</t>
  </si>
  <si>
    <t>Spiritomb</t>
  </si>
  <si>
    <t>Spiritomb is a Ghost/Dark type Pokémon introduced in Generation 4. It is known as the Forbidden Pokémon.</t>
  </si>
  <si>
    <t>443</t>
  </si>
  <si>
    <t>Land Shark Pokémon</t>
  </si>
  <si>
    <t>Gible</t>
  </si>
  <si>
    <t>Gible is a Dragon/Ground type Pokémon introduced in Generation 4. It is known as the Land Shark Pokémon.</t>
  </si>
  <si>
    <t>444</t>
  </si>
  <si>
    <t>Cave Pokémon</t>
  </si>
  <si>
    <t>Gabite</t>
  </si>
  <si>
    <t>Gabite is a Dragon/Ground type Pokémon introduced in Generation 4. It is known as the Cave Pokémon.</t>
  </si>
  <si>
    <t>445</t>
  </si>
  <si>
    <t>Mach Pokémon</t>
  </si>
  <si>
    <t>Garchomp</t>
  </si>
  <si>
    <t>Garchomp is a Dragon/Ground type Pokémon introduced in Generation 4. It is known as the Mach Pokémon.
Garchomp has a Mega Evolution, available from X &amp; Y onwards.</t>
  </si>
  <si>
    <t>Mega Garchomp</t>
  </si>
  <si>
    <t>446</t>
  </si>
  <si>
    <t>Big Eater Pokémon</t>
  </si>
  <si>
    <t>Munchlax</t>
  </si>
  <si>
    <t>Munchlax is a Normal type Pokémon introduced in Generation 4. It is known as the Big Eater Pokémon.</t>
  </si>
  <si>
    <t>447</t>
  </si>
  <si>
    <t>Emanation Pokémon</t>
  </si>
  <si>
    <t>Riolu</t>
  </si>
  <si>
    <t>Riolu is a Fighting type Pokémon introduced in Generation 4. It is known as the Emanation Pokémon.</t>
  </si>
  <si>
    <t>448</t>
  </si>
  <si>
    <t>Aura Pokémon</t>
  </si>
  <si>
    <t>Lucario</t>
  </si>
  <si>
    <t>Lucario is a Fighting/Steel type Pokémon introduced in Generation 4. It is known as the Aura Pokémon.
Lucario has a Mega Evolution, available from X &amp; Y onwards.</t>
  </si>
  <si>
    <t>Mega Lucario</t>
  </si>
  <si>
    <t>449</t>
  </si>
  <si>
    <t>Hippo Pokémon</t>
  </si>
  <si>
    <t>Hippopotas</t>
  </si>
  <si>
    <t>Hippopotas is a Ground type Pokémon introduced in Generation 4. It is known as the Hippo Pokémon.</t>
  </si>
  <si>
    <t>45</t>
  </si>
  <si>
    <t>Vileplume</t>
  </si>
  <si>
    <t>Vileplume is a Grass/Poison type Pokémon introduced in Generation 1. It is known as the Flower Pokémon.</t>
  </si>
  <si>
    <t>450</t>
  </si>
  <si>
    <t>Heavyweight Pokémon</t>
  </si>
  <si>
    <t>Hippowdon</t>
  </si>
  <si>
    <t>Hippowdon is a Ground type Pokémon introduced in Generation 4. It is known as the Heavyweight Pokémon.</t>
  </si>
  <si>
    <t>451</t>
  </si>
  <si>
    <t>Scorpion Pokémon</t>
  </si>
  <si>
    <t>Skorupi</t>
  </si>
  <si>
    <t>Skorupi is a Poison/Bug type Pokémon introduced in Generation 4. It is known as the Scorpion Pokémon.</t>
  </si>
  <si>
    <t>452</t>
  </si>
  <si>
    <t>Ogre Scorp Pokémon</t>
  </si>
  <si>
    <t>Drapion</t>
  </si>
  <si>
    <t>Drapion is a Poison/Dark type Pokémon introduced in Generation 4. It is known as the Ogre Scorp Pokémon.
Drapion is a purple, scorpion-like Pokémon. Its body is segmented and it stands on four pointed legs. It has two large claws at the front, the tips of which release poison, and a similar large pincer on its tail. It can rotate its head 180 degrees. Drapion typically reside in the desert, although they have been spotted in marshland.
Although Drapion is Poison/Dark type, it evolves from Skorupi which is Poison/Bug type, thus loses its Bug type upon evolution - a rare occurrence for Pokémon.</t>
  </si>
  <si>
    <t>453</t>
  </si>
  <si>
    <t>Toxic Mouth Pokémon</t>
  </si>
  <si>
    <t>Croagunk</t>
  </si>
  <si>
    <t>Croagunk is a Poison/Fighting type Pokémon introduced in Generation 4. It is known as the Toxic Mouth Pokémon.</t>
  </si>
  <si>
    <t>454</t>
  </si>
  <si>
    <t>Toxicroak</t>
  </si>
  <si>
    <t>Toxicroak is a Poison/Fighting type Pokémon introduced in Generation 4. It is known as the Toxic Mouth Pokémon.</t>
  </si>
  <si>
    <t>455</t>
  </si>
  <si>
    <t>Bug Catcher Pokémon</t>
  </si>
  <si>
    <t>Carnivine</t>
  </si>
  <si>
    <t>Carnivine is a Grass type Pokémon introduced in Generation 4. It is known as the Bug Catcher Pokémon.</t>
  </si>
  <si>
    <t>456</t>
  </si>
  <si>
    <t>Wing Fish Pokémon</t>
  </si>
  <si>
    <t>Finneon</t>
  </si>
  <si>
    <t>Finneon is a Water type Pokémon introduced in Generation 4. It is known as the Wing Fish Pokémon.</t>
  </si>
  <si>
    <t>457</t>
  </si>
  <si>
    <t>Neon Pokémon</t>
  </si>
  <si>
    <t>Lumineon</t>
  </si>
  <si>
    <t>Lumineon is a Water type Pokémon introduced in Generation 4. It is known as the Neon Pokémon.</t>
  </si>
  <si>
    <t>458</t>
  </si>
  <si>
    <t>Mantyke</t>
  </si>
  <si>
    <t>Mantyke is a Water/Flying type Pokémon introduced in Generation 4. It is known as the Kite Pokémon.</t>
  </si>
  <si>
    <t>459</t>
  </si>
  <si>
    <t>Frost Tree Pokémon</t>
  </si>
  <si>
    <t>Snover</t>
  </si>
  <si>
    <t>Snover is a Grass/Ice type Pokémon introduced in Generation 4. It is known as the Frost Tree Pokémon.</t>
  </si>
  <si>
    <t>46</t>
  </si>
  <si>
    <t>Paras</t>
  </si>
  <si>
    <t>Paras is a Bug/Grass type Pokémon introduced in Generation 1. It is known as the Mushroom Pokémon.</t>
  </si>
  <si>
    <t>460</t>
  </si>
  <si>
    <t>Abomasnow</t>
  </si>
  <si>
    <t>Abomasnow is a Grass/Ice type Pokémon introduced in Generation 4. It is known as the Frost Tree Pokémon.
Abomasnow has a Mega Evolution, available from X &amp; Y onwards.</t>
  </si>
  <si>
    <t>Mega Abomasnow</t>
  </si>
  <si>
    <t>461</t>
  </si>
  <si>
    <t>Weavile</t>
  </si>
  <si>
    <t>Weavile is a Dark/Ice type Pokémon introduced in Generation 4. It is known as the Sharp Claw Pokémon.</t>
  </si>
  <si>
    <t>462</t>
  </si>
  <si>
    <t>Magnet Area Pokémon</t>
  </si>
  <si>
    <t>Magnezone</t>
  </si>
  <si>
    <t>Magnezone is an Electric/Steel type Pokémon introduced in Generation 4. It is known as the Magnet Area Pokémon.</t>
  </si>
  <si>
    <t>463</t>
  </si>
  <si>
    <t>Lickilicky</t>
  </si>
  <si>
    <t>Lickilicky is a Normal type Pokémon introduced in Generation 4. It is known as the Licking Pokémon.</t>
  </si>
  <si>
    <t>464</t>
  </si>
  <si>
    <t>Rhyperior</t>
  </si>
  <si>
    <t>Rhyperior is a Ground/Rock type Pokémon introduced in Generation 4. It is known as the Drill Pokémon.</t>
  </si>
  <si>
    <t>465</t>
  </si>
  <si>
    <t>Tangrowth</t>
  </si>
  <si>
    <t>Tangrowth is a Grass type Pokémon introduced in Generation 4. It is known as the Vine Pokémon.</t>
  </si>
  <si>
    <t>466</t>
  </si>
  <si>
    <t>Thunderbolt Pokémon</t>
  </si>
  <si>
    <t>Electivire</t>
  </si>
  <si>
    <t>Electivire is an Electric type Pokémon introduced in Generation 4. It is known as the Thunderbolt Pokémon.</t>
  </si>
  <si>
    <t>467</t>
  </si>
  <si>
    <t>Blast Pokémon</t>
  </si>
  <si>
    <t>Magmortar</t>
  </si>
  <si>
    <t>Magmortar is a Fire type Pokémon introduced in Generation 4. It is known as the Blast Pokémon.</t>
  </si>
  <si>
    <t>468</t>
  </si>
  <si>
    <t>Jubilee Pokémon</t>
  </si>
  <si>
    <t>Togekiss</t>
  </si>
  <si>
    <t>Togekiss is a Fairy/Flying type Pokémon introduced in Generation 4. It is known as the Jubilee Pokémon.</t>
  </si>
  <si>
    <t>469</t>
  </si>
  <si>
    <t>Ogre Darner Pokémon</t>
  </si>
  <si>
    <t>Yanmega</t>
  </si>
  <si>
    <t>Yanmega is a Bug/Flying type Pokémon introduced in Generation 4. It is known as the Ogre Darner Pokémon.</t>
  </si>
  <si>
    <t>47</t>
  </si>
  <si>
    <t>Parasect</t>
  </si>
  <si>
    <t>Parasect is a Bug/Grass type Pokémon introduced in Generation 1. It is known as the Mushroom Pokémon.</t>
  </si>
  <si>
    <t>470</t>
  </si>
  <si>
    <t>Verdant Pokémon</t>
  </si>
  <si>
    <t>Leafeon</t>
  </si>
  <si>
    <t>Leafeon is a Grass type Pokémon introduced in Generation 4. It is known as the Verdant Pokémon.</t>
  </si>
  <si>
    <t>471</t>
  </si>
  <si>
    <t>Fresh Snow Pokémon</t>
  </si>
  <si>
    <t>Glaceon</t>
  </si>
  <si>
    <t>Glaceon is an Ice type Pokémon introduced in Generation 4. It is known as the Fresh Snow Pokémon.</t>
  </si>
  <si>
    <t>472</t>
  </si>
  <si>
    <t>Fang Scorp Pokémon</t>
  </si>
  <si>
    <t>Gliscor</t>
  </si>
  <si>
    <t>Gliscor is a Ground/Flying type Pokémon introduced in Generation 4. It is known as the Fang Scorp Pokémon.</t>
  </si>
  <si>
    <t>473</t>
  </si>
  <si>
    <t>Twin Tusk Pokémon</t>
  </si>
  <si>
    <t>Mamoswine</t>
  </si>
  <si>
    <t>Mamoswine is an Ice/Ground type Pokémon introduced in Generation 4. It is known as the Twin Tusk Pokémon.</t>
  </si>
  <si>
    <t>474</t>
  </si>
  <si>
    <t>Porygon-Z</t>
  </si>
  <si>
    <t>Porygon-Z is a Normal type Pokémon introduced in Generation 4. It is known as the Virtual Pokémon.</t>
  </si>
  <si>
    <t>475</t>
  </si>
  <si>
    <t>Blade Pokémon</t>
  </si>
  <si>
    <t>Gallade</t>
  </si>
  <si>
    <t>Gallade is a Psychic/Fighting type Pokémon introduced in Generation 4. It is known as the Blade Pokémon.
Gallade has a Mega Evolution, available from Omega Ruby &amp; Alpha Sapphire onwards.</t>
  </si>
  <si>
    <t>Mega Gallade</t>
  </si>
  <si>
    <t>476</t>
  </si>
  <si>
    <t>Probopass</t>
  </si>
  <si>
    <t>Probopass is a Rock/Steel type Pokémon introduced in Generation 4. It is known as the Compass Pokémon.</t>
  </si>
  <si>
    <t>477</t>
  </si>
  <si>
    <t>Gripper Pokémon</t>
  </si>
  <si>
    <t>Dusknoir</t>
  </si>
  <si>
    <t>Dusknoir is a Ghost type Pokémon introduced in Generation 4. It is known as the Gripper Pokémon.</t>
  </si>
  <si>
    <t>478</t>
  </si>
  <si>
    <t>Snow Land Pokémon</t>
  </si>
  <si>
    <t>Froslass</t>
  </si>
  <si>
    <t>Froslass is an Ice/Ghost type Pokémon introduced in Generation 4. It is known as the Snow Land Pokémon.</t>
  </si>
  <si>
    <t>479</t>
  </si>
  <si>
    <t>Plasma Pokémon</t>
  </si>
  <si>
    <t>Fan Rotom</t>
  </si>
  <si>
    <t>Rotom is an Electric/Ghost type Pokémon introduced in Generation 4. It is known as the Plasma Pokémon.
Rotom has 5 alternate forms introduced in Pokémon Platinum. Rotom transforms when it possesses different household appliances: an oven (Heat Rotom), a washing machine (Wash Rotom), a refrigerator (Frost Rotom), a fan (Fan Rotom), and a lawnmower (Mow Rotom).
In Generation 4, all Rotom forms were Electric/Ghost type. From Generation 5 onwards, they each have their own secondary type.</t>
  </si>
  <si>
    <t>Frost Rotom</t>
  </si>
  <si>
    <t>Heat Rotom</t>
  </si>
  <si>
    <t>Mow Rotom</t>
  </si>
  <si>
    <t>Rotom</t>
  </si>
  <si>
    <t>Wash Rotom</t>
  </si>
  <si>
    <t>48</t>
  </si>
  <si>
    <t>Insect Pokémon</t>
  </si>
  <si>
    <t>Venonat</t>
  </si>
  <si>
    <t>Venonat is a Bug/Poison type Pokémon introduced in Generation 1. It is known as the Insect Pokémon.</t>
  </si>
  <si>
    <t>480</t>
  </si>
  <si>
    <t>Knowledge Pokémon</t>
  </si>
  <si>
    <t>Uxie</t>
  </si>
  <si>
    <t>Uxie is a Psychic type Pokémon introduced in Generation 4. It is known as the Knowledge Pokémon.</t>
  </si>
  <si>
    <t>481</t>
  </si>
  <si>
    <t>Mesprit</t>
  </si>
  <si>
    <t>Mesprit is a Psychic type Pokémon introduced in Generation 4. It is known as the Emotion Pokémon.</t>
  </si>
  <si>
    <t>482</t>
  </si>
  <si>
    <t>Willpower Pokémon</t>
  </si>
  <si>
    <t>Azelf</t>
  </si>
  <si>
    <t>Azelf is a Psychic type Pokémon introduced in Generation 4. It is known as the Willpower Pokémon.</t>
  </si>
  <si>
    <t>483</t>
  </si>
  <si>
    <t>Temporal Pokémon</t>
  </si>
  <si>
    <t>Dialga</t>
  </si>
  <si>
    <t>Dialga is a Steel/Dragon type Pokémon introduced in Generation 4. It is known as the Temporal Pokémon.</t>
  </si>
  <si>
    <t>484</t>
  </si>
  <si>
    <t>Spatial Pokémon</t>
  </si>
  <si>
    <t>Palkia</t>
  </si>
  <si>
    <t>Palkia is a Water/Dragon type Pokémon introduced in Generation 4. It is known as the Spatial Pokémon.</t>
  </si>
  <si>
    <t>485</t>
  </si>
  <si>
    <t>Lava Dome Pokémon</t>
  </si>
  <si>
    <t>Heatran</t>
  </si>
  <si>
    <t>Heatran is a Fire/Steel type Pokémon introduced in Generation 4. It is known as the Lava Dome Pokémon.</t>
  </si>
  <si>
    <t>486</t>
  </si>
  <si>
    <t>Colossal Pokémon</t>
  </si>
  <si>
    <t>Regigigas</t>
  </si>
  <si>
    <t>Regigigas is a Normal type Pokémon introduced in Generation 4. It is known as the Colossal Pokémon.</t>
  </si>
  <si>
    <t>487</t>
  </si>
  <si>
    <t>Renegade Pokémon</t>
  </si>
  <si>
    <t>Altered Forme</t>
  </si>
  <si>
    <t>Giratina is a Ghost/Dragon type Pokémon introduced in Generation 4. It is known as the Renegade Pokémon.</t>
  </si>
  <si>
    <t>Origin Forme</t>
  </si>
  <si>
    <t>488</t>
  </si>
  <si>
    <t>Lunar Pokémon</t>
  </si>
  <si>
    <t>Cresselia</t>
  </si>
  <si>
    <t>Cresselia is a Psychic type Pokémon introduced in Generation 4. It is known as the Lunar Pokémon.</t>
  </si>
  <si>
    <t>489</t>
  </si>
  <si>
    <t>Sea Drifter Pokémon</t>
  </si>
  <si>
    <t>Phione</t>
  </si>
  <si>
    <t>Phione is a Water type Pokémon introduced in Generation 4. It is known as the Sea Drifter Pokémon.</t>
  </si>
  <si>
    <t>49</t>
  </si>
  <si>
    <t>Venomoth</t>
  </si>
  <si>
    <t>Venomoth is a Bug/Poison type Pokémon introduced in Generation 1. It is known as the Poison Moth Pokémon.</t>
  </si>
  <si>
    <t>490</t>
  </si>
  <si>
    <t>Seafaring Pokémon</t>
  </si>
  <si>
    <t>Manaphy</t>
  </si>
  <si>
    <t>Manaphy is a Water type Pokémon introduced in Generation 4. It is known as the Seafaring Pokémon.</t>
  </si>
  <si>
    <t>491</t>
  </si>
  <si>
    <t>Pitch-Black Pokémon</t>
  </si>
  <si>
    <t>Darkrai</t>
  </si>
  <si>
    <t>Darkrai is a Dark type Pokémon introduced in Generation 4. It is known as the Pitch-Black Pokémon.</t>
  </si>
  <si>
    <t>492</t>
  </si>
  <si>
    <t>Gratitude Pokémon</t>
  </si>
  <si>
    <t>Land Forme</t>
  </si>
  <si>
    <t>Shaymin is a Grass type Pokémon introduced in Generation 4. It is known as the Gratitude Pokémon.</t>
  </si>
  <si>
    <t>Sky Forme</t>
  </si>
  <si>
    <t>493</t>
  </si>
  <si>
    <t>Alpha Pokémon</t>
  </si>
  <si>
    <t>Arceus</t>
  </si>
  <si>
    <t>Arceus is a Normal type Pokémon introduced in Generation 4. It is known as the Alpha Pokémon.</t>
  </si>
  <si>
    <t>494</t>
  </si>
  <si>
    <t>Victory Pokémon</t>
  </si>
  <si>
    <t>Victini</t>
  </si>
  <si>
    <t>Victini is a Psychic/Fire type Pokémon introduced in Generation 5. It is known as the Victory Pokémon.</t>
  </si>
  <si>
    <t>495</t>
  </si>
  <si>
    <t>Grass Snake Pokémon</t>
  </si>
  <si>
    <t>Snivy</t>
  </si>
  <si>
    <t>Snivy is a Grass type Pokémon introduced in Generation 5. It is known as the Grass Snake Pokémon.</t>
  </si>
  <si>
    <t>496</t>
  </si>
  <si>
    <t>Servine</t>
  </si>
  <si>
    <t>Servine is a Grass type Pokémon introduced in Generation 5. It is known as the Grass Snake Pokémon.</t>
  </si>
  <si>
    <t>497</t>
  </si>
  <si>
    <t>Regal Pokémon</t>
  </si>
  <si>
    <t>Serperior</t>
  </si>
  <si>
    <t>Serperior is a Grass type Pokémon introduced in Generation 5. It is known as the Regal Pokémon.</t>
  </si>
  <si>
    <t>498</t>
  </si>
  <si>
    <t>Fire Pig Pokémon</t>
  </si>
  <si>
    <t>Tepig</t>
  </si>
  <si>
    <t>Tepig is a Fire type Pokémon introduced in Generation 5. It is known as the Fire Pig Pokémon.</t>
  </si>
  <si>
    <t>499</t>
  </si>
  <si>
    <t>Pignite</t>
  </si>
  <si>
    <t>Pignite is a Fire/Fighting type Pokémon introduced in Generation 5. It is known as the Fire Pig Pokémon.</t>
  </si>
  <si>
    <t>5</t>
  </si>
  <si>
    <t>Charmeleon</t>
  </si>
  <si>
    <t>Charmeleon is a Fire type Pokémon introduced in Generation 1. It is known as the Flame Pokémon.</t>
  </si>
  <si>
    <t>50</t>
  </si>
  <si>
    <t>Mole Pokémon</t>
  </si>
  <si>
    <t>Alolan Diglett</t>
  </si>
  <si>
    <t>Diglett is a Ground type Pokémon introduced in Generation 1. It is known as the Mole Pokémon.</t>
  </si>
  <si>
    <t>Diglett</t>
  </si>
  <si>
    <t>500</t>
  </si>
  <si>
    <t>Mega Fire Pig Pokémon</t>
  </si>
  <si>
    <t>Emboar</t>
  </si>
  <si>
    <t>Emboar is a Fire/Fighting type Pokémon introduced in Generation 5. It is known as the Mega Fire Pig Pokémon.</t>
  </si>
  <si>
    <t>501</t>
  </si>
  <si>
    <t>Sea Otter Pokémon</t>
  </si>
  <si>
    <t>Oshawott</t>
  </si>
  <si>
    <t>Oshawott is a Water type Pokémon introduced in Generation 5. It is known as the Sea Otter Pokémon.</t>
  </si>
  <si>
    <t>502</t>
  </si>
  <si>
    <t>Discipline Pokémon</t>
  </si>
  <si>
    <t>Dewott</t>
  </si>
  <si>
    <t>Dewott is a Water type Pokémon introduced in Generation 5. It is known as the Discipline Pokémon.</t>
  </si>
  <si>
    <t>503</t>
  </si>
  <si>
    <t>Formidable Pokémon</t>
  </si>
  <si>
    <t>Samurott</t>
  </si>
  <si>
    <t>Samurott is a Water type Pokémon introduced in Generation 5. It is known as the Formidable Pokémon.</t>
  </si>
  <si>
    <t>504</t>
  </si>
  <si>
    <t>Patrat</t>
  </si>
  <si>
    <t>Patrat is a Normal type Pokémon introduced in Generation 5. It is known as the Scout Pokémon.</t>
  </si>
  <si>
    <t>505</t>
  </si>
  <si>
    <t>Lookout Pokémon</t>
  </si>
  <si>
    <t>Watchog</t>
  </si>
  <si>
    <t>Watchog is a Normal type Pokémon introduced in Generation 5. It is known as the Lookout Pokémon.</t>
  </si>
  <si>
    <t>506</t>
  </si>
  <si>
    <t>Puppy Pokémon</t>
  </si>
  <si>
    <t>Lillipup</t>
  </si>
  <si>
    <t>Lillipup is a Normal type Pokémon introduced in Generation 5. It is known as the Puppy Pokémon.</t>
  </si>
  <si>
    <t>507</t>
  </si>
  <si>
    <t>Loyal Dog Pokémon</t>
  </si>
  <si>
    <t>Herdier</t>
  </si>
  <si>
    <t>Herdier is a Normal type Pokémon introduced in Generation 5. It is known as the Loyal Dog Pokémon.</t>
  </si>
  <si>
    <t>508</t>
  </si>
  <si>
    <t>Big-Hearted Pokémon</t>
  </si>
  <si>
    <t>Stoutland</t>
  </si>
  <si>
    <t>Stoutland is a Normal type Pokémon introduced in Generation 5. It is known as the Big-Hearted Pokémon.</t>
  </si>
  <si>
    <t>509</t>
  </si>
  <si>
    <t>Devious Pokémon</t>
  </si>
  <si>
    <t>Purrloin</t>
  </si>
  <si>
    <t>Purrloin is a Dark type Pokémon introduced in Generation 5. It is known as the Devious Pokémon.</t>
  </si>
  <si>
    <t>51</t>
  </si>
  <si>
    <t>Alolan Dugtrio</t>
  </si>
  <si>
    <t>Dugtrio is a Ground type Pokémon introduced in Generation 1. It is known as the Mole Pokémon.</t>
  </si>
  <si>
    <t>Dugtrio</t>
  </si>
  <si>
    <t>510</t>
  </si>
  <si>
    <t>Cruel Pokémon</t>
  </si>
  <si>
    <t>Liepard</t>
  </si>
  <si>
    <t>Liepard is a Dark type Pokémon introduced in Generation 5. It is known as the Cruel Pokémon.</t>
  </si>
  <si>
    <t>511</t>
  </si>
  <si>
    <t>Grass Monkey Pokémon</t>
  </si>
  <si>
    <t>Pansage</t>
  </si>
  <si>
    <t>Pansage is a Grass type Pokémon introduced in Generation 5. It is known as the Grass Monkey Pokémon.</t>
  </si>
  <si>
    <t>512</t>
  </si>
  <si>
    <t>Thorn Monkey Pokémon</t>
  </si>
  <si>
    <t>Simisage</t>
  </si>
  <si>
    <t>Simisage is a Grass type Pokémon introduced in Generation 5. It is known as the Thorn Monkey Pokémon.</t>
  </si>
  <si>
    <t>513</t>
  </si>
  <si>
    <t>High Temp Pokémon</t>
  </si>
  <si>
    <t>Pansear</t>
  </si>
  <si>
    <t>Pansear is a Fire type Pokémon introduced in Generation 5. It is known as the High Temp Pokémon.</t>
  </si>
  <si>
    <t>514</t>
  </si>
  <si>
    <t>Ember Pokémon</t>
  </si>
  <si>
    <t>Simisear</t>
  </si>
  <si>
    <t>Simisear is a Fire type Pokémon introduced in Generation 5. It is known as the Ember Pokémon.</t>
  </si>
  <si>
    <t>515</t>
  </si>
  <si>
    <t>Spray Pokémon</t>
  </si>
  <si>
    <t>Panpour</t>
  </si>
  <si>
    <t>Panpour is a Water type Pokémon introduced in Generation 5. It is known as the Spray Pokémon.</t>
  </si>
  <si>
    <t>516</t>
  </si>
  <si>
    <t>Geyser Pokémon</t>
  </si>
  <si>
    <t>Simipour</t>
  </si>
  <si>
    <t>Simipour is a Water type Pokémon introduced in Generation 5. It is known as the Geyser Pokémon.</t>
  </si>
  <si>
    <t>517</t>
  </si>
  <si>
    <t>Dream Eater Pokémon</t>
  </si>
  <si>
    <t>Munna</t>
  </si>
  <si>
    <t>Munna is a Psychic type Pokémon introduced in Generation 5. It is known as the Dream Eater Pokémon.</t>
  </si>
  <si>
    <t>518</t>
  </si>
  <si>
    <t>Drowsing Pokémon</t>
  </si>
  <si>
    <t>Musharna</t>
  </si>
  <si>
    <t>Musharna is a Psychic type Pokémon introduced in Generation 5. It is known as the Drowsing Pokémon.</t>
  </si>
  <si>
    <t>519</t>
  </si>
  <si>
    <t>Tiny Pigeon Pokémon</t>
  </si>
  <si>
    <t>Pidove</t>
  </si>
  <si>
    <t>Pidove is a Normal/Flying type Pokémon introduced in Generation 5. It is known as the Tiny Pigeon Pokémon.</t>
  </si>
  <si>
    <t>52</t>
  </si>
  <si>
    <t>Scratch Cat Pokémon</t>
  </si>
  <si>
    <t>Alolan Meowth</t>
  </si>
  <si>
    <t>Meowth is a Normal type Pokémon introduced in Generation 1. It is known as the Scratch Cat Pokémon.
Meowth has a new Alolan form introduced in Pokémon Sun/Moon.</t>
  </si>
  <si>
    <t>Meowth</t>
  </si>
  <si>
    <t>520</t>
  </si>
  <si>
    <t>Wild Pigeon Pokémon</t>
  </si>
  <si>
    <t>Tranquill</t>
  </si>
  <si>
    <t>Tranquill is a Normal/Flying type Pokémon introduced in Generation 5. It is known as the Wild Pigeon Pokémon.</t>
  </si>
  <si>
    <t>521</t>
  </si>
  <si>
    <t>Proud Pokémon</t>
  </si>
  <si>
    <t>Unfezant</t>
  </si>
  <si>
    <t>Unfezant is a Normal/Flying type Pokémon introduced in Generation 5. It is known as the Proud Pokémon.</t>
  </si>
  <si>
    <t>522</t>
  </si>
  <si>
    <t>Electrified Pokémon</t>
  </si>
  <si>
    <t>Blitzle</t>
  </si>
  <si>
    <t>Blitzle is an Electric type Pokémon introduced in Generation 5. It is known as the Electrified Pokémon.</t>
  </si>
  <si>
    <t>523</t>
  </si>
  <si>
    <t>Zebstrika</t>
  </si>
  <si>
    <t>Zebstrika is an Electric type Pokémon introduced in Generation 5. It is known as the Thunderbolt Pokémon.</t>
  </si>
  <si>
    <t>524</t>
  </si>
  <si>
    <t>Mantle Pokémon</t>
  </si>
  <si>
    <t>Roggenrola</t>
  </si>
  <si>
    <t>Roggenrola is a Rock type Pokémon introduced in Generation 5. It is known as the Mantle Pokémon.</t>
  </si>
  <si>
    <t>525</t>
  </si>
  <si>
    <t>Ore Pokémon</t>
  </si>
  <si>
    <t>Boldore</t>
  </si>
  <si>
    <t>Boldore is a Rock type Pokémon introduced in Generation 5. It is known as the Ore Pokémon.</t>
  </si>
  <si>
    <t>526</t>
  </si>
  <si>
    <t>Compressed Pokémon</t>
  </si>
  <si>
    <t>Gigalith</t>
  </si>
  <si>
    <t>Gigalith is a Rock type Pokémon introduced in Generation 5. It is known as the Compressed Pokémon.</t>
  </si>
  <si>
    <t>527</t>
  </si>
  <si>
    <t>Woobat</t>
  </si>
  <si>
    <t>Woobat is a Psychic/Flying type Pokémon introduced in Generation 5. It is known as the Bat Pokémon.</t>
  </si>
  <si>
    <t>528</t>
  </si>
  <si>
    <t>Courting Pokémon</t>
  </si>
  <si>
    <t>Swoobat</t>
  </si>
  <si>
    <t>Swoobat is a Psychic/Flying type Pokémon introduced in Generation 5. It is known as the Courting Pokémon.</t>
  </si>
  <si>
    <t>529</t>
  </si>
  <si>
    <t>Drilbur</t>
  </si>
  <si>
    <t>Drilbur is a Ground type Pokémon introduced in Generation 5. It is known as the Mole Pokémon.</t>
  </si>
  <si>
    <t>53</t>
  </si>
  <si>
    <t>Classy Cat Pokémon</t>
  </si>
  <si>
    <t>Alolan Persian</t>
  </si>
  <si>
    <t>Persian is a Normal type Pokémon introduced in Generation 1. It is known as the Classy Cat Pokémon.
Persian has a new Alolan form introduced in Pokémon Sun/Moon.</t>
  </si>
  <si>
    <t>Persian</t>
  </si>
  <si>
    <t>530</t>
  </si>
  <si>
    <t>Subterrene Pokémon</t>
  </si>
  <si>
    <t>Excadrill</t>
  </si>
  <si>
    <t>Excadrill is a Ground/Steel type Pokémon introduced in Generation 5. It is known as the Subterrene Pokémon.</t>
  </si>
  <si>
    <t>531</t>
  </si>
  <si>
    <t>Hearing Pokémon</t>
  </si>
  <si>
    <t>Audino</t>
  </si>
  <si>
    <t>Audino is a Normal type Pokémon introduced in Generation 5. It is known as the Hearing Pokémon.
Audino has a Mega Evolution, available from Omega Ruby &amp; Alpha Sapphire onwards.</t>
  </si>
  <si>
    <t>Mega Audino</t>
  </si>
  <si>
    <t>532</t>
  </si>
  <si>
    <t>Muscular Pokémon</t>
  </si>
  <si>
    <t>Timburr</t>
  </si>
  <si>
    <t>Timburr is a Fighting type Pokémon introduced in Generation 5. It is known as the Muscular Pokémon.</t>
  </si>
  <si>
    <t>533</t>
  </si>
  <si>
    <t>Gurdurr</t>
  </si>
  <si>
    <t>Gurdurr is a Fighting type Pokémon introduced in Generation 5. It is known as the Muscular Pokémon.</t>
  </si>
  <si>
    <t>534</t>
  </si>
  <si>
    <t>Conkeldurr</t>
  </si>
  <si>
    <t>Conkeldurr is a Fighting type Pokémon introduced in Generation 5. It is known as the Muscular Pokémon.</t>
  </si>
  <si>
    <t>535</t>
  </si>
  <si>
    <t>Tadpole Pokémon</t>
  </si>
  <si>
    <t>Tympole</t>
  </si>
  <si>
    <t>Tympole is a Water type Pokémon introduced in Generation 5. It is known as the Tadpole Pokémon.</t>
  </si>
  <si>
    <t>536</t>
  </si>
  <si>
    <t>Palpitoad</t>
  </si>
  <si>
    <t>Palpitoad is a Water/Ground type Pokémon introduced in Generation 5. It is known as the Vibration Pokémon.</t>
  </si>
  <si>
    <t>537</t>
  </si>
  <si>
    <t>Seismitoad</t>
  </si>
  <si>
    <t>Seismitoad is a Water/Ground type Pokémon introduced in Generation 5. It is known as the Vibration Pokémon.</t>
  </si>
  <si>
    <t>538</t>
  </si>
  <si>
    <t>Judo Pokémon</t>
  </si>
  <si>
    <t>Throh</t>
  </si>
  <si>
    <t>Throh is a Fighting type Pokémon introduced in Generation 5. It is known as the Judo Pokémon.</t>
  </si>
  <si>
    <t>539</t>
  </si>
  <si>
    <t>Karate Pokémon</t>
  </si>
  <si>
    <t>Sawk</t>
  </si>
  <si>
    <t>Sawk is a Fighting type Pokémon introduced in Generation 5. It is known as the Karate Pokémon.</t>
  </si>
  <si>
    <t>54</t>
  </si>
  <si>
    <t>Duck Pokémon</t>
  </si>
  <si>
    <t>Psyduck</t>
  </si>
  <si>
    <t>Psyduck is a Water type Pokémon introduced in Generation 1. It is known as the Duck Pokémon.</t>
  </si>
  <si>
    <t>540</t>
  </si>
  <si>
    <t>Sewing Pokémon</t>
  </si>
  <si>
    <t>Sewaddle</t>
  </si>
  <si>
    <t>Sewaddle is a Bug/Grass type Pokémon introduced in Generation 5. It is known as the Sewing Pokémon.</t>
  </si>
  <si>
    <t>541</t>
  </si>
  <si>
    <t>Leaf-Wrapped Pokémon</t>
  </si>
  <si>
    <t>Swadloon</t>
  </si>
  <si>
    <t>Swadloon is a Bug/Grass type Pokémon introduced in Generation 5. It is known as the Leaf-Wrapped Pokémon.</t>
  </si>
  <si>
    <t>542</t>
  </si>
  <si>
    <t>Nurturing Pokémon</t>
  </si>
  <si>
    <t>Leavanny</t>
  </si>
  <si>
    <t>Leavanny is a Bug/Grass type Pokémon introduced in Generation 5. It is known as the Nurturing Pokémon.</t>
  </si>
  <si>
    <t>543</t>
  </si>
  <si>
    <t>Centipede Pokémon</t>
  </si>
  <si>
    <t>Venipede</t>
  </si>
  <si>
    <t>Venipede is a Bug/Poison type Pokémon introduced in Generation 5. It is known as the Centipede Pokémon.</t>
  </si>
  <si>
    <t>544</t>
  </si>
  <si>
    <t>Curlipede Pokémon</t>
  </si>
  <si>
    <t>Whirlipede</t>
  </si>
  <si>
    <t>Whirlipede is a Bug/Poison type Pokémon introduced in Generation 5. It is known as the Curlipede Pokémon.</t>
  </si>
  <si>
    <t>545</t>
  </si>
  <si>
    <t>Megapede Pokémon</t>
  </si>
  <si>
    <t>Scolipede</t>
  </si>
  <si>
    <t>Scolipede is a Bug/Poison type Pokémon introduced in Generation 5. It is known as the Megapede Pokémon.</t>
  </si>
  <si>
    <t>546</t>
  </si>
  <si>
    <t>Cotton Puff Pokémon</t>
  </si>
  <si>
    <t>Cottonee</t>
  </si>
  <si>
    <t>Cottonee is a Grass/Fairy type Pokémon introduced in Generation 5. It is known as the Cotton Puff Pokémon.</t>
  </si>
  <si>
    <t>547</t>
  </si>
  <si>
    <t>Windveiled Pokémon</t>
  </si>
  <si>
    <t>Whimsicott</t>
  </si>
  <si>
    <t>Whimsicott is a Grass/Fairy type Pokémon introduced in Generation 5. It is known as the Windveiled Pokémon.</t>
  </si>
  <si>
    <t>548</t>
  </si>
  <si>
    <t>Bulb Pokémon</t>
  </si>
  <si>
    <t>Petilil</t>
  </si>
  <si>
    <t>Petilil is a Grass type Pokémon introduced in Generation 5. It is known as the Bulb Pokémon.</t>
  </si>
  <si>
    <t>549</t>
  </si>
  <si>
    <t>Flowering Pokémon</t>
  </si>
  <si>
    <t>Lilligant</t>
  </si>
  <si>
    <t>Lilligant is a Grass type Pokémon introduced in Generation 5. It is known as the Flowering Pokémon.</t>
  </si>
  <si>
    <t>55</t>
  </si>
  <si>
    <t>Golduck</t>
  </si>
  <si>
    <t>Golduck is a Water type Pokémon introduced in Generation 1. It is known as the Duck Pokémon.</t>
  </si>
  <si>
    <t>550</t>
  </si>
  <si>
    <t>Hostile Pokémon</t>
  </si>
  <si>
    <t>Blue-Striped Form</t>
  </si>
  <si>
    <t>Basculin is a Water type Pokémon introduced in Generation 5. It is known as the Hostile Pokémon.</t>
  </si>
  <si>
    <t>Red-Striped Form</t>
  </si>
  <si>
    <t>551</t>
  </si>
  <si>
    <t>Desert Croc Pokémon</t>
  </si>
  <si>
    <t>Sandile</t>
  </si>
  <si>
    <t>Sandile is a Ground/Dark type Pokémon introduced in Generation 5. It is known as the Desert Croc Pokémon.</t>
  </si>
  <si>
    <t>552</t>
  </si>
  <si>
    <t>Krokorok</t>
  </si>
  <si>
    <t>Krokorok is a Ground/Dark type Pokémon introduced in Generation 5. It is known as the Desert Croc Pokémon.</t>
  </si>
  <si>
    <t>553</t>
  </si>
  <si>
    <t>Intimidation Pokémon</t>
  </si>
  <si>
    <t>Krookodile</t>
  </si>
  <si>
    <t>Krookodile is a Ground/Dark type Pokémon introduced in Generation 5. It is known as the Intimidation Pokémon.</t>
  </si>
  <si>
    <t>554</t>
  </si>
  <si>
    <t>Zen Charm Pokémon</t>
  </si>
  <si>
    <t>Darumaka</t>
  </si>
  <si>
    <t>Darumaka is a Fire type Pokémon introduced in Generation 5. It is known as the Zen Charm Pokémon.</t>
  </si>
  <si>
    <t>555</t>
  </si>
  <si>
    <t>Blazing Pokémon</t>
  </si>
  <si>
    <t>Standard Mode</t>
  </si>
  <si>
    <t>Darmanitan is a Fire type Pokémon introduced in Generation 5. It is known as the Blazing Pokémon.</t>
  </si>
  <si>
    <t>Zen Mode</t>
  </si>
  <si>
    <t>556</t>
  </si>
  <si>
    <t>Maractus</t>
  </si>
  <si>
    <t>Maractus is a Grass type Pokémon introduced in Generation 5. It is known as the Cactus Pokémon.</t>
  </si>
  <si>
    <t>557</t>
  </si>
  <si>
    <t>Rock Inn Pokémon</t>
  </si>
  <si>
    <t>Dwebble</t>
  </si>
  <si>
    <t>Dwebble is a Bug/Rock type Pokémon introduced in Generation 5. It is known as the Rock Inn Pokémon.</t>
  </si>
  <si>
    <t>558</t>
  </si>
  <si>
    <t>Stone Home Pokémon</t>
  </si>
  <si>
    <t>Crustle</t>
  </si>
  <si>
    <t>Crustle is a Bug/Rock type Pokémon introduced in Generation 5. It is known as the Stone Home Pokémon.</t>
  </si>
  <si>
    <t>559</t>
  </si>
  <si>
    <t>Shedding Pokémon</t>
  </si>
  <si>
    <t>Scraggy</t>
  </si>
  <si>
    <t>Scraggy is a Dark/Fighting type Pokémon introduced in Generation 5. It is known as the Shedding Pokémon.</t>
  </si>
  <si>
    <t>56</t>
  </si>
  <si>
    <t>Pig Monkey Pokémon</t>
  </si>
  <si>
    <t>Mankey</t>
  </si>
  <si>
    <t>Mankey is a Fighting type Pokémon introduced in Generation 1. It is known as the Pig Monkey Pokémon.</t>
  </si>
  <si>
    <t>560</t>
  </si>
  <si>
    <t>Hoodlum Pokémon</t>
  </si>
  <si>
    <t>Scrafty</t>
  </si>
  <si>
    <t>Scrafty is a Dark/Fighting type Pokémon introduced in Generation 5. It is known as the Hoodlum Pokémon.</t>
  </si>
  <si>
    <t>561</t>
  </si>
  <si>
    <t>Avianoid Pokémon</t>
  </si>
  <si>
    <t>Sigilyph</t>
  </si>
  <si>
    <t>Sigilyph is a Psychic/Flying type Pokémon introduced in Generation 5. It is known as the Avianoid Pokémon.</t>
  </si>
  <si>
    <t>562</t>
  </si>
  <si>
    <t>Spirit Pokémon</t>
  </si>
  <si>
    <t>Yamask</t>
  </si>
  <si>
    <t>Yamask is a Ghost type Pokémon introduced in Generation 5. It is known as the Spirit Pokémon.</t>
  </si>
  <si>
    <t>563</t>
  </si>
  <si>
    <t>Coffin Pokémon</t>
  </si>
  <si>
    <t>Cofagrigus</t>
  </si>
  <si>
    <t>Cofagrigus is a Ghost type Pokémon introduced in Generation 5. It is known as the Coffin Pokémon.</t>
  </si>
  <si>
    <t>564</t>
  </si>
  <si>
    <t>Prototurtle Pokémon</t>
  </si>
  <si>
    <t>Tirtouga</t>
  </si>
  <si>
    <t>Tirtouga is a Water/Rock type Pokémon introduced in Generation 5. It is known as the Prototurtle Pokémon.</t>
  </si>
  <si>
    <t>565</t>
  </si>
  <si>
    <t>Carracosta</t>
  </si>
  <si>
    <t>Carracosta is a Water/Rock type Pokémon introduced in Generation 5. It is known as the Prototurtle Pokémon.</t>
  </si>
  <si>
    <t>566</t>
  </si>
  <si>
    <t>First Bird Pokémon</t>
  </si>
  <si>
    <t>Archen</t>
  </si>
  <si>
    <t>Archen is a Rock/Flying type Pokémon introduced in Generation 5. It is known as the First Bird Pokémon.</t>
  </si>
  <si>
    <t>567</t>
  </si>
  <si>
    <t>Archeops</t>
  </si>
  <si>
    <t>Archeops is a Rock/Flying type Pokémon introduced in Generation 5. It is known as the First Bird Pokémon.</t>
  </si>
  <si>
    <t>568</t>
  </si>
  <si>
    <t>Trash Bag Pokémon</t>
  </si>
  <si>
    <t>Trubbish</t>
  </si>
  <si>
    <t>Trubbish is a Poison type Pokémon introduced in Generation 5. It is known as the Trash Bag Pokémon.</t>
  </si>
  <si>
    <t>569</t>
  </si>
  <si>
    <t>Trash Heap Pokémon</t>
  </si>
  <si>
    <t>Garbodor</t>
  </si>
  <si>
    <t>Garbodor is a Poison type Pokémon introduced in Generation 5. It is known as the Trash Heap Pokémon.</t>
  </si>
  <si>
    <t>57</t>
  </si>
  <si>
    <t>Primeape</t>
  </si>
  <si>
    <t>Primeape is a Fighting type Pokémon introduced in Generation 1. It is known as the Pig Monkey Pokémon.</t>
  </si>
  <si>
    <t>570</t>
  </si>
  <si>
    <t>Tricky Fox Pokémon</t>
  </si>
  <si>
    <t>Zorua</t>
  </si>
  <si>
    <t>Zorua is a Dark type Pokémon introduced in Generation 5. It is known as the Tricky Fox Pokémon.</t>
  </si>
  <si>
    <t>571</t>
  </si>
  <si>
    <t>Illusion Fox Pokémon</t>
  </si>
  <si>
    <t>Zoroark</t>
  </si>
  <si>
    <t>Zoroark is a Dark type Pokémon introduced in Generation 5. It is known as the Illusion Fox Pokémon.</t>
  </si>
  <si>
    <t>572</t>
  </si>
  <si>
    <t>Chinchilla Pokémon</t>
  </si>
  <si>
    <t>Minccino</t>
  </si>
  <si>
    <t>Minccino is a Normal type Pokémon introduced in Generation 5. It is known as the Chinchilla Pokémon.</t>
  </si>
  <si>
    <t>573</t>
  </si>
  <si>
    <t>Scarf Pokémon</t>
  </si>
  <si>
    <t>Cinccino</t>
  </si>
  <si>
    <t>Cinccino is a Normal type Pokémon introduced in Generation 5. It is known as the Scarf Pokémon.</t>
  </si>
  <si>
    <t>574</t>
  </si>
  <si>
    <t>Fixation Pokémon</t>
  </si>
  <si>
    <t>Gothita</t>
  </si>
  <si>
    <t>Gothita is a Psychic type Pokémon introduced in Generation 5. It is known as the Fixation Pokémon.</t>
  </si>
  <si>
    <t>575</t>
  </si>
  <si>
    <t>Gothorita</t>
  </si>
  <si>
    <t>Gothorita is a Psychic type Pokémon introduced in Generation 5. It is known as the Manipulate Pokémon.</t>
  </si>
  <si>
    <t>576</t>
  </si>
  <si>
    <t>Astral Body Pokémon</t>
  </si>
  <si>
    <t>Gothitelle</t>
  </si>
  <si>
    <t>Gothitelle is a Psychic type Pokémon introduced in Generation 5. It is known as the Astral Body Pokémon.</t>
  </si>
  <si>
    <t>577</t>
  </si>
  <si>
    <t>Cell Pokémon</t>
  </si>
  <si>
    <t>Solosis</t>
  </si>
  <si>
    <t>Solosis is a Psychic type Pokémon introduced in Generation 5. It is known as the Cell Pokémon.</t>
  </si>
  <si>
    <t>578</t>
  </si>
  <si>
    <t>Mitosis Pokémon</t>
  </si>
  <si>
    <t>Duosion</t>
  </si>
  <si>
    <t>Duosion is a Psychic type Pokémon introduced in Generation 5. It is known as the Mitosis Pokémon.</t>
  </si>
  <si>
    <t>579</t>
  </si>
  <si>
    <t>Multiplying Pokémon</t>
  </si>
  <si>
    <t>Reuniclus</t>
  </si>
  <si>
    <t>Reuniclus is a Psychic type Pokémon introduced in Generation 5. It is known as the Multiplying Pokémon.</t>
  </si>
  <si>
    <t>58</t>
  </si>
  <si>
    <t>Growlithe</t>
  </si>
  <si>
    <t>Growlithe is a Fire type Pokémon introduced in Generation 1. It is known as the Puppy Pokémon.</t>
  </si>
  <si>
    <t>580</t>
  </si>
  <si>
    <t>Ducklett</t>
  </si>
  <si>
    <t>Ducklett is a Water/Flying type Pokémon introduced in Generation 5. It is known as the Water Bird Pokémon.</t>
  </si>
  <si>
    <t>581</t>
  </si>
  <si>
    <t>White Bird Pokémon</t>
  </si>
  <si>
    <t>Swanna</t>
  </si>
  <si>
    <t>Swanna is a Water/Flying type Pokémon introduced in Generation 5. It is known as the White Bird Pokémon.</t>
  </si>
  <si>
    <t>582</t>
  </si>
  <si>
    <t>Vanillite</t>
  </si>
  <si>
    <t>Vanillite is an Ice type Pokémon introduced in Generation 5. It is known as the Fresh Snow Pokémon.</t>
  </si>
  <si>
    <t>583</t>
  </si>
  <si>
    <t>Icy Snow Pokémon</t>
  </si>
  <si>
    <t>Vanillish</t>
  </si>
  <si>
    <t>Vanillish is an Ice type Pokémon introduced in Generation 5. It is known as the Icy Snow Pokémon.</t>
  </si>
  <si>
    <t>584</t>
  </si>
  <si>
    <t>Snowstorm Pokémon</t>
  </si>
  <si>
    <t>Vanilluxe</t>
  </si>
  <si>
    <t>Vanilluxe is an Ice type Pokémon introduced in Generation 5. It is known as the Snowstorm Pokémon.</t>
  </si>
  <si>
    <t>585</t>
  </si>
  <si>
    <t>Season Pokémon</t>
  </si>
  <si>
    <t>Deerling</t>
  </si>
  <si>
    <t>Deerling is a Normal/Grass type Pokémon introduced in Generation 5. It is known as the Season Pokémon.</t>
  </si>
  <si>
    <t>586</t>
  </si>
  <si>
    <t>Sawsbuck</t>
  </si>
  <si>
    <t>Sawsbuck is a Normal/Grass type Pokémon introduced in Generation 5. It is known as the Season Pokémon.</t>
  </si>
  <si>
    <t>587</t>
  </si>
  <si>
    <t>Sky Squirrel Pokémon</t>
  </si>
  <si>
    <t>Emolga</t>
  </si>
  <si>
    <t>Emolga is an Electric/Flying type Pokémon introduced in Generation 5. It is known as the Sky Squirrel Pokémon.</t>
  </si>
  <si>
    <t>588</t>
  </si>
  <si>
    <t>Clamping Pokémon</t>
  </si>
  <si>
    <t>Karrablast</t>
  </si>
  <si>
    <t>Karrablast is a Bug type Pokémon introduced in Generation 5. It is known as the Clamping Pokémon.</t>
  </si>
  <si>
    <t>589</t>
  </si>
  <si>
    <t>Cavalry Pokémon</t>
  </si>
  <si>
    <t>Escavalier</t>
  </si>
  <si>
    <t>Escavalier is a Bug/Steel type Pokémon introduced in Generation 5. It is known as the Cavalry Pokémon.</t>
  </si>
  <si>
    <t>59</t>
  </si>
  <si>
    <t>Legendary Pokémon</t>
  </si>
  <si>
    <t>Arcanine</t>
  </si>
  <si>
    <t>Arcanine is a Fire type Pokémon introduced in Generation 1. It is known as the Legendary Pokémon.</t>
  </si>
  <si>
    <t>590</t>
  </si>
  <si>
    <t>Foongus</t>
  </si>
  <si>
    <t>Foongus is a Grass/Poison type Pokémon introduced in Generation 5. It is known as the Mushroom Pokémon.</t>
  </si>
  <si>
    <t>591</t>
  </si>
  <si>
    <t>Amoonguss</t>
  </si>
  <si>
    <t>Amoonguss is a Grass/Poison type Pokémon introduced in Generation 5. It is known as the Mushroom Pokémon.</t>
  </si>
  <si>
    <t>592</t>
  </si>
  <si>
    <t>Floating Pokémon</t>
  </si>
  <si>
    <t>Frillish</t>
  </si>
  <si>
    <t>Frillish is a Water/Ghost type Pokémon introduced in Generation 5. It is known as the Floating Pokémon.</t>
  </si>
  <si>
    <t>593</t>
  </si>
  <si>
    <t>Jellicent</t>
  </si>
  <si>
    <t>Jellicent is a Water/Ghost type Pokémon introduced in Generation 5. It is known as the Floating Pokémon.</t>
  </si>
  <si>
    <t>594</t>
  </si>
  <si>
    <t>Caring Pokémon</t>
  </si>
  <si>
    <t>Alomomola</t>
  </si>
  <si>
    <t>Alomomola is a Water type Pokémon introduced in Generation 5. It is known as the Caring Pokémon.</t>
  </si>
  <si>
    <t>595</t>
  </si>
  <si>
    <t>Attaching Pokémon</t>
  </si>
  <si>
    <t>Joltik</t>
  </si>
  <si>
    <t>Joltik is a Bug/Electric type Pokémon introduced in Generation 5. It is known as the Attaching Pokémon.</t>
  </si>
  <si>
    <t>596</t>
  </si>
  <si>
    <t>EleSpider Pokémon</t>
  </si>
  <si>
    <t>Galvantula</t>
  </si>
  <si>
    <t>Galvantula is a Bug/Electric type Pokémon introduced in Generation 5. It is known as the EleSpider Pokémon.</t>
  </si>
  <si>
    <t>597</t>
  </si>
  <si>
    <t>Thorn Seed Pokémon</t>
  </si>
  <si>
    <t>Ferroseed</t>
  </si>
  <si>
    <t>Ferroseed is a Grass/Steel type Pokémon introduced in Generation 5. It is known as the Thorn Seed Pokémon.</t>
  </si>
  <si>
    <t>598</t>
  </si>
  <si>
    <t>Thorn Pod Pokémon</t>
  </si>
  <si>
    <t>Ferrothorn</t>
  </si>
  <si>
    <t>Ferrothorn is a Grass/Steel type Pokémon introduced in Generation 5. It is known as the Thorn Pod Pokémon.</t>
  </si>
  <si>
    <t>599</t>
  </si>
  <si>
    <t>Gear Pokémon</t>
  </si>
  <si>
    <t>Klink</t>
  </si>
  <si>
    <t>Klink is a Steel type Pokémon introduced in Generation 5. It is known as the Gear Pokémon.</t>
  </si>
  <si>
    <t>6</t>
  </si>
  <si>
    <t>Charizard</t>
  </si>
  <si>
    <t>Charizard is a Fire/Flying type Pokémon introduced in Generation 1. It is known as the Flame Pokémon.
Charizard has two Mega Evolutions, available from X &amp; Y onwards.</t>
  </si>
  <si>
    <t>Mega Charizard X</t>
  </si>
  <si>
    <t>Mega Charizard Y</t>
  </si>
  <si>
    <t>60</t>
  </si>
  <si>
    <t>Poliwag</t>
  </si>
  <si>
    <t>Poliwag is a Water type Pokémon introduced in Generation 1. It is known as the Tadpole Pokémon.</t>
  </si>
  <si>
    <t>600</t>
  </si>
  <si>
    <t>Klang</t>
  </si>
  <si>
    <t>Klang is a Steel type Pokémon introduced in Generation 5. It is known as the Gear Pokémon.</t>
  </si>
  <si>
    <t>601</t>
  </si>
  <si>
    <t>Klinklang</t>
  </si>
  <si>
    <t>Klinklang is a Steel type Pokémon introduced in Generation 5. It is known as the Gear Pokémon.</t>
  </si>
  <si>
    <t>602</t>
  </si>
  <si>
    <t>EleFish Pokémon</t>
  </si>
  <si>
    <t>Tynamo</t>
  </si>
  <si>
    <t>Tynamo is an Electric type Pokémon introduced in Generation 5. It is known as the EleFish Pokémon.</t>
  </si>
  <si>
    <t>603</t>
  </si>
  <si>
    <t>Eelektrik</t>
  </si>
  <si>
    <t>Eelektrik is an Electric type Pokémon introduced in Generation 5. It is known as the EleFish Pokémon.</t>
  </si>
  <si>
    <t>604</t>
  </si>
  <si>
    <t>Eelektross</t>
  </si>
  <si>
    <t>Eelektross is an Electric type Pokémon introduced in Generation 5. It is known as the EleFish Pokémon.</t>
  </si>
  <si>
    <t>605</t>
  </si>
  <si>
    <t>Cerebral Pokémon</t>
  </si>
  <si>
    <t>Elgyem</t>
  </si>
  <si>
    <t>Elgyem is a Psychic type Pokémon introduced in Generation 5. It is known as the Cerebral Pokémon.</t>
  </si>
  <si>
    <t>606</t>
  </si>
  <si>
    <t>Beheeyem</t>
  </si>
  <si>
    <t>Beheeyem is a Psychic type Pokémon introduced in Generation 5. It is known as the Cerebral Pokémon.</t>
  </si>
  <si>
    <t>607</t>
  </si>
  <si>
    <t>Candle Pokémon</t>
  </si>
  <si>
    <t>Litwick</t>
  </si>
  <si>
    <t>Litwick is a Ghost/Fire type Pokémon introduced in Generation 5. It is known as the Candle Pokémon.</t>
  </si>
  <si>
    <t>608</t>
  </si>
  <si>
    <t>Lamp Pokémon</t>
  </si>
  <si>
    <t>Lampent</t>
  </si>
  <si>
    <t>Lampent is a Ghost/Fire type Pokémon introduced in Generation 5. It is known as the Lamp Pokémon.</t>
  </si>
  <si>
    <t>609</t>
  </si>
  <si>
    <t>Luring Pokémon</t>
  </si>
  <si>
    <t>Chandelure</t>
  </si>
  <si>
    <t>Chandelure is a Ghost/Fire type Pokémon introduced in Generation 5. It is known as the Luring Pokémon.</t>
  </si>
  <si>
    <t>61</t>
  </si>
  <si>
    <t>Poliwhirl</t>
  </si>
  <si>
    <t>Poliwhirl is a Water type Pokémon introduced in Generation 1. It is known as the Tadpole Pokémon.</t>
  </si>
  <si>
    <t>610</t>
  </si>
  <si>
    <t>Tusk Pokémon</t>
  </si>
  <si>
    <t>Axew</t>
  </si>
  <si>
    <t>Axew is a Dragon type Pokémon introduced in Generation 5. It is known as the Tusk Pokémon.</t>
  </si>
  <si>
    <t>611</t>
  </si>
  <si>
    <t>Axe Jaw Pokémon</t>
  </si>
  <si>
    <t>Fraxure</t>
  </si>
  <si>
    <t>Fraxure is a Dragon type Pokémon introduced in Generation 5. It is known as the Axe Jaw Pokémon.</t>
  </si>
  <si>
    <t>612</t>
  </si>
  <si>
    <t>Haxorus</t>
  </si>
  <si>
    <t>Haxorus is a Dragon type Pokémon introduced in Generation 5. It is known as the Axe Jaw Pokémon.</t>
  </si>
  <si>
    <t>613</t>
  </si>
  <si>
    <t>Chill Pokémon</t>
  </si>
  <si>
    <t>Cubchoo</t>
  </si>
  <si>
    <t>Cubchoo is an Ice type Pokémon introduced in Generation 5. It is known as the Chill Pokémon.</t>
  </si>
  <si>
    <t>614</t>
  </si>
  <si>
    <t>Freezing Pokémon</t>
  </si>
  <si>
    <t>Beartic</t>
  </si>
  <si>
    <t>Beartic is an Ice type Pokémon introduced in Generation 5. It is known as the Freezing Pokémon.</t>
  </si>
  <si>
    <t>615</t>
  </si>
  <si>
    <t>Crystallizing Pokémon</t>
  </si>
  <si>
    <t>Cryogonal</t>
  </si>
  <si>
    <t>Cryogonal is an Ice type Pokémon introduced in Generation 5. It is known as the Crystallizing Pokémon.</t>
  </si>
  <si>
    <t>616</t>
  </si>
  <si>
    <t>Snail Pokémon</t>
  </si>
  <si>
    <t>Shelmet</t>
  </si>
  <si>
    <t>Shelmet is a Bug type Pokémon introduced in Generation 5. It is known as the Snail Pokémon.</t>
  </si>
  <si>
    <t>617</t>
  </si>
  <si>
    <t>Shell Out Pokémon</t>
  </si>
  <si>
    <t>Accelgor</t>
  </si>
  <si>
    <t>Accelgor is a Bug type Pokémon introduced in Generation 5. It is known as the Shell Out Pokémon.</t>
  </si>
  <si>
    <t>618</t>
  </si>
  <si>
    <t>Trap Pokémon</t>
  </si>
  <si>
    <t>Stunfisk</t>
  </si>
  <si>
    <t>Stunfisk is a Ground/Electric type Pokémon introduced in Generation 5. It is known as the Trap Pokémon.</t>
  </si>
  <si>
    <t>619</t>
  </si>
  <si>
    <t>Martial Arts Pokémon</t>
  </si>
  <si>
    <t>Mienfoo</t>
  </si>
  <si>
    <t>Mienfoo is a Fighting type Pokémon introduced in Generation 5. It is known as the Martial Arts Pokémon.</t>
  </si>
  <si>
    <t>62</t>
  </si>
  <si>
    <t>Poliwrath</t>
  </si>
  <si>
    <t>Poliwrath is a Water/Fighting type Pokémon introduced in Generation 1. It is known as the Tadpole Pokémon.</t>
  </si>
  <si>
    <t>620</t>
  </si>
  <si>
    <t>Mienshao</t>
  </si>
  <si>
    <t>Mienshao is a Fighting type Pokémon introduced in Generation 5. It is known as the Martial Arts Pokémon.</t>
  </si>
  <si>
    <t>621</t>
  </si>
  <si>
    <t>Druddigon</t>
  </si>
  <si>
    <t>Druddigon is a Dragon type Pokémon introduced in Generation 5. It is known as the Cave Pokémon.</t>
  </si>
  <si>
    <t>622</t>
  </si>
  <si>
    <t>Automaton Pokémon</t>
  </si>
  <si>
    <t>Golett</t>
  </si>
  <si>
    <t>Golett is a Ground/Ghost type Pokémon introduced in Generation 5. It is known as the Automaton Pokémon.</t>
  </si>
  <si>
    <t>623</t>
  </si>
  <si>
    <t>Golurk</t>
  </si>
  <si>
    <t>Golurk is a Ground/Ghost type Pokémon introduced in Generation 5. It is known as the Automaton Pokémon.</t>
  </si>
  <si>
    <t>624</t>
  </si>
  <si>
    <t>Sharp Blade Pokémon</t>
  </si>
  <si>
    <t>Pawniard</t>
  </si>
  <si>
    <t>Pawniard is a Dark/Steel type Pokémon introduced in Generation 5. It is known as the Sharp Blade Pokémon.</t>
  </si>
  <si>
    <t>625</t>
  </si>
  <si>
    <t>Sword Blade Pokémon</t>
  </si>
  <si>
    <t>Bisharp</t>
  </si>
  <si>
    <t>Bisharp is a Dark/Steel type Pokémon introduced in Generation 5. It is known as the Sword Blade Pokémon.</t>
  </si>
  <si>
    <t>626</t>
  </si>
  <si>
    <t>Bash Buffalo Pokémon</t>
  </si>
  <si>
    <t>Bouffalant</t>
  </si>
  <si>
    <t>Bouffalant is a Normal type Pokémon introduced in Generation 5. It is known as the Bash Buffalo Pokémon.</t>
  </si>
  <si>
    <t>627</t>
  </si>
  <si>
    <t>Eaglet Pokémon</t>
  </si>
  <si>
    <t>Rufflet</t>
  </si>
  <si>
    <t>Rufflet is a Normal/Flying type Pokémon introduced in Generation 5. It is known as the Eaglet Pokémon.</t>
  </si>
  <si>
    <t>628</t>
  </si>
  <si>
    <t>Valiant Pokémon</t>
  </si>
  <si>
    <t>Braviary</t>
  </si>
  <si>
    <t>Braviary is a Normal/Flying type Pokémon introduced in Generation 5. It is known as the Valiant Pokémon.</t>
  </si>
  <si>
    <t>629</t>
  </si>
  <si>
    <t>Diapered Pokémon</t>
  </si>
  <si>
    <t>Vullaby</t>
  </si>
  <si>
    <t>Vullaby is a Dark/Flying type Pokémon introduced in Generation 5. It is known as the Diapered Pokémon.</t>
  </si>
  <si>
    <t>63</t>
  </si>
  <si>
    <t>Psi Pokémon</t>
  </si>
  <si>
    <t>Abra</t>
  </si>
  <si>
    <t>Abra is a Psychic type Pokémon introduced in Generation 1. It is known as the Psi Pokémon.</t>
  </si>
  <si>
    <t>630</t>
  </si>
  <si>
    <t>Bone Vulture Pokémon</t>
  </si>
  <si>
    <t>Mandibuzz</t>
  </si>
  <si>
    <t>Mandibuzz is a Dark/Flying type Pokémon introduced in Generation 5. It is known as the Bone Vulture Pokémon.</t>
  </si>
  <si>
    <t>631</t>
  </si>
  <si>
    <t>Anteater Pokémon</t>
  </si>
  <si>
    <t>Heatmor</t>
  </si>
  <si>
    <t>Heatmor is a Fire type Pokémon introduced in Generation 5. It is known as the Anteater Pokémon.</t>
  </si>
  <si>
    <t>632</t>
  </si>
  <si>
    <t>Iron Ant Pokémon</t>
  </si>
  <si>
    <t>Durant</t>
  </si>
  <si>
    <t>Durant is a Bug/Steel type Pokémon introduced in Generation 5. It is known as the Iron Ant Pokémon.</t>
  </si>
  <si>
    <t>633</t>
  </si>
  <si>
    <t>Irate Pokémon</t>
  </si>
  <si>
    <t>Deino</t>
  </si>
  <si>
    <t>Deino is a Dark/Dragon type Pokémon introduced in Generation 5. It is known as the Irate Pokémon.</t>
  </si>
  <si>
    <t>634</t>
  </si>
  <si>
    <t>Zweilous</t>
  </si>
  <si>
    <t>Zweilous is a Dark/Dragon type Pokémon introduced in Generation 5. It is known as the Hostile Pokémon.</t>
  </si>
  <si>
    <t>635</t>
  </si>
  <si>
    <t>Hydreigon</t>
  </si>
  <si>
    <t>Hydreigon is a Dark/Dragon type Pokémon introduced in Generation 5. It is known as the Brutal Pokémon.</t>
  </si>
  <si>
    <t>636</t>
  </si>
  <si>
    <t>Torch Pokémon</t>
  </si>
  <si>
    <t>Larvesta</t>
  </si>
  <si>
    <t>Larvesta is a Bug/Fire type Pokémon introduced in Generation 5. It is known as the Torch Pokémon.</t>
  </si>
  <si>
    <t>637</t>
  </si>
  <si>
    <t>Volcarona</t>
  </si>
  <si>
    <t>Volcarona is a Bug/Fire type Pokémon introduced in Generation 5. It is known as the Sun Pokémon.</t>
  </si>
  <si>
    <t>638</t>
  </si>
  <si>
    <t>Iron Will Pokémon</t>
  </si>
  <si>
    <t>Cobalion</t>
  </si>
  <si>
    <t>Cobalion is a Steel/Fighting type Pokémon introduced in Generation 5. It is known as the Iron Will Pokémon.</t>
  </si>
  <si>
    <t>639</t>
  </si>
  <si>
    <t>Cavern Pokémon</t>
  </si>
  <si>
    <t>Terrakion</t>
  </si>
  <si>
    <t>Terrakion is a Rock/Fighting type Pokémon introduced in Generation 5. It is known as the Cavern Pokémon.</t>
  </si>
  <si>
    <t>64</t>
  </si>
  <si>
    <t>Kadabra</t>
  </si>
  <si>
    <t>Kadabra is a Psychic type Pokémon introduced in Generation 1. It is known as the Psi Pokémon.</t>
  </si>
  <si>
    <t>640</t>
  </si>
  <si>
    <t>Grassland Pokémon</t>
  </si>
  <si>
    <t>Virizion</t>
  </si>
  <si>
    <t>Virizion is a Grass/Fighting type Pokémon introduced in Generation 5. It is known as the Grassland Pokémon.</t>
  </si>
  <si>
    <t>641</t>
  </si>
  <si>
    <t>Cyclone Pokémon</t>
  </si>
  <si>
    <t>Incarnate Forme</t>
  </si>
  <si>
    <t>Tornadus is a Flying type Pokémon introduced in Generation 5. It is known as the Cyclone Pokémon.</t>
  </si>
  <si>
    <t>Therian Forme</t>
  </si>
  <si>
    <t>642</t>
  </si>
  <si>
    <t>Bolt Strike Pokémon</t>
  </si>
  <si>
    <t>Thundurus is an Electric/Flying type Pokémon introduced in Generation 5. It is known as the Bolt Strike Pokémon.</t>
  </si>
  <si>
    <t>643</t>
  </si>
  <si>
    <t>Vast White Pokémon</t>
  </si>
  <si>
    <t>Reshiram</t>
  </si>
  <si>
    <t>Reshiram is a Dragon/Fire type Pokémon introduced in Generation 5. It is known as the Vast White Pokémon.</t>
  </si>
  <si>
    <t>644</t>
  </si>
  <si>
    <t>Deep Black Pokémon</t>
  </si>
  <si>
    <t>Zekrom</t>
  </si>
  <si>
    <t>Zekrom is a Dragon/Electric type Pokémon introduced in Generation 5. It is known as the Deep Black Pokémon.</t>
  </si>
  <si>
    <t>645</t>
  </si>
  <si>
    <t>Abundance Pokémon</t>
  </si>
  <si>
    <t>Landorus is a Ground/Flying type Pokémon introduced in Generation 5. It is known as the Abundance Pokémon.</t>
  </si>
  <si>
    <t>646</t>
  </si>
  <si>
    <t>Boundary Pokémon</t>
  </si>
  <si>
    <t>Black Kyurem</t>
  </si>
  <si>
    <t>Kyurem is a Dragon/Ice type Pokémon introduced in Generation 5. It is known as the Boundary Pokémon.</t>
  </si>
  <si>
    <t>Kyurem</t>
  </si>
  <si>
    <t>White Kyurem</t>
  </si>
  <si>
    <t>647</t>
  </si>
  <si>
    <t>Colt Pokémon</t>
  </si>
  <si>
    <t>Ordinary Forme</t>
  </si>
  <si>
    <t>Keldeo is a Water/Fighting type Pokémon introduced in Generation 5. It is known as the Colt Pokémon.</t>
  </si>
  <si>
    <t>Resolute Forme</t>
  </si>
  <si>
    <t>648</t>
  </si>
  <si>
    <t>Melody Pokémon</t>
  </si>
  <si>
    <t>Aria Forme</t>
  </si>
  <si>
    <t>Meloetta is a Normal/Psychic type Pokémon introduced in Generation 5. It is known as the Melody Pokémon.</t>
  </si>
  <si>
    <t>Pirouette Forme</t>
  </si>
  <si>
    <t>649</t>
  </si>
  <si>
    <t>Paleozoic Pokémon</t>
  </si>
  <si>
    <t>Genesect</t>
  </si>
  <si>
    <t>Genesect is a Bug/Steel type Pokémon introduced in Generation 5. It is known as the Paleozoic Pokémon.</t>
  </si>
  <si>
    <t>65</t>
  </si>
  <si>
    <t>Alakazam</t>
  </si>
  <si>
    <t>Alakazam is a Psychic type Pokémon introduced in Generation 1. It is known as the Psi Pokémon.
Alakazam has a Mega Evolution, available from X &amp; Y onwards.</t>
  </si>
  <si>
    <t>Mega Alakazam</t>
  </si>
  <si>
    <t>650</t>
  </si>
  <si>
    <t>Spiny Nut Pokémon</t>
  </si>
  <si>
    <t>Chespin</t>
  </si>
  <si>
    <t>Chespin is a Grass type Pokémon introduced in Generation 6. It is known as the Spiny Nut Pokémon.
Chespin has a tough shell covering its head and back. Despite having a curious nature that tends to get it in trouble, Chespin keeps an optimistic outlook and doesn't worry about small details.
Chespin evolves into Quilladin at level 16.</t>
  </si>
  <si>
    <t>651</t>
  </si>
  <si>
    <t>Spiny Armor Pokémon</t>
  </si>
  <si>
    <t>Quilladin</t>
  </si>
  <si>
    <t>Quilladin is a Grass type Pokémon introduced in Generation 6. It is known as the Spiny Armor Pokémon.
Upon evolution, the hard spikes on Quilladin's body grow even sturdier. Despite its prickly appearance, Quilladin is considered a gentle Pokémon that avoids battle.
Quilladin evolves from Chespin at level 16, and evolves into Chesnaught at level 36.</t>
  </si>
  <si>
    <t>652</t>
  </si>
  <si>
    <t>Chesnaught</t>
  </si>
  <si>
    <t>Chesnaught is a Grass/Fighting type Pokémon introduced in Generation 6. It is known as the Spiny Armor Pokémon.
Chesnaught evolves from Quilladin at level 36.</t>
  </si>
  <si>
    <t>653</t>
  </si>
  <si>
    <t>Fennekin</t>
  </si>
  <si>
    <t>Fennekin is a Fire type Pokémon introduced in Generation 6. It is known as the Fox Pokémon.
Fennekin can be temperamental, but it tries to do its best for its Trainer. Searing heat blows from its ears. This Pokémon loves to snack on twigs.
Fennekin evolves into Braixen at level 16.</t>
  </si>
  <si>
    <t>654</t>
  </si>
  <si>
    <t>Braixen</t>
  </si>
  <si>
    <t>Braixen is a Fire type Pokémon introduced in Generation 6. It is known as the Fox Pokémon.
Braixen no longer eats branches but it still keeps a tree branch in its tail, which seems to calm the Pokémon. It will occasionally wield the branch in battle and use friction to light it on fire.
Braixen evolves from Fennekin at level 16, and evolves into Delphox at level 36.</t>
  </si>
  <si>
    <t>655</t>
  </si>
  <si>
    <t>Delphox</t>
  </si>
  <si>
    <t>Delphox is a Fire/Psychic type Pokémon introduced in Generation 6. It is known as the Fox Pokémon.
Delphox evolves from Braixen at level 36.</t>
  </si>
  <si>
    <t>656</t>
  </si>
  <si>
    <t>Bubble Frog Pokémon</t>
  </si>
  <si>
    <t>Froakie</t>
  </si>
  <si>
    <t>Froakie is a Water type Pokémon introduced in Generation 6. It is known as the Bubble Frog Pokémon.
Froakie is both light and strong, making it capable of jumping incredibly high. The bubbles on its chest and back protect it from attacks. Froakie may appear absentminded, but in truth it pays close attention to its surroundings at all times.
Froakie evolves into Frogadier at level 16.</t>
  </si>
  <si>
    <t>657</t>
  </si>
  <si>
    <t>Frogadier</t>
  </si>
  <si>
    <t>Frogadier is a Water type Pokémon introduced in Generation 6. It is known as the Bubble Frog Pokémon.
During battle, Frogadier confounds its opponents by leaping about the ceiling or into trees. Its jumping skill improves greatly.
Frogadier evolves from Froakie at level 16, and evolves into Greninja at level 36.</t>
  </si>
  <si>
    <t>658</t>
  </si>
  <si>
    <t>Ash-Greninja</t>
  </si>
  <si>
    <t>Greninja is a Water/Dark type Pokémon introduced in Generation 6. It is known as the Ninja Pokémon.
Greninja evolves from Frogadier at level 36.
Greninja has a new form Ash-Greninja introduced in Pokémon Sun/Moon.</t>
  </si>
  <si>
    <t>Greninja</t>
  </si>
  <si>
    <t>659</t>
  </si>
  <si>
    <t>Digging Pokémon</t>
  </si>
  <si>
    <t>Bunnelby</t>
  </si>
  <si>
    <t>Bunnelby is a Normal type Pokémon introduced in Generation 6. It is known as the Digging Pokémon.
Bunnelby is based on a rabbit. It creates its den by digging in the ground with its large, shovel-shaped ears. They are strong enough to chop right through thick tree roots.
Bunnelby evolves into Diggersby at level 20.</t>
  </si>
  <si>
    <t>66</t>
  </si>
  <si>
    <t>Superpower Pokémon</t>
  </si>
  <si>
    <t>Machop</t>
  </si>
  <si>
    <t>Machop is a Fighting type Pokémon introduced in Generation 1. It is known as the Superpower Pokémon.</t>
  </si>
  <si>
    <t>660</t>
  </si>
  <si>
    <t>Diggersby</t>
  </si>
  <si>
    <t>Diggersby is a Normal/Ground type Pokémon introduced in Generation 6. It is known as the Digging Pokémon.
Diggersby evolves from Bunnelby at level 20.</t>
  </si>
  <si>
    <t>661</t>
  </si>
  <si>
    <t>Tiny Robin Pokémon</t>
  </si>
  <si>
    <t>Fletchling</t>
  </si>
  <si>
    <t>Fletchling is a Normal/Flying type Pokémon introduced in Generation 6. It is known as the Tiny Robin Pokémon.
It has a friendly nature and a beautiful chirp, but Fletchling is also known to be ferocious in battle, capable of unleashing relentless attacks.
It evolves into Fletchinder at level 17.</t>
  </si>
  <si>
    <t>662</t>
  </si>
  <si>
    <t>Fletchinder</t>
  </si>
  <si>
    <t>Fletchinder is a Fire/Flying type Pokémon introduced in Generation 6. It is known as the Ember Pokémon.
Fletchinder evolves from Fletchling at level 17 and evolves into Talonflame at level 35.</t>
  </si>
  <si>
    <t>663</t>
  </si>
  <si>
    <t>Scorching Pokémon</t>
  </si>
  <si>
    <t>Talonflame</t>
  </si>
  <si>
    <t>Talonflame is a Fire/Flying type Pokémon introduced in Generation 6. It is known as the Scorching Pokémon.
It dives at foes, and then attacks with devastating kicks.
It evolves from Fletchinder at level 35.</t>
  </si>
  <si>
    <t>664</t>
  </si>
  <si>
    <t>Scatterdust Pokémon</t>
  </si>
  <si>
    <t>Scatterbug</t>
  </si>
  <si>
    <t>Scatterbug is a Bug type Pokémon introduced in Generation 6. It is known as the Scatterdust Pokémon.
Scatterbug resides mostly in forests and wild plains. It uses the fur around its neck to control its body temperature.</t>
  </si>
  <si>
    <t>665</t>
  </si>
  <si>
    <t>Spewpa</t>
  </si>
  <si>
    <t>Spewpa is a Bug type Pokémon introduced in Generation 6. It is known as the Scatterdust Pokémon.</t>
  </si>
  <si>
    <t>666</t>
  </si>
  <si>
    <t>Scale Pokémon</t>
  </si>
  <si>
    <t>Vivillon</t>
  </si>
  <si>
    <t>Vivillon is a Bug/Flying type Pokémon introduced in Generation 6. It is known as the Scale Pokémon.
Vivillon has 18 different forms, depending on the region set on the 3DS. (Once encountered, changing the region does not change the form found.) There are also two event-exclusive patterns. The forms are:
Meadow Pattern
Garden Pattern
Archipelago Pattern
Continental Pattern
Elegant Pattern
High Plains Pattern
Icy Snow Pattern
Jungle Pattern
Marine Pattern
Modern Pattern
Monsoon Pattern
Ocean Pattern
Polar Pattern
River Pattern
Sandstorm Pattern
Savanna Pattern
Sun Pattern
Tundra Pattern
Poké Ball Pattern (event)
Fancy Pattern (event)</t>
  </si>
  <si>
    <t>667</t>
  </si>
  <si>
    <t>Lion Cub Pokémon</t>
  </si>
  <si>
    <t>Litleo</t>
  </si>
  <si>
    <t>Litleo is a Fire/Normal type Pokémon introduced in Generation 6. It is known as the Lion Cub Pokémon.
Its mane blazes with heat during battle, burning hotter and hotter the stronger its opponent.</t>
  </si>
  <si>
    <t>668</t>
  </si>
  <si>
    <t>Pyroar</t>
  </si>
  <si>
    <t>Pyroar is a Fire/Normal type Pokémon introduced in Generation 6. It is known as the Royal Pokémon.
Male and female Pyroar have different forms - the male has a large mane, while the female is more sleek. Both have the same stats/attributes.</t>
  </si>
  <si>
    <t>669</t>
  </si>
  <si>
    <t>Single Bloom Pokémon</t>
  </si>
  <si>
    <t>Flabébé</t>
  </si>
  <si>
    <t>Flabébé is a Fairy type Pokémon introduced in Generation 6. It is known as the Single Bloom Pokémon.
Flabébé has several forms, based on the flower it is holding. They are each found in wild flower patches corresponding to its color. The forms are: Yellow Flower, Red Flower, Orange Flower, Blue Flower and White Flower.</t>
  </si>
  <si>
    <t>67</t>
  </si>
  <si>
    <t>Machoke</t>
  </si>
  <si>
    <t>Machoke is a Fighting type Pokémon introduced in Generation 1. It is known as the Superpower Pokémon.</t>
  </si>
  <si>
    <t>670</t>
  </si>
  <si>
    <t>Floette</t>
  </si>
  <si>
    <t>Floette is a Fairy type Pokémon introduced in Generation 6. It is known as the Single Bloom Pokémon.
Like Flabébé, Floette has several forms: Yellow Flower, Red Flower, Orange Flower, Blue Flower and White Flower.</t>
  </si>
  <si>
    <t>671</t>
  </si>
  <si>
    <t>Garden Pokémon</t>
  </si>
  <si>
    <t>Florges</t>
  </si>
  <si>
    <t>Florges is a Fairy type Pokémon introduced in Generation 6. It is known as the Garden Pokémon.
Like Flabébé, Florges has several forms: Yellow Flower, Red Flower, Orange Flower, Blue Flower and White Flower.</t>
  </si>
  <si>
    <t>672</t>
  </si>
  <si>
    <t>Mount Pokémon</t>
  </si>
  <si>
    <t>Skiddo</t>
  </si>
  <si>
    <t>Skiddo is a Grass type Pokémon introduced in Generation 6. It is known as the Mount Pokémon.
Skiddo is said to have been the first Pokémon to live alongside humans. It has become able to read the feelings of its riders through their grip on its horns.</t>
  </si>
  <si>
    <t>673</t>
  </si>
  <si>
    <t>Gogoat</t>
  </si>
  <si>
    <t>Gogoat is a Grass type Pokémon introduced in Generation 6. It is known as the Mount Pokémon.
Gogoat is so large that people are able to ride on its back. It's very calm, and can form a strong bond with its Trainer's feelings when its Trainer grabs onto its horns.</t>
  </si>
  <si>
    <t>674</t>
  </si>
  <si>
    <t>Pancham</t>
  </si>
  <si>
    <t>Pancham is a Fighting type Pokémon introduced in Generation 6. It is known as the Playful Pokémon.
With its trademark leaf always sticking out of its mouth, Pancham tries to intimidate its opponents by glaring at them intensely (although this is rarely successful).</t>
  </si>
  <si>
    <t>675</t>
  </si>
  <si>
    <t>Daunting Pokémon</t>
  </si>
  <si>
    <t>Pangoro</t>
  </si>
  <si>
    <t>Pangoro is a Fighting/Dark type Pokémon introduced in Generation 6. It is known as the Daunting Pokémon.
Pangoro is a cantankerous Pokémon, but it has a strong heart and doesn't forgive those who pick on the weak.</t>
  </si>
  <si>
    <t>676</t>
  </si>
  <si>
    <t>Poodle Pokémon</t>
  </si>
  <si>
    <t>Furfrou</t>
  </si>
  <si>
    <t>Furfrou is a Normal type Pokémon introduced in Generation 6. It is known as the Poodle Pokémon.
Furfrou can have its appearance changed by grooming. There are number of different appearances it can take, and the more it's groomed, the more styles become available.
Furfrou is also considered very intelligent and loyal to its Trainer. It's said that in ancient times, Furfrou guarded the king of Kalos.</t>
  </si>
  <si>
    <t>677</t>
  </si>
  <si>
    <t>Restraint Pokémon</t>
  </si>
  <si>
    <t>Espurr</t>
  </si>
  <si>
    <t>Espurr is a Psychic type Pokémon introduced in Generation 6. It is known as the Restraint Pokémon.
The organ that emits its intense psychic power is sheltered by its ears to keep power from leaking out.</t>
  </si>
  <si>
    <t>678</t>
  </si>
  <si>
    <t>Constraint Pokémon</t>
  </si>
  <si>
    <t>Female</t>
  </si>
  <si>
    <t>Meowstic is a Psychic type Pokémon introduced in Generation 6. It is known as the Constraint Pokémon.
Meowstic is based on a cat. The organs within Meowstic's ears possess a formidable psychic power, so it usually keeps them clamped shut. But when Meowstic is threatened, it will lift its ears and release this power.
Meowstic has different forms depending on its gender. The male is mainly blue and learns more defensive moves; the female is mainly white and learns more attacking moves.</t>
  </si>
  <si>
    <t>Male</t>
  </si>
  <si>
    <t>679</t>
  </si>
  <si>
    <t>Sword Pokémon</t>
  </si>
  <si>
    <t>Honedge</t>
  </si>
  <si>
    <t>Honedge is a Steel/Ghost type Pokémon introduced in Generation 6. It is known as the Sword Pokémon.</t>
  </si>
  <si>
    <t>68</t>
  </si>
  <si>
    <t>Machamp</t>
  </si>
  <si>
    <t>Machamp is a Fighting type Pokémon introduced in Generation 1. It is known as the Superpower Pokémon.</t>
  </si>
  <si>
    <t>680</t>
  </si>
  <si>
    <t>Doublade</t>
  </si>
  <si>
    <t>Doublade is a Steel/Ghost type Pokémon introduced in Generation 6. It is known as the Sword Pokémon.
Doublade is capable of carrying out intricate attacks by telepathically coordinating its two blades to deliver twice the slice in battle.</t>
  </si>
  <si>
    <t>681</t>
  </si>
  <si>
    <t>Royal Sword Pokémon</t>
  </si>
  <si>
    <t>Blade Forme</t>
  </si>
  <si>
    <t>Aegislash is a Steel/Ghost type Pokémon introduced in Generation 6. It is known as the Royal Sword Pokémon.
Aegislash has two different forms - Shield Forme, which is more defensive, and Blade Forme, which is more offensive. Its ability, Stance Change, causes Aegislash to change into Shield Forme when a defensive move is used, or change into Blade Forme when an attacking move is used.</t>
  </si>
  <si>
    <t>Shield Forme</t>
  </si>
  <si>
    <t>682</t>
  </si>
  <si>
    <t>Perfume Pokémon</t>
  </si>
  <si>
    <t>Spritzee</t>
  </si>
  <si>
    <t>Spritzee is a Fairy type Pokémon introduced in Generation 6. It is known as the Perfume Pokémon.
It emits a unique fragrance from its body, and any who smell it fall under its spell.</t>
  </si>
  <si>
    <t>683</t>
  </si>
  <si>
    <t>Fragrance Pokémon</t>
  </si>
  <si>
    <t>Aromatisse</t>
  </si>
  <si>
    <t>Aromatisse is a Fairy type Pokémon introduced in Generation 6. It is known as the Fragrance Pokémon.
Aromatisse can give off a variety of different smells, from a pleasant fragrance to an odor so repugnant to its opponent that it can turn a battle in its favor.</t>
  </si>
  <si>
    <t>684</t>
  </si>
  <si>
    <t>Cotton Candy Pokémon</t>
  </si>
  <si>
    <t>Swirlix</t>
  </si>
  <si>
    <t>Swirlix is a Fairy type Pokémon introduced in Generation 6. It is known as the Cotton Candy Pokémon.
It loves sweets and eats nothing else, making its body as sweet and sticky as cotton candy.</t>
  </si>
  <si>
    <t>685</t>
  </si>
  <si>
    <t>Meringue Pokémon</t>
  </si>
  <si>
    <t>Slurpuff</t>
  </si>
  <si>
    <t>Slurpuff is a Fairy type Pokémon introduced in Generation 6. It is known as the Meringue Pokémon.
Slurpuff has an unbelievable sense of smell - a hundred million times more sensitive than that of humans. With its highly attuned senses, it can distinguish the faintest of odors.</t>
  </si>
  <si>
    <t>686</t>
  </si>
  <si>
    <t>Revolving Pokémon</t>
  </si>
  <si>
    <t>Inkay</t>
  </si>
  <si>
    <t>Inkay is a Dark/Psychic type Pokémon introduced in Generation 6. It is known as the Revolving Pokémon.
Transmitters above Inkay's eyes have the ability to drain the will to fight from other Pokémon. It uses this skill to run and hide when attacked by stronger enemies.</t>
  </si>
  <si>
    <t>687</t>
  </si>
  <si>
    <t>Overturning Pokémon</t>
  </si>
  <si>
    <t>Malamar</t>
  </si>
  <si>
    <t>Malamar is a Dark/Psychic type Pokémon introduced in Generation 6. It is known as the Overturning Pokémon.
Malamar wields some of the strongest hypnotic powers of any Pokémon and can make its opponents bend to its will.</t>
  </si>
  <si>
    <t>688</t>
  </si>
  <si>
    <t>Two-Handed Pokémon</t>
  </si>
  <si>
    <t>Binacle</t>
  </si>
  <si>
    <t>Binacle is a Rock/Water type Pokémon introduced in Generation 6. It is known as the Two-Handed Pokémon.</t>
  </si>
  <si>
    <t>689</t>
  </si>
  <si>
    <t>Collective Pokémon</t>
  </si>
  <si>
    <t>Barbaracle</t>
  </si>
  <si>
    <t>Barbaracle is a Rock/Water type Pokémon introduced in Generation 6. It is known as the Collective Pokémon.</t>
  </si>
  <si>
    <t>69</t>
  </si>
  <si>
    <t>Bellsprout</t>
  </si>
  <si>
    <t>Bellsprout is a Grass/Poison type Pokémon introduced in Generation 1. It is known as the Flower Pokémon.</t>
  </si>
  <si>
    <t>690</t>
  </si>
  <si>
    <t>Mock Kelp Pokémon</t>
  </si>
  <si>
    <t>Skrelp</t>
  </si>
  <si>
    <t>Skrelp is a Poison/Water type Pokémon introduced in Generation 6. It is known as the Mock Kelp Pokémon.
Disguised by its shape, Skrelp pretends to be a piece of seaweed. When prey gets too close, Skrelp bathes it in poison to keep it from struggling.</t>
  </si>
  <si>
    <t>691</t>
  </si>
  <si>
    <t>Dragalge</t>
  </si>
  <si>
    <t>Dragalge is a Poison/Dragon type Pokémon introduced in Generation 6. It is known as the Mock Kelp Pokémon.
Tales are told of ships that wander into seas where Dragalge live, never to return.
When Dragalge evolves from Skrelp, its loses its Water type and gains Dragon type.</t>
  </si>
  <si>
    <t>692</t>
  </si>
  <si>
    <t>Water Gun Pokémon</t>
  </si>
  <si>
    <t>Clauncher</t>
  </si>
  <si>
    <t>Clauncher is a Water type Pokémon introduced in Generation 6. It is known as the Water Gun Pokémon.
It has an oversized claw on one of its arms. This useful claw can seize prey and shoot water at others as a projectile.</t>
  </si>
  <si>
    <t>693</t>
  </si>
  <si>
    <t>Howitzer Pokémon</t>
  </si>
  <si>
    <t>Clawitzer</t>
  </si>
  <si>
    <t>Clawitzer is a Water type Pokémon introduced in Generation 6. It is known as the Howitzer Pokémon.</t>
  </si>
  <si>
    <t>694</t>
  </si>
  <si>
    <t>Generator Pokémon</t>
  </si>
  <si>
    <t>Helioptile</t>
  </si>
  <si>
    <t>Helioptile is an Electric/Normal type Pokémon introduced in Generation 6. It is known as the Generator Pokémon.
It charges itself by bathing in the light of the sun, providing it with enough energy that it doesn't need to eat.</t>
  </si>
  <si>
    <t>695</t>
  </si>
  <si>
    <t>Heliolisk</t>
  </si>
  <si>
    <t>Heliolisk is an Electric/Normal type Pokémon introduced in Generation 6. It is known as the Generator Pokémon.</t>
  </si>
  <si>
    <t>696</t>
  </si>
  <si>
    <t>Royal Heir Pokémon</t>
  </si>
  <si>
    <t>Tyrunt</t>
  </si>
  <si>
    <t>Tyrunt is a Rock/Dragon type Pokémon introduced in Generation 6. It is known as the Royal Heir Pokémon.
It's believed that Tyrunt is over one hundred million years old. The Pokémon is known to be a bit selfish, and will throw a fit when it doesn't like something.
Tyrunt is obtained by reviving it from the Jaw Fossil.</t>
  </si>
  <si>
    <t>697</t>
  </si>
  <si>
    <t>Despot Pokémon</t>
  </si>
  <si>
    <t>Tyrantrum</t>
  </si>
  <si>
    <t>Tyrantrum is a Rock/Dragon type Pokémon introduced in Generation 6. It is known as the Despot Pokémon.
Tyrantrum's jaws can shred thick metal plates as if they were paper.</t>
  </si>
  <si>
    <t>698</t>
  </si>
  <si>
    <t>Tundra Pokémon</t>
  </si>
  <si>
    <t>Amaura</t>
  </si>
  <si>
    <t>Amaura is a Rock/Ice type Pokémon introduced in Generation 6. It is known as the Tundra Pokémon.
It's believed that Amaura is over one hundred million years old.
Amaura is obtained by reviving it from the Sail Fossil.</t>
  </si>
  <si>
    <t>699</t>
  </si>
  <si>
    <t>Aurorus</t>
  </si>
  <si>
    <t>Aurorus is a Rock/Ice type Pokémon introduced in Generation 6. It is known as the Tundra Pokémon.
Aurorus can blast freezing cold air to form a wall of ice to protect itself from attacks.</t>
  </si>
  <si>
    <t>7</t>
  </si>
  <si>
    <t>Tiny Turtle Pokémon</t>
  </si>
  <si>
    <t>Squirtle</t>
  </si>
  <si>
    <t>Squirtle is a Water type Pokémon introduced in Generation 1. It is known as the Tiny Turtle Pokémon.</t>
  </si>
  <si>
    <t>70</t>
  </si>
  <si>
    <t>Flycatcher Pokémon</t>
  </si>
  <si>
    <t>Weepinbell</t>
  </si>
  <si>
    <t>Weepinbell is a Grass/Poison type Pokémon introduced in Generation 1. It is known as the Flycatcher Pokémon.</t>
  </si>
  <si>
    <t>700</t>
  </si>
  <si>
    <t>Intertwining Pokémon</t>
  </si>
  <si>
    <t>Sylveon</t>
  </si>
  <si>
    <t>Sylveon is a Fairy type Pokémon introduced in Generation 6. It is known as the Intertwining Pokémon.</t>
  </si>
  <si>
    <t>701</t>
  </si>
  <si>
    <t>Wrestling Pokémon</t>
  </si>
  <si>
    <t>Hawlucha</t>
  </si>
  <si>
    <t>Hawlucha is a Fighting/Flying type Pokémon introduced in Generation 6. It is known as the Wrestling Pokémon.</t>
  </si>
  <si>
    <t>702</t>
  </si>
  <si>
    <t>Antenna Pokémon</t>
  </si>
  <si>
    <t>Dedenne</t>
  </si>
  <si>
    <t>Dedenne is an Electric/Fairy type Pokémon introduced in Generation 6. It is known as the Antenna Pokémon.
By emitting radio waves from its antenna-shaped whiskers, it can communicate with far-off allies. Dedenne can also plug its tail into outlets to drain electricity from them.</t>
  </si>
  <si>
    <t>703</t>
  </si>
  <si>
    <t>Jewel Pokémon</t>
  </si>
  <si>
    <t>Carbink</t>
  </si>
  <si>
    <t>Carbink is a Rock/Fairy type Pokémon introduced in Generation 6. It is known as the Jewel Pokémon.</t>
  </si>
  <si>
    <t>704</t>
  </si>
  <si>
    <t>Soft Tissue Pokémon</t>
  </si>
  <si>
    <t>Goomy</t>
  </si>
  <si>
    <t>Goomy is a Dragon type Pokémon introduced in Generation 6. It is known as the Soft Tissue Pokémon.
Goomy is covered in a slimy membrane that makes any punches or kicks slide off it harmlessly.</t>
  </si>
  <si>
    <t>705</t>
  </si>
  <si>
    <t>Sliggoo</t>
  </si>
  <si>
    <t>Sliggoo is a Dragon type Pokémon introduced in Generation 6. It is known as the Soft Tissue Pokémon.
Its four horns are a high-performance radar system. It uses them to sense sounds and smells.</t>
  </si>
  <si>
    <t>706</t>
  </si>
  <si>
    <t>Goodra</t>
  </si>
  <si>
    <t>Goodra is a Dragon type Pokémon introduced in Generation 6. It is known as the Dragon Pokémon.</t>
  </si>
  <si>
    <t>707</t>
  </si>
  <si>
    <t>Key Ring Pokémon</t>
  </si>
  <si>
    <t>Klefki</t>
  </si>
  <si>
    <t>Klefki is a Steel/Fairy type Pokémon introduced in Generation 6. It is known as the Key Ring Pokémon.
Klefki never lets go of a key that it likes, so people give it the keys to vaults and safes as a way to prevent crime.</t>
  </si>
  <si>
    <t>708</t>
  </si>
  <si>
    <t>Stump Pokémon</t>
  </si>
  <si>
    <t>Phantump</t>
  </si>
  <si>
    <t>Phantump is a Ghost/Grass type Pokémon introduced in Generation 6. It is known as the Stump Pokémon.
According to old tales, Phantump are stumps possessed by the spirits of children who died while lost in the forest.</t>
  </si>
  <si>
    <t>709</t>
  </si>
  <si>
    <t>Elder Tree Pokémon</t>
  </si>
  <si>
    <t>Trevenant</t>
  </si>
  <si>
    <t>Trevenant is a Ghost/Grass type Pokémon introduced in Generation 6. It is known as the Elder Tree Pokémon.</t>
  </si>
  <si>
    <t>71</t>
  </si>
  <si>
    <t>Victreebel</t>
  </si>
  <si>
    <t>Victreebel is a Grass/Poison type Pokémon introduced in Generation 1. It is known as the Flycatcher Pokémon.</t>
  </si>
  <si>
    <t>710</t>
  </si>
  <si>
    <t>Pumpkin Pokémon</t>
  </si>
  <si>
    <t>Average Size</t>
  </si>
  <si>
    <t>Pumpkaboo is a Ghost/Grass type Pokémon introduced in Generation 6. It is known as the Pumpkin Pokémon.
Pumpkaboo are said to carry wandering spirits to the place where they belong so they can move on.</t>
  </si>
  <si>
    <t>Large Size</t>
  </si>
  <si>
    <t>Small Size</t>
  </si>
  <si>
    <t>Super Size</t>
  </si>
  <si>
    <t>711</t>
  </si>
  <si>
    <t>Gourgeist is a Ghost/Grass type Pokémon introduced in Generation 6. It is known as the Pumpkin Pokémon.</t>
  </si>
  <si>
    <t>712</t>
  </si>
  <si>
    <t>Ice Chunk Pokémon</t>
  </si>
  <si>
    <t>Bergmite</t>
  </si>
  <si>
    <t>Bergmite is an Ice type Pokémon introduced in Generation 6. It is known as the Ice Chunk Pokémon.
Using air of -150 degrees Farenheit, they freeze opponents solid.</t>
  </si>
  <si>
    <t>713</t>
  </si>
  <si>
    <t>Avalugg</t>
  </si>
  <si>
    <t>Avalugg is an Ice type Pokémon introduced in Generation 6. It is known as the Iceberg Pokémon.</t>
  </si>
  <si>
    <t>714</t>
  </si>
  <si>
    <t>Sound Wave Pokémon</t>
  </si>
  <si>
    <t>Noibat</t>
  </si>
  <si>
    <t>Noibat is a Flying/Dragon type Pokémon introduced in Generation 6. It is known as the Sound Wave Pokémon.</t>
  </si>
  <si>
    <t>715</t>
  </si>
  <si>
    <t>Noivern</t>
  </si>
  <si>
    <t>Noivern is a Flying/Dragon type Pokémon introduced in Generation 6. It is known as the Sound Wave Pokémon.
It is extremely combative toward anything that wanders too close to it. It flies through even the darkest nights using ultrasonic waves it emits from its ears. Noivern loves fruit, and feeding it fruit will keep it calm.</t>
  </si>
  <si>
    <t>716</t>
  </si>
  <si>
    <t>Life Pokémon</t>
  </si>
  <si>
    <t>Xerneas</t>
  </si>
  <si>
    <t>Xerneas is a Fairy type Pokémon introduced in Generation 6. It is known as the Life Pokémon.
Xerneas is a legendary Pokémon exclusive to Pokémon X.</t>
  </si>
  <si>
    <t>717</t>
  </si>
  <si>
    <t>Destruction Pokémon</t>
  </si>
  <si>
    <t>Yveltal</t>
  </si>
  <si>
    <t>Yveltal is a Dark/Flying type Pokémon introduced in Generation 6. It is known as the Destruction Pokémon.
Yveltal is a legendary Pokémon exclusive to Pokémon Y.</t>
  </si>
  <si>
    <t>718</t>
  </si>
  <si>
    <t>Order Pokémon</t>
  </si>
  <si>
    <t>10% Forme</t>
  </si>
  <si>
    <t>Zygarde is a Dragon/Ground type Pokémon introduced in Generation 6. It is known as the Order Pokémon.
Zygarde is a snake-like legendary Pokémon. Its ability Aura Break counters the effects of the abilities of Xerneas and Yveltal.
It was later revealed that Zygarde as seen in Pokémon X &amp; Y is in fact an alternate Forme. Zygarde has five different Formes in total:
Zygarde Cell are single cells that make up Zygarde. They cannot use any moves.
Zygarde Core is part of Zygarde's brain, and they are known to take action when the ecosystem changes.
Zygarde 10% Forme occurs when Zygarde Core gathers 10% of the Cells nearby. Capable of travelling over 60mph.
Zygarde 50% Forme occurs when Zygarde Core gathers 50% of the Cells nearby. This is the standard form.
Zygarde Complete Forme is the perfect form, which is more powerful than Xerneas and Yveltal. Zygarde takes this form when the ecosystem is under threat.</t>
  </si>
  <si>
    <t>50% Forme</t>
  </si>
  <si>
    <t>Complete Forme</t>
  </si>
  <si>
    <t>719</t>
  </si>
  <si>
    <t>Diancie</t>
  </si>
  <si>
    <t>Diancie is a Rock/Fairy type Pokémon introduced in Generation 6. It is known as the Jewel Pokémon.
Diancie is an event-exclusive Pokémon. It also has a Mega Evolution, available from Omega Ruby &amp; Alpha Sapphire onwards.</t>
  </si>
  <si>
    <t>Mega Diancie</t>
  </si>
  <si>
    <t>72</t>
  </si>
  <si>
    <t>Jellyfish Pokémon</t>
  </si>
  <si>
    <t>Tentacool</t>
  </si>
  <si>
    <t>Tentacool is a Water/Poison type Pokémon introduced in Generation 1. It is known as the Jellyfish Pokémon.</t>
  </si>
  <si>
    <t>720</t>
  </si>
  <si>
    <t>Djinn Pokémon</t>
  </si>
  <si>
    <t>Hoopa Unbound</t>
  </si>
  <si>
    <t>Hoopa is a Psychic/Ghost type Pokémon introduced in Generation 6. It is known as the Mischief Pokémon.
Hoopa is an event-exclusive Pokémon.</t>
  </si>
  <si>
    <t>Mischief Pokémon</t>
  </si>
  <si>
    <t>Hoopa Confined</t>
  </si>
  <si>
    <t>721</t>
  </si>
  <si>
    <t>Steam Pokémon</t>
  </si>
  <si>
    <t>Volcanion</t>
  </si>
  <si>
    <t>Volcanion is a Fire/Water type Pokémon introduced in Generation 6. It is known as the Steam Pokémon.
Volcanion is an event-exclusive Pokémon; full details are not yet known.</t>
  </si>
  <si>
    <t>722</t>
  </si>
  <si>
    <t>Grass Quill Pokémon</t>
  </si>
  <si>
    <t>Rowlet</t>
  </si>
  <si>
    <t>Rowlet is a Grass/Flying type Pokémon introduced in Generation 7. It is known as the Grass Quill Pokémon.
Rowlet can fly silently through the skies, sneaking up on its opponent without being noticed. It can attack its opponents using powerful kicks, and it can also attack from a distance using the razor-sharp leaves that form part of its feathers.
Rowlet can survey its environment and turn its neck nearly 180 degrees from front to back, so it can see directly behind itself. When in battle, Rowlet turns its head to face its Trainer when waiting for instructions.
Rowlet starts with the move Leafage.</t>
  </si>
  <si>
    <t>723</t>
  </si>
  <si>
    <t>Blade Quill Pokémon</t>
  </si>
  <si>
    <t>Dartrix</t>
  </si>
  <si>
    <t>Dartrix is a Grass/Flying type Pokémon introduced in Generation 7. It is known as the Blade Quill Pokémon.
Dartrix is extremely sensitive to other presences in the area and can detect opponents behind it and throw feathers to strike them without even seeing them. This Pokémon conceals sharp-bladed feathers inside its wings, showing astounding precision as it sends them flying in attack.</t>
  </si>
  <si>
    <t>724</t>
  </si>
  <si>
    <t>Arrow Quill Pokémon</t>
  </si>
  <si>
    <t>Decidueye</t>
  </si>
  <si>
    <t>Decidueye is a Grass/Ghost type Pokémon introduced in Generation 7. It is known as the Arrow Quill Pokémon.
Decidueye is able to move about while completely masking its presence from others. Once an opponent has lost sight of it, Decidueye seizes the chance to attack it unawares. In a tenth of a second, Decidueye plucks an arrow quill from within its wing and sends its hurtling toward its target.</t>
  </si>
  <si>
    <t>725</t>
  </si>
  <si>
    <t>Fire Cat Pokémon</t>
  </si>
  <si>
    <t>Litten</t>
  </si>
  <si>
    <t>Litten is a Fire type Pokémon introduced in Generation 7. It is known as the Fire Cat Pokémon.
The cool-headed Fire Cat Pokémon, Litten, is the next choice for a first-partner Pokémon. Litten's fur is rich in oils and is immensely flammable. It constantly grooms itself by licking its coat, collecting loose fur into balls. It then ignites these hairballs to create fireball attacks. When the time comes for Litten to molt, it burns off all of its fur in one glorious blaze.
Litten starts with the move Ember.</t>
  </si>
  <si>
    <t>726</t>
  </si>
  <si>
    <t>Torracat</t>
  </si>
  <si>
    <t>Torracat is a Fire type Pokémon introduced in Generation 7. It is known as the Fire Cat Pokémon.
The bell-like object attached at the base of Torracat's neck is a flame sac, an organ that can produce flames. Torracat's emotions cause a rise in the organ’s temperature, and when the organ spits flames, it rings with the high, clear sound of a bell. Torracat attacks using the flames emitted from this bell.</t>
  </si>
  <si>
    <t>727</t>
  </si>
  <si>
    <t>Heel Pokémon</t>
  </si>
  <si>
    <t>Incineroar</t>
  </si>
  <si>
    <t>Incineroar is a Fire/Dark type Pokémon introduced in Generation 7. It is known as the Heel Pokémon.
As its fighting spirit increases, the flames that Incineroar produces within its body burst from its navel and waistline. In the heat of battle, Incineroar shows no concern for its opponents - and sometimes even launches attacks that strike the opposing Trainer! As a result, many tend to dislike this Pokémon and keep it at a distance.</t>
  </si>
  <si>
    <t>728</t>
  </si>
  <si>
    <t>Sea Lion Pokémon</t>
  </si>
  <si>
    <t>Popplio</t>
  </si>
  <si>
    <t>Popplio is a Water type Pokémon introduced in Generation 7. It is known as the Sea Lion Pokémon.
Popplio can create balloons made of water from its nose and utilize them to create a variety of different strategies and attacks in battle. This Pokémon is better at moving in the water than on land, and can swim at speeds over 25 mph. On land, it uses the elasticity of the balloons it creates to perform jumps and acrobatic stunts.
Popplio starts with the move Water Gun.</t>
  </si>
  <si>
    <t>729</t>
  </si>
  <si>
    <t>Pop Star Pokémon</t>
  </si>
  <si>
    <t>Brionne</t>
  </si>
  <si>
    <t>Brionne is a Water type Pokémon introduced in Generation 7. It is known as the Pop Star Pokémon.
Brionne learns its dances by imitating the other members of its colony. It sometimes even learns dances from humans. This Pokémon is a hard worker and pours itself into its efforts until it has memorized each dance. As it dances, Brionne creates balloon after balloon. In battle, it first sends its opponent into disarray with its dancing, and then slaps its balloons into its target, causing the balloons to explode and deal damage.</t>
  </si>
  <si>
    <t>73</t>
  </si>
  <si>
    <t>Tentacruel</t>
  </si>
  <si>
    <t>Tentacruel is a Water/Poison type Pokémon introduced in Generation 1. It is known as the Jellyfish Pokémon.</t>
  </si>
  <si>
    <t>730</t>
  </si>
  <si>
    <t>Soloist Pokémon</t>
  </si>
  <si>
    <t>Primarina</t>
  </si>
  <si>
    <t>Primarina is a Water/Fairy type Pokémon introduced in Generation 7. It is known as the Soloist Pokémon.
As it dances, Primarina releases balloons of water into the area around itself, moving them using the sound waves from its voice. The sight of moonlight reflecting off its glittering balloons creates a magical scene. Since Primarina controls its balloons using its voice, any injury to its throat can become a grave problem. Its greatest enemies are arid environments and the overuse of its voice during back-to-back battles.</t>
  </si>
  <si>
    <t>731</t>
  </si>
  <si>
    <t>Woodpecker Pokémon</t>
  </si>
  <si>
    <t>Pikipek</t>
  </si>
  <si>
    <t>Pikipek is a Normal/Flying type Pokémon introduced in Generation 7. It is known as the Woodpecker Pokémon.
Pikipek can strike 16 times a second with its beak. These strikes are powerful enough to not only drill through hard wood but even shatter stone. Pikipek will attack distant opponents by zipping seeds at them. These shots have enough strength to embed the seeds in tree trunks.</t>
  </si>
  <si>
    <t>732</t>
  </si>
  <si>
    <t>Bugle Beak Pokémon</t>
  </si>
  <si>
    <t>Trumbeak</t>
  </si>
  <si>
    <t>Trumbeak is a Normal/Flying type Pokémon introduced in Generation 7. It is known as the Bugle Beak Pokémon.</t>
  </si>
  <si>
    <t>733</t>
  </si>
  <si>
    <t>Cannon Pokémon</t>
  </si>
  <si>
    <t>Toucannon</t>
  </si>
  <si>
    <t>Toucannon is a Normal/Flying type Pokémon introduced in Generation 7. It is known as the Cannon Pokémon.</t>
  </si>
  <si>
    <t>734</t>
  </si>
  <si>
    <t>Loitering Pokémon</t>
  </si>
  <si>
    <t>Yungoos</t>
  </si>
  <si>
    <t>Yungoos is a Normal type Pokémon introduced in Generation 7. It is known as the Loitering Pokémon.
Yungoos is a big eater that is never satisfied. The majority of its long body is given over to its stomach, and its digestion is swift, so it’s always hungry. It has strong fangs, so it can crush and consume the hardest of objects.</t>
  </si>
  <si>
    <t>735</t>
  </si>
  <si>
    <t>Stakeout Pokémon</t>
  </si>
  <si>
    <t>Gumshoos</t>
  </si>
  <si>
    <t>Gumshoos is a Normal type Pokémon introduced in Generation 7. It is known as the Stakeout Pokémon.
Gumshoos' method of targeting prey is the exact opposite of Yungoos's strategy. While Yungoos prowls around, Gumshoos stakes out its prey's usual routes and waits patiently for it to come by.
Gumshoos has a tenacious personality, which is why it targets one prey for so long without wavering. But when the sun goes down, it runs low on stamina, falling asleep right on the spot. Gumshoos can withstand a great deal of hunger. It's able to stay perfectly still while waiting for its prey, keeping watch without eating a thing.
Gumshoos evolves from Yungoos.</t>
  </si>
  <si>
    <t>736</t>
  </si>
  <si>
    <t>Larva Pokémon</t>
  </si>
  <si>
    <t>Grubbin</t>
  </si>
  <si>
    <t>Grubbin is a Bug type Pokémon introduced in Generation 7. It is known as the Larva Pokémon.
Grubbin relies on its sturdy jaw as a weapon in battle and as a tool for burrowing through the earth. Grubbin loves electricity, which is why it can be found near power plants and substations. By wrapping tree branches in the sticky threads that it spews from its mouth, Grubbin can swing around like an actor on suspension wires!
Grubbin evolves into Charjabug.</t>
  </si>
  <si>
    <t>737</t>
  </si>
  <si>
    <t>Battery Pokémon</t>
  </si>
  <si>
    <t>Charjabug</t>
  </si>
  <si>
    <t>Charjabug is a Bug/Electric type Pokémon introduced in Generation 7. It is known as the Battery Pokémon.
Charjabug stays perfectly still in preparation for Evolution, and often spends time with its body half-buried in the earth. Charjabug is able to store up electricity. It can store enough power to run a household for a whole day. The power it stores can be provided to other Pokémon, so it can also serve as a battery!
Charjabug evolves from Grubbin and evolves into Vikavolt.</t>
  </si>
  <si>
    <t>738</t>
  </si>
  <si>
    <t>Vikavolt</t>
  </si>
  <si>
    <t>Vikavolt is a Bug/Electric type Pokémon introduced in Generation 7. It is known as the Stag Beetle Pokémon.
Vikavolt is like a fortress that zooms through the forest, firing a beam of electricity from its mouth. Its huge jaws control the electricity it blasts out. Vikavolt is adept at acrobatic flight maneuvers like tailspins and sharp turns. It can fly at high speeds even as it weaves its way through the complicated tangle of branches in the forest.
Vikavolt evolves from Charjabug.</t>
  </si>
  <si>
    <t>739</t>
  </si>
  <si>
    <t>Boxing Pokémon</t>
  </si>
  <si>
    <t>Crabrawler</t>
  </si>
  <si>
    <t>Crabrawler is a Fighting type Pokémon introduced in Generation 7. It is known as the Boxing Pokémon.
Crabrawler has a personality that really hates to lose, and it's driven not only to aim for a higher position than its fellows in terms of social standing, but literally to aim for a higher position in the landscape.
Crabrawler punches the trunks of trees to give the branches a good shake and knock any ripe Berries to the ground so it can feast.</t>
  </si>
  <si>
    <t>74</t>
  </si>
  <si>
    <t>Rock Pokémon</t>
  </si>
  <si>
    <t>Alolan Geodude</t>
  </si>
  <si>
    <t>Geodude is a Rock/Ground type Pokémon introduced in Generation 1. It is known as the Rock Pokémon.</t>
  </si>
  <si>
    <t>Geodude</t>
  </si>
  <si>
    <t>740</t>
  </si>
  <si>
    <t>Woolly Crab Pokémon</t>
  </si>
  <si>
    <t>Crabominable</t>
  </si>
  <si>
    <t>Crabominable is a Fighting/Ice type Pokémon introduced in Generation 7. It is known as the Woolly Crab Pokémon.</t>
  </si>
  <si>
    <t>741</t>
  </si>
  <si>
    <t>Dancing Pokémon</t>
  </si>
  <si>
    <t>Baile Style</t>
  </si>
  <si>
    <t>Oricorio is a Fire/Flying type Pokémon introduced in Generation 7. It is known as the Dancing Pokémon.
Oricorio has four different forms - one for each of Alola's islands. Oricorio changes its form by sipping the nectar of certain flowers.
The Baile Style Oricorio is very passionate, and power fills its body when it dances. It sends downy fluff flying during its intense dances.
The Pom-Pom Style Oricorio is very friendly toward people, and it uses dancing to encourage Trainers who are feeling glum. When it dances, its feathers are charged with static electricity.
The Pa'u Style Oricorio acts at its own pace, which sometimes makes it difficult to deal with. It sharpens its spirited moves through dance, which increases its psychic power.
The Sensu Style Oricorio is quiet and collected. By means of its dance, it gathers the spirits drifting about in an area and borrows their power to fight.</t>
  </si>
  <si>
    <t>Pa'u Style</t>
  </si>
  <si>
    <t>Pom-Pom Style</t>
  </si>
  <si>
    <t>Sensu Style</t>
  </si>
  <si>
    <t>742</t>
  </si>
  <si>
    <t>Bee Fly Pokémon</t>
  </si>
  <si>
    <t>Cutiefly</t>
  </si>
  <si>
    <t>Cutiefly is a Bug/Fairy type Pokémon introduced in Generation 7. It is known as the Bee Fly Pokémon.
Cutiefly can detect the auras of living things, including people, Pokémon, and plants. They search out flowers by the color and brightness of their auras and then gather their nectar and pollen.
When living creatures are excited, it seems that their auras resemble those of flowers in full bloom. As a result, these Pokémon tend to gather near people or Pokémon feeling particularly happy or sad.</t>
  </si>
  <si>
    <t>743</t>
  </si>
  <si>
    <t>Ribombee</t>
  </si>
  <si>
    <t>Ribombee is a Bug/Fairy type Pokémon introduced in Generation 7. It is known as the Bee Fly Pokémon.
Ribombee collect flower nectar and pollen to make into balls known as Pollen Puffs. These serve as food, and what’s more, they also can cause effects like paralysis or dizziness. Ribombee may use puffs to strike their opponents during battles.</t>
  </si>
  <si>
    <t>744</t>
  </si>
  <si>
    <t>Own Tempo Rockruff</t>
  </si>
  <si>
    <t>Rockruff is a Rock type Pokémon introduced in Generation 7. It is known as the Puppy Pokémon.
Rockruff has an excellent sense of smell, and once it has smelled an odor, it doesn’t forget it! There are tales of these Pokémon getting separated from their Trainers, then using the faintest traces of their scent to track them for days until they are reunited!
Rockruff is a sociable Pokémon, but as it grows, its disposition gets wilder. If it begins to howl when the sun goes down, that is proof that it’s close to evolving. It’s said that it leaves its Trainer’s side to evolve and returns again when fully evolved.</t>
  </si>
  <si>
    <t>Rockruff</t>
  </si>
  <si>
    <t>745</t>
  </si>
  <si>
    <t>Wolf Pokémon</t>
  </si>
  <si>
    <t>Dusk Form</t>
  </si>
  <si>
    <t>Lycanroc is a Rock type Pokémon introduced in Generation 7. It is known as the Wolf Pokémon.
Lycanroc has three forms. Midday Form and Midnight Form were available in Pokémon Sun &amp; Moon, while Dusk Form was added in Ultra Sun &amp; Ultra Moon. Lycanroc evolves from Rockruff into one of the forms:
In Pokémon Sun, influenced by Solgaleo, Rockruff evolves into Lycanroc Midday Form.
In Pokémon Moon, influenced by Lunala, Rockruff evolves into Lycanroc Midnight Form.
In Pokémon Ultra Sun/Moon, a special event Rockruff (from Mystery Gift) evolves into Lycanroc Dusk Form.</t>
  </si>
  <si>
    <t>Midday Form</t>
  </si>
  <si>
    <t>Midnight Form</t>
  </si>
  <si>
    <t>746</t>
  </si>
  <si>
    <t>Small Fry Pokémon</t>
  </si>
  <si>
    <t>School Form</t>
  </si>
  <si>
    <t>Wishiwashi is a Water type Pokémon introduced in Generation 7. It is known as the Small Fry Pokémon.
Wishiwashi is very small, yet the people of the Alola region seem to view it as a terrifying Pokémon. When it’s in danger, Wishiwashi's glistening eyes catch the light and shine out, sending an SOS signal to its allies.</t>
  </si>
  <si>
    <t>Solo Form</t>
  </si>
  <si>
    <t>747</t>
  </si>
  <si>
    <t>Brutal Star Pokémon</t>
  </si>
  <si>
    <t>Mareanie</t>
  </si>
  <si>
    <t>Mareanie is a Poison/Water type Pokémon introduced in Generation 7. It is known as the Brutal Star Pokémon.</t>
  </si>
  <si>
    <t>748</t>
  </si>
  <si>
    <t>Toxapex</t>
  </si>
  <si>
    <t>Toxapex is a Poison/Water type Pokémon introduced in Generation 7. It is known as the Brutal Star Pokémon.</t>
  </si>
  <si>
    <t>749</t>
  </si>
  <si>
    <t>Donkey Pokémon</t>
  </si>
  <si>
    <t>Mudbray</t>
  </si>
  <si>
    <t>Mudbray is a Ground type Pokémon introduced in Generation 7. It is known as the Donkey Pokémon.
Mudbray could once be found all over the world, but it was over-hunted and ended up on the verge of extinction. It’s said that the Alola region is the only place in the world where Mudbray can still be found in the wild.
Mudbray boasts superhuman strength—a surprise, considering its small body. Mudbray can carry loads up to 50 times its own weight on its back or dragging behind it.
Mudbray evolves into Mudsdale.</t>
  </si>
  <si>
    <t>75</t>
  </si>
  <si>
    <t>Alolan Graveler</t>
  </si>
  <si>
    <t>Graveler is a Rock/Ground type Pokémon introduced in Generation 1. It is known as the Rock Pokémon.</t>
  </si>
  <si>
    <t>Graveler</t>
  </si>
  <si>
    <t>750</t>
  </si>
  <si>
    <t>Draft Horse Pokémon</t>
  </si>
  <si>
    <t>Mudsdale</t>
  </si>
  <si>
    <t>Mudsdale is a Ground type Pokémon introduced in Generation 7. It is known as the Draft Horse Pokémon.
Mudsdale is known for its powerful body as well as its emotional fortitude, which keeps it from being agitated by anything. It never cries out, no matter what kind of trouble it’s in, and it defeats its opponents with a single powerful blow. Its legs are coated in protective mud, and the weight of this coating increases the force of its kicks.
When Mudsdale gallops in earnest, the power of each hoof-clop can dig out huge holes, even in asphalt. Mudsdale is forbidden to run on some of Alola’s public roads.</t>
  </si>
  <si>
    <t>751</t>
  </si>
  <si>
    <t>Water Bubble Pokémon</t>
  </si>
  <si>
    <t>Dewpider</t>
  </si>
  <si>
    <t>Dewpider is a Water/Bug type Pokémon introduced in Generation 7. It is known as the Water Bubble Pokémon.</t>
  </si>
  <si>
    <t>752</t>
  </si>
  <si>
    <t>Araquanid</t>
  </si>
  <si>
    <t>Araquanid is a Water/Bug type Pokémon introduced in Generation 7. It is known as the Water Bubble Pokémon.</t>
  </si>
  <si>
    <t>753</t>
  </si>
  <si>
    <t>Sickle Grass Pokémon</t>
  </si>
  <si>
    <t>Fomantis</t>
  </si>
  <si>
    <t>Fomantis is a Grass type Pokémon introduced in Generation 7. It is known as the Sickle Grass Pokémon.
Fomantis is nocturnal, and it performs photosynthesis while it sleeps during the day by spreading out its leaves in all directions. Because of the danger of staying in the same location two days in a row, Fomantis begins its search for the next day's spot as soon as the sun sets.
Fomantis evolves into Lurantis.</t>
  </si>
  <si>
    <t>754</t>
  </si>
  <si>
    <t>Bloom Sickle Pokémon</t>
  </si>
  <si>
    <t>Lurantis</t>
  </si>
  <si>
    <t>Lurantis is a Grass type Pokémon introduced in Generation 7. It is known as the Bloom Sickle Pokémon.
Lurantis draws opponents near to itself with its flowerlike appearance and aroma—and then it takes them down. It’s said to be the most gorgeous of all Grass-type Pokémon, due to its brilliant coloration and elegant moves. Lurantis' appearance is maintained through detailed grooming. It will trust a Trainer who does a good job of caring for it, but it will apparently have a difficult time growing closer to a lazy Trainer.
Lurantis evolves from Fomantis.</t>
  </si>
  <si>
    <t>755</t>
  </si>
  <si>
    <t>Illuminating Pokémon</t>
  </si>
  <si>
    <t>Morelull</t>
  </si>
  <si>
    <t>Morelull is a Grass/Fairy type Pokémon introduced in Generation 7. It is known as the Illuminating Pokémon.
Morelull are nocturnal Pokémon that walk around at night on their leg-like roots. They move because staying in one spot and sucking all the nutrients from the soil would cause surrounding plants to wither. Morelull uses its roots to make contact with its fellows and communicate with them.</t>
  </si>
  <si>
    <t>756</t>
  </si>
  <si>
    <t>Shiinotic</t>
  </si>
  <si>
    <t>Shiinotic is a Grass/Fairy type Pokémon introduced in Generation 7. It is known as the Illuminating Pokémon.</t>
  </si>
  <si>
    <t>757</t>
  </si>
  <si>
    <t>Toxic Lizard Pokémon</t>
  </si>
  <si>
    <t>Salandit</t>
  </si>
  <si>
    <t>Salandit is a Poison/Fire type Pokémon introduced in Generation 7. It is known as the Toxic Lizard Pokémon.
Salandit emits toxic gas, together with flames, from the base of its tail. This poisonous gas has a sweet smell, and anyone who unknowingly breathes it in will become dizzy. Salandit is not a very powerful Pokémon, but its cunning nature allows it to battle fiercely by throwing its opponents off balance. 
Salandit females not only release toxic gases, they can also emit pheromones that attract males of all species, including Pokémon and humans. Inhaling these pheromones may cause opponents to be controlled by Salandit's will.</t>
  </si>
  <si>
    <t>758</t>
  </si>
  <si>
    <t>Salazzle</t>
  </si>
  <si>
    <t>Salazzle is a Poison/Fire type Pokémon introduced in Generation 7. It is known as the Toxic Lizard Pokémon.</t>
  </si>
  <si>
    <t>759</t>
  </si>
  <si>
    <t>Flailing Pokémon</t>
  </si>
  <si>
    <t>Stufful</t>
  </si>
  <si>
    <t>Stufful is a Normal/Fighting type Pokémon introduced in Generation 7. It is known as the Flailing Pokémon.
Stufful's cute appearance and movements - plus the fluffy feel of its fur - all combine to make it super popular. Stufful may have a small body, but its strength is extraordinary. Receiving one of its powerful hits without being prepared for it can bring down even well-trained Pokémon.</t>
  </si>
  <si>
    <t>76</t>
  </si>
  <si>
    <t>Megaton Pokémon</t>
  </si>
  <si>
    <t>Alolan Golem</t>
  </si>
  <si>
    <t>Golem is a Rock/Ground type Pokémon introduced in Generation 1. It is known as the Megaton Pokémon.</t>
  </si>
  <si>
    <t>Golem</t>
  </si>
  <si>
    <t>760</t>
  </si>
  <si>
    <t>Strong Arm Pokémon</t>
  </si>
  <si>
    <t>Bewear</t>
  </si>
  <si>
    <t>Bewear is a Normal/Fighting type Pokémon introduced in Generation 7. It is known as the Strong Arm Pokémon.
When Bewear is acting in a friendly fashion, just swinging its arms around, you must never dare to approach it carelessly. It is acknowledged to be a dangerous Pokémon, even within the Alola region. You may see warning signs posted near places it resides.
When Bewear grows fond of its Trainer, it may show that feeling in a fond embrace—but the force of that hug is tremendous! Trainers must teach these Pokémon how to restrain their strength when showing affection.</t>
  </si>
  <si>
    <t>761</t>
  </si>
  <si>
    <t>Bounsweet</t>
  </si>
  <si>
    <t>Bounsweet is a Grass type Pokémon introduced in Generation 7. It is known as the Fruit Pokémon.
Because it exudes a delicious smell from its entire body, Bounsweet is popular with Pokémon and people of the Alola region. Bounsweet's scent has a calming effect on humans, so many people let them live inside their homes as a sort of air freshener. Unfortunately, it’s sometimes swallowed whole by Pokémon drawn to its aroma.
When running away from other Pokémon, Bounsweet flees danger by skipping along the ground. Since its bouncy movements don’t convey to others that it’s actually in desperate flight, no one ever comes to its aid.</t>
  </si>
  <si>
    <t>762</t>
  </si>
  <si>
    <t>Steenee</t>
  </si>
  <si>
    <t>Steenee is a Grass type Pokémon introduced in Generation 7. It is known as the Fruit Pokémon.
Upon evolving, Steenee's fragrance becomes even more delectable, but it also gains a tomboy-like personality. Living together with one is quite the ordeal. As it moves around, it spins its calyx, striking nearby objects, but Steenee couldn’t care less.</t>
  </si>
  <si>
    <t>763</t>
  </si>
  <si>
    <t>Tsareena</t>
  </si>
  <si>
    <t>Tsareena is a Grass type Pokémon introduced in Generation 7. It is known as the Fruit Pokémon.
Tsareena has the nature of high-class nobility. Any Pokémon or human that approaches it with evil in mind will be punished forthwith. It even turns its fearsome glare upon its own Trainer if the two of them are not fully in sync, or if its Trainer orders it to use a move that will be ineffective. Only the strongest of Steenee are able to evolve. When this happens, the Steenee evolves with the blessing of other Steenee. It then uses its strength to protect the Bounsweet.</t>
  </si>
  <si>
    <t>764</t>
  </si>
  <si>
    <t>Posy Picker Pokémon</t>
  </si>
  <si>
    <t>Comfey</t>
  </si>
  <si>
    <t>Comfey is a Fairy type Pokémon introduced in Generation 7. It is known as the Posy Picker Pokémon.
Comfey picks flowers and always carries them around. It makes a ring of blossoms and spreads oil from its body on it, which changes the flowers so they emit a soothing fragrance. It has a habit of giving these flower rings to those it’s fond of. The aroma can soothe both itself and its allies. Comfey also helps with the treatment of people and Pokémon at Pokémon Centers and hospitals, thanks to its aroma.
When attacked by other Pokémon, it throws its flowers at them to create an opening, and then it either flees or strikes back.</t>
  </si>
  <si>
    <t>765</t>
  </si>
  <si>
    <t>Sage Pokémon</t>
  </si>
  <si>
    <t>Oranguru</t>
  </si>
  <si>
    <t>Oranguru is a Normal/Psychic type Pokémon introduced in Generation 7. It is known as the Sage Pokémon.
Oranguru live solitary lives deep in the forests and do not usually take much action. Instead, they position themselves high up in the trees to meditate. Long ago, people thought that Oranguru were humans who dwelled in the forest depths, so they called them the people of the forests. Oranguru is kind to the other Pokémon living in the forest, providing medicine for injured Pokémon and food for the hungry.
The fan-like objects held by Oranguru are handmade by the Oranguru themselves. These fans appear to be made of layers of leaves bound together with Oranguru's own fur.</t>
  </si>
  <si>
    <t>766</t>
  </si>
  <si>
    <t>Teamwork Pokémon</t>
  </si>
  <si>
    <t>Passimian</t>
  </si>
  <si>
    <t>Passimian is a Fighting type Pokémon introduced in Generation 7. It is known as the Teamwork Pokémon.
Passimian live in troops of 20 to 30 individuals, all following a leader. This leader will take 10 of the individuals in the best condition to search for food. The troop's teamwork is strong, and the boss of each troop decides what mark members will wear on their arms to distinguish the troops.
The boss puts the troop members through training to improve their coordination with one another and their skill in handling Berries.</t>
  </si>
  <si>
    <t>767</t>
  </si>
  <si>
    <t>Turn Tail Pokémon</t>
  </si>
  <si>
    <t>Wimpod</t>
  </si>
  <si>
    <t>Wimpod is a Bug/Water type Pokémon introduced in Generation 7. It is known as the Turn Tail Pokémon.
Wimpod have a cowardly nature and are wary of noises and sudden movements. If you approach them in a group, they’ll immediately run off. When Wimpod feel threatened, they spit out a poisonous liquid. The stench of this toxic fluid signals others that danger is near. Despite their extreme cowardice, their curiosity leads Wimpod to approach people or Pokémon that are standing still.
Wimpod eat and store anything that they find fallen on the ground. They also scavenge any garbage that’s been dropped in the sea, so they’re highly valued as cleaners. They sometimes carry pearls or other valuable items, so humans or Pokémon like Murkrow may target them.</t>
  </si>
  <si>
    <t>768</t>
  </si>
  <si>
    <t>Hard Scale Pokémon</t>
  </si>
  <si>
    <t>Golisopod</t>
  </si>
  <si>
    <t>Golisopod is a Bug/Water type Pokémon introduced in Generation 7. It is known as the Hard Scale Pokémon.</t>
  </si>
  <si>
    <t>769</t>
  </si>
  <si>
    <t>Sand Heap Pokémon</t>
  </si>
  <si>
    <t>Sandygast</t>
  </si>
  <si>
    <t>Sandygast is a Ghost/Ground type Pokémon introduced in Generation 7. It is known as the Sand Heap Pokémon.
A Sandygast emerges when the grudges of Pokémon and other creatures soak into the sand after they fall in battle. A Sandygast uses its power to manipulate children into gathering sand to increase the size of its body. If a Sandygast loses its shovel, it may put up a tree branch, a flag, or another item in its place.
The tunnel-like mouth of a Sandygast can suck the vitality from people and Pokémon. Apparently it's a test of courage in the Alola region to put your hand in a Sandygast's mouth.</t>
  </si>
  <si>
    <t>77</t>
  </si>
  <si>
    <t>Fire Horse Pokémon</t>
  </si>
  <si>
    <t>Ponyta</t>
  </si>
  <si>
    <t>Ponyta is a Fire type Pokémon introduced in Generation 1. It is known as the Fire Horse Pokémon.</t>
  </si>
  <si>
    <t>770</t>
  </si>
  <si>
    <t>Sand Castle Pokémon</t>
  </si>
  <si>
    <t>Palossand</t>
  </si>
  <si>
    <t>Palossand is a Ghost/Ground type Pokémon introduced in Generation 7. It is known as the Sand Castle Pokémon.
Palossand controls human adults, making them build a sand castle that provides camouflage and also raises its defensive abilities. Unlike Sandygast, if Palossand loses some of the sand from its body, it can restore itself on its own. When moving about in search of prey, the shovel on top of Palossand's head revolves. It’s said that the shovel could be serving as some kind of radar.</t>
  </si>
  <si>
    <t>771</t>
  </si>
  <si>
    <t>Sea Cucumber Pokémon</t>
  </si>
  <si>
    <t>Pyukumuku</t>
  </si>
  <si>
    <t>Pyukumuku is a Water type Pokémon introduced in Generation 7. It is known as the Sea Cucumber Pokémon.
Due to their appearance and their lifestyle, Pyukumuku are considered unappealing to tourists. Part-time work chucking Pyukumuku back into the sea is available at tourist beaches. But no matter how far they’re thrown, Pyukumuku will always return to the same spot.
Pyukumuku hate to have their spikes and mouths touched, and if you step on one, it will hurl out its fist-like inner organs to strike at you.</t>
  </si>
  <si>
    <t>772</t>
  </si>
  <si>
    <t>Synthetic Pokémon</t>
  </si>
  <si>
    <t>Type: Null</t>
  </si>
  <si>
    <t>Type: Null is a Normal type Pokémon introduced in Generation 7. It is known as the Synthetic Pokémon.
The shapes of its front and hind legs are different, as Type: Null was constructed to synthesize the strengths of various Pokémon, enabling it to adapt to any situation.
The mask fitted to Type: Null's head is a piece of equipment designed to control its latent powers. It's extremely heavy, so it also serves to hinder Type: Null's agility.</t>
  </si>
  <si>
    <t>773</t>
  </si>
  <si>
    <t>Silvally</t>
  </si>
  <si>
    <t>Silvally is a Normal type Pokémon introduced in Generation 7. It is known as the Synthetic Pokémon.
When Type: Null gains a partner it can trust, it deliberately destroys the restraining device it wears. Once released from that heavy mask, the Pokémon’s speed increases substantially.
Silvally's ability changes its type based on the item being held.</t>
  </si>
  <si>
    <t>774</t>
  </si>
  <si>
    <t>Meteor Pokémon</t>
  </si>
  <si>
    <t>Core Form</t>
  </si>
  <si>
    <t>Minior is a Rock/Flying type Pokémon introduced in Generation 7. It is known as the Meteor Pokémon.
Minior are formed in the stratosphere and live by absorbing the detritus around them. When they’ve consumed a large quantity of particles, their bodies become heavy, and they fall toward the planet’s surface. Minior has a hard and heavy outer shell with a core inside it.
When its shell breaks, the core in its center is revealed, which can be different colors.</t>
  </si>
  <si>
    <t>Meteor Form</t>
  </si>
  <si>
    <t>775</t>
  </si>
  <si>
    <t>Komala</t>
  </si>
  <si>
    <t>Komala is a Normal type Pokémon introduced in Generation 7. It is known as the Drowsing Pokémon.
No one has ever seen a Komala awake. It eats, travels, and even battles while sound asleep! Its saliva can be used as medicine for the sick or sleepless, according to ancient people. They say if you take a small amount of the saliva remaining after it eats leaves, water the saliva down, and drink it, you’ll be able to sleep well. 
Komala clings to a log pillow that its parents have given to it. Once it has grasped this log, it almost never releases it. If it does lose hold of its log, the Pokémon will be unable to sleep well and will thrash about wildly.</t>
  </si>
  <si>
    <t>776</t>
  </si>
  <si>
    <t>Blast Turtle Pokémon</t>
  </si>
  <si>
    <t>Turtonator</t>
  </si>
  <si>
    <t>Turtonator is a Fire/Dragon type Pokémon introduced in Generation 7. It is known as the Blast Turtle Pokémon.
Because Turtonator lives on volcanoes, feeding on sulfur and other materials found near volcanic craters, its shell has a layer of explosive material—mostly sulfur. When something strikes this Pokémon, sparks fly from the horns on its shell, igniting an explosion! 
In areas around volcanic craters, this Pokémon camouflages itself as a rock and waits for prey. At the moment when its prey steps onto the back of its shell, Turtonator strikes its shell with its own tail, triggering an explosion!</t>
  </si>
  <si>
    <t>777</t>
  </si>
  <si>
    <t>Roly-Poly Pokémon</t>
  </si>
  <si>
    <t>Togedemaru</t>
  </si>
  <si>
    <t>Togedemaru is an Electric/Steel type Pokémon introduced in Generation 7. It is known as the Roly-Poly Pokémon.
Togedemaru gathers electricity and stores it. The long needle that grows from the back of its head works as a lightning rod to attract electricity.
Covering its body is a pattern of fur with strands like needles. On days when lightning strikes, you can sometimes see Togedemaru gather and bristle up their needles, waiting to be struck by lightning.</t>
  </si>
  <si>
    <t>778</t>
  </si>
  <si>
    <t>Disguise Pokémon</t>
  </si>
  <si>
    <t>Mimikyu</t>
  </si>
  <si>
    <t>Mimikyu is a Ghost/Fairy type Pokémon introduced in Generation 7. It is known as the Disguise Pokémon.
Mimikyu lives its life completely covered by its cloth and is always hidden. People believe that anybody who sees its true form beneath the cloth will be stricken with a mysterious illness. People in the Alola region are convinced that you must never try to peek beneath its covering. Mimikyu's health fails when it’s bathed in the rays of the sun, so it prefers to stick to dark places. It’s rumored that the reason it covers itself with a cloth is to avoid sunlight.</t>
  </si>
  <si>
    <t>779</t>
  </si>
  <si>
    <t>Gnash Teeth Pokémon</t>
  </si>
  <si>
    <t>Bruxish</t>
  </si>
  <si>
    <t>Bruxish is a Water/Psychic type Pokémon introduced in Generation 7. It is known as the Gnash Teeth Pokémon.
Bruxish emits a strong psychic power from the protuberance on its head. When its opponents are bathed in this power, they're stricken with terrible headaches and fall unconscious. As it emits its psychic power, it grinds its teeth loudly. When nearby Pokémon hear the sound of Bruxish's teeth gnashing, they sense danger and flee immediately.</t>
  </si>
  <si>
    <t>78</t>
  </si>
  <si>
    <t>Rapidash</t>
  </si>
  <si>
    <t>Rapidash is a Fire type Pokémon introduced in Generation 1. It is known as the Fire Horse Pokémon.</t>
  </si>
  <si>
    <t>780</t>
  </si>
  <si>
    <t>Placid Pokémon</t>
  </si>
  <si>
    <t>Drampa</t>
  </si>
  <si>
    <t>Drampa is a Normal/Dragon type Pokémon introduced in Generation 7. It is known as the Placid Pokémon.
Drampa are dragons that live alone in the mountains 10,000 feet above sea level. Since they can’t obtain the Berries they feed on at that range, they descend to the base of the mountains at dawn every day. Drampa love communicating with people and Pokémon.
While Drampa is usually a very gentle Pokémon, it can fly into a rage if a child it cares for is hurt in some way.</t>
  </si>
  <si>
    <t>781</t>
  </si>
  <si>
    <t>Sea Creeper Pokémon</t>
  </si>
  <si>
    <t>Dhelmise</t>
  </si>
  <si>
    <t>Dhelmise is a Ghost/Grass type Pokémon introduced in Generation 7. It is known as the Sea Creeper Pokémon.</t>
  </si>
  <si>
    <t>782</t>
  </si>
  <si>
    <t>Scaly Pokémon</t>
  </si>
  <si>
    <t>Jangmo-o</t>
  </si>
  <si>
    <t>Jangmo-o is a Dragon type Pokémon introduced in Generation 7. It is known as the Scaly Pokémon.
Jangmo-o has the pride of a warrior, although it remains humble about its capabilities. In its pursuit to become stronger, it never neglects its training.
Because Jangmo-o uses the scales on its head for both offense and defense, it never turns its back to its enemies. Many Trainers see this behavior and take it as proof that Jangmo-o is a valiant Pokémon.</t>
  </si>
  <si>
    <t>783</t>
  </si>
  <si>
    <t>Hakamo-o</t>
  </si>
  <si>
    <t>Hakamo-o is a Dragon/Fighting type Pokémon introduced in Generation 7. It is known as the Scaly Pokémon.
Hakamo-o dances before battle to show its strength, clanging its scales together to make them ring out. When this dance reaches its climax, Hakamo-o bellows a fierce war cry to challenge its opponent.</t>
  </si>
  <si>
    <t>784</t>
  </si>
  <si>
    <t>Kommo-o</t>
  </si>
  <si>
    <t>Kommo-o is a Dragon/Fighting type Pokémon introduced in Generation 7. It is known as the Scaly Pokémon.
There is a legend that says Kommo-o is covered in glittering scales in order to drive away a great darkness covering the world. The reason these Pokémon seek out battle is to gain the power needed to defeat this darkness. When it detects someone approaching, Kommo-o rings the scales on its tail to announce its presence. It has no desire to battle against weak Pokémon.</t>
  </si>
  <si>
    <t>785</t>
  </si>
  <si>
    <t>Land Spirit Pokémon</t>
  </si>
  <si>
    <t>Tapu Koko</t>
  </si>
  <si>
    <t>Tapu Koko is an Electric/Fairy type Pokémon introduced in Generation 7. It is known as the Land Spirit Pokémon.
Tapu Koko is a special Pokémon that protects the area where it lives. It's called the guardian deity of Melemele Island, one of the islands of the Alola region. Although it's known as a guardian deity, it's a surprisingly fickle Pokémon, and will not necessarily come to your aid if you need help.
Despite that, Tapu Koko has a strong sense of curiosity. If it becomes interested in a person or in other Pokémon, it may come to play or battle with them.</t>
  </si>
  <si>
    <t>786</t>
  </si>
  <si>
    <t>Tapu Lele</t>
  </si>
  <si>
    <t>Tapu Lele is a Psychic/Fairy type Pokémon introduced in Generation 7. It is known as the Land Spirit Pokémon.
Tapu Lele scatters glowing scales that physically affect others - providing stimulation to their bodies and healing their illnesses or injuries. But these scales can be dangerous as well, because a body can’t withstand the changes brought about by contact with too many scales at the same time. It will scatter its scales over humans and Pokémon for its own enjoyment; while it is innocent in one sense, there is also cruelty in the way it casually brings others to ruin.</t>
  </si>
  <si>
    <t>787</t>
  </si>
  <si>
    <t>Tapu Bulu</t>
  </si>
  <si>
    <t>Tapu Bulu is a Grass/Fairy type Pokémon introduced in Generation 7. It is known as the Land Spirit Pokémon.
Tapu Bulu has the power to manipulate vegetation and cause it to grow. It can use this power on its own horns - which are made of wood - changing their shape or making them larger. This can come in handy in battle!
This stolid Pokémon is not very active. People’s opinions differ on whether it’s as docile as it seems, or if the reason it doesn’t move much can be chalked up to simple laziness.</t>
  </si>
  <si>
    <t>788</t>
  </si>
  <si>
    <t>Tapu Fini</t>
  </si>
  <si>
    <t>Tapu Fini is a Water/Fairy type Pokémon introduced in Generation 7. It is known as the Land Spirit Pokémon.
Tapu Fini is able to create a special water that purifies both mind and body. But it requires that supplicants wishing to obtain the purifying water demonstrate the strength to withstand the tapu's fog.
Since it hates to risk harm to itself during battle, Tapu Fini prefers to create a thick fog that puts opponents in a trance and leads them to destroy themselves.</t>
  </si>
  <si>
    <t>789</t>
  </si>
  <si>
    <t>Nebula Pokémon</t>
  </si>
  <si>
    <t>Cosmog</t>
  </si>
  <si>
    <t>Cosmog is a Psychic type Pokémon introduced in Generation 7. It is known as the Nebula Pokémon.
This extremely rare Pokémon is known to only a select few in Alola. At one time, it was known only by the kings of Alola and their heirs, and it was called the child of the stars.
Cosmog is very curious and shows no fear of people or Pokémon. If you treat it with any consideration at all, it will take an immediate liking to you. This personality trait often leads it into danger.</t>
  </si>
  <si>
    <t>79</t>
  </si>
  <si>
    <t>Dopey Pokémon</t>
  </si>
  <si>
    <t>Slowpoke</t>
  </si>
  <si>
    <t>Slowpoke is a Water/Psychic type Pokémon introduced in Generation 1. It is known as the Dopey Pokémon.</t>
  </si>
  <si>
    <t>790</t>
  </si>
  <si>
    <t>Protostar Pokémon</t>
  </si>
  <si>
    <t>Cosmoem</t>
  </si>
  <si>
    <t>Cosmoem is a Psychic type Pokémon introduced in Generation 7. It is known as the Protostar Pokémon.</t>
  </si>
  <si>
    <t>791</t>
  </si>
  <si>
    <t>Sunne Pokémon</t>
  </si>
  <si>
    <t>Solgaleo</t>
  </si>
  <si>
    <t>Solgaleo is a Psychic/Steel type Pokémon introduced in Generation 7. It is known as the Sunne Pokémon.
Since ancient times, Solgaleo has been honored as an emissary of the sun. It is referred to with reverence as the beast that devours the sun. Solgaleo's body holds a vast amount of energy, and it shines with light when it's active. It has a flowing mane with a remarkable resemblance to the sun.
It has a powerful signature move, Sunsteel Strike. When it releases its mighty power it takes on a new appearance known as the Radiant Sun phase.</t>
  </si>
  <si>
    <t>792</t>
  </si>
  <si>
    <t>Moone Pokémon</t>
  </si>
  <si>
    <t>Lunala</t>
  </si>
  <si>
    <t>Lunala is a Psychic/Ghost type Pokémon introduced in Generation 7. It is known as the Moone Pokémon.
Since ancient times, Lunala has been honored as an emissary of the moon. It is referred to with reverence as the beast that calls the moon. Lunala is constantly absorbing light and converting it into energy. With its wings spread to absorb the surrounding light and glittering like a crescent moon, it resembles a beautiful night sky.
It has a powerful signature move, Moongeist Beam. When it releases its mighty power it takes on a new appearance known as the Full Moon phase.</t>
  </si>
  <si>
    <t>793</t>
  </si>
  <si>
    <t>Parasite Pokémon</t>
  </si>
  <si>
    <t>Nihilego</t>
  </si>
  <si>
    <t>Nihilego is a Rock/Poison type Pokémon introduced in Generation 7. It is known as the Parasite Pokémon.
Nihilego is an Ultra Beast, also known by the code name UB-01 Symbiont.</t>
  </si>
  <si>
    <t>794</t>
  </si>
  <si>
    <t>Swollen Pokémon</t>
  </si>
  <si>
    <t>Buzzwole</t>
  </si>
  <si>
    <t>Buzzwole is a Bug/Fighting type Pokémon introduced in Generation 7. It is known as the Swollen Pokémon.
Buzzwole is an Ultra Beast, also known by the code name UB-02 Absorption.</t>
  </si>
  <si>
    <t>795</t>
  </si>
  <si>
    <t>Lissome Pokémon</t>
  </si>
  <si>
    <t>Pheromosa</t>
  </si>
  <si>
    <t>Pheromosa is a Bug/Fighting type Pokémon introduced in Generation 7. It is known as the Lissome Pokémon.
Pheromosa is an Ultra Beast, also known by the code name UB-02 Beauty.</t>
  </si>
  <si>
    <t>796</t>
  </si>
  <si>
    <t>Glowing Pokémon</t>
  </si>
  <si>
    <t>Xurkitree</t>
  </si>
  <si>
    <t>Xurkitree is an Electric type Pokémon introduced in Generation 7. It is known as the Glowing Pokémon.
Xurkitree is an Ultra Beast, also known by the code name UB-03 Lighting.</t>
  </si>
  <si>
    <t>797</t>
  </si>
  <si>
    <t>Launch Pokémon</t>
  </si>
  <si>
    <t>Celesteela</t>
  </si>
  <si>
    <t>Celesteela is a Steel/Flying type Pokémon introduced in Generation 7. It is known as the Launch Pokémon.
Celesteela is an Ultra Beast, also known by the code name UB-04 Blaster.</t>
  </si>
  <si>
    <t>798</t>
  </si>
  <si>
    <t>Drawn Sword Pokémon</t>
  </si>
  <si>
    <t>Kartana</t>
  </si>
  <si>
    <t>Kartana is a Grass/Steel type Pokémon introduced in Generation 7. It is known as the Drawn Sword Pokémon.
Kartana is an Ultra Beast, also known by the code name UB-04 Blade.</t>
  </si>
  <si>
    <t>799</t>
  </si>
  <si>
    <t>Junkivore Pokémon</t>
  </si>
  <si>
    <t>Guzzlord</t>
  </si>
  <si>
    <t>Guzzlord is a Dark/Dragon type Pokémon introduced in Generation 7. It is known as the Junkivore Pokémon.
Guzzlord is an Ultra Beast, also known by the code name UB-05 Glutton.</t>
  </si>
  <si>
    <t>8</t>
  </si>
  <si>
    <t>Turtle Pokémon</t>
  </si>
  <si>
    <t>Wartortle</t>
  </si>
  <si>
    <t>Wartortle is a Water type Pokémon introduced in Generation 1. It is known as the Turtle Pokémon.</t>
  </si>
  <si>
    <t>80</t>
  </si>
  <si>
    <t>Hermit Crab Pokémon</t>
  </si>
  <si>
    <t>Mega Slowbro</t>
  </si>
  <si>
    <t>Slowbro is a Water/Psychic type Pokémon introduced in Generation 1. It is known as the Hermit Crab Pokémon.
Slowbro has a Mega Evolution, available from Omega Ruby &amp; Alpha Sapphire onwards.</t>
  </si>
  <si>
    <t>Slowbro</t>
  </si>
  <si>
    <t>800</t>
  </si>
  <si>
    <t>Prism Pokémon</t>
  </si>
  <si>
    <t>Dawn Wings Necrozma</t>
  </si>
  <si>
    <t>Necrozma is a Psychic type Pokémon introduced in Generation 7. It is known as the Prism Pokémon.</t>
  </si>
  <si>
    <t>Dusk Mane Necrozma</t>
  </si>
  <si>
    <t>Necrozma</t>
  </si>
  <si>
    <t>Ultra Necrozma</t>
  </si>
  <si>
    <t>801</t>
  </si>
  <si>
    <t>Artificial Pokémon</t>
  </si>
  <si>
    <t>Magearna</t>
  </si>
  <si>
    <t>Magearna is a Steel/Fairy type Pokémon introduced in Generation 7. It is known as the Artificial Pokémon.
Magearna is a Mythical Pokémon that was created by a scientist of uncommon genius 500 years ago. Magearna has the power to perceive the emotions, thoughts, and feelings of other Pokémon. If a Pokémon is injured, Magearna will feel the other’s pain and suffering and will try as hard as it can to save that Pokémon.
Magearna's real body is the spherical construction in its chest called the Soul-Heart, created by a scientist who gathered the life energy from Pokémon.
Magearna is obtainable in Sun/Moon by scanning a special QR code.</t>
  </si>
  <si>
    <t>802</t>
  </si>
  <si>
    <t>Gloomdweller Pokémon</t>
  </si>
  <si>
    <t>Marshadow</t>
  </si>
  <si>
    <t>Marshadow is a Fighting/Ghost type Pokémon introduced in Generation 7. It is known as the Gloomdweller Pokémon.</t>
  </si>
  <si>
    <t>803</t>
  </si>
  <si>
    <t>Poipole</t>
  </si>
  <si>
    <t>Poipole is a Poison type Pokémon introduced in Generation 7. It is known as the Poison Pin Pokémon.
Poipole is an Ultra Beast introduced in Pokémon Ultra Sun &amp; Ultra Moon, also known by the code name UB Adhesive.
Poipole displays many emotions, and it’s said to be able to understand human speech if it spends enough time together with them. Their large heads are filled with venom, and they fire this venom from the poisonous needles on top of them.</t>
  </si>
  <si>
    <t>804</t>
  </si>
  <si>
    <t>Naganadel</t>
  </si>
  <si>
    <t>Naganadel is a Poison/Dragon type Pokémon introduced in Generation 7. It is known as the Poison Pin Pokémon.
Naganadel is an Ultra Beast introduced in Pokémon Ultra Sun &amp; Ultra Moon.</t>
  </si>
  <si>
    <t>805</t>
  </si>
  <si>
    <t>Rampart Pokémon</t>
  </si>
  <si>
    <t>Stakataka</t>
  </si>
  <si>
    <t>Stakataka is a Rock/Steel type Pokémon introduced in Generation 7. It is known as the Rampart Pokémon.
Stakataka is an Ultra Beast introduced in Pokémon Ultra Sun &amp; Ultra Moon, also known by the code name UB Assembly.
While Stakataka may appear to be made up of stones stacked atop one another, apparently each "stone" is in fact a separate life-form, and this UB is made up of an assemblage of these life-forms.
When confronting another, or when feeling particularly enraged, the eyes on each of these stones begin to glow red.</t>
  </si>
  <si>
    <t>806</t>
  </si>
  <si>
    <t>Fireworks Pokémon</t>
  </si>
  <si>
    <t>Blacephalon</t>
  </si>
  <si>
    <t>Blacephalon is a Fire/Ghost type Pokémon introduced in Generation 7. It is known as the Fireworks Pokémon.
Blacephalon is an Ultra Beast introduced in Pokémon Ultra Sun &amp; Ultra Moon, also known by the code name UB Burst.
Blacephalon tricks targets into letting their guard down as it draws near with its funny gait. Its head is made up of collection of curious sparks, and it appears to have the wondrous ability to freely remove its own head and make it explode.</t>
  </si>
  <si>
    <t>807</t>
  </si>
  <si>
    <t>Thunderclap Pokémon</t>
  </si>
  <si>
    <t>Zeraora</t>
  </si>
  <si>
    <t>Zeraora is an Electric type Pokémon introduced in Generation 7. It is known as the Thunderclap Pokémon.
Zeraora is mythical Pokémon introduced in Pokémon Ultra Sun &amp; Ultra Moon.
This Pokémon creates a powerful magnetic field by emitting strong electric currents from the pads on its hands and feet. Unlike most Electric-type Pokémon, Zeraora doesn’t have an organ within its body that can produce electricity. However, it is able to gather and store electricity from outside sources, then use it as its own electric energy.</t>
  </si>
  <si>
    <t>808</t>
  </si>
  <si>
    <t>Hex Nut Pokémon</t>
  </si>
  <si>
    <t>Meltan</t>
  </si>
  <si>
    <t>Meltan is a Steel-type Pokémon introduced in Generation 7.
It is known as the Hex Nut Pokémon.
Most of Meltan's body is made of liquid metal, and its shape is very fluid. He can use his liquid arms and legs to corrode metal and absorb it into his own body.
The Meltan generates electricity using the metal it absorbs from outside sources.
It uses this electricity as a source of energy and also as an attack that can be fired from your eye.
Note: Meltan was officially introduced to the public on 9/25/2018.
Prior to that, he appeared, unidentified, on 9/22/2018 , Community Day in Pokémon GO.
Meltan is the only Mythical Pokémon capable of evolving.
Meltan and Melmetal are the only non-introduced Pokémon. in Generation 1 to appear in the Kanto Regional Pokédex.</t>
  </si>
  <si>
    <t>809</t>
  </si>
  <si>
    <t>Melmetal</t>
  </si>
  <si>
    <t>Melmetal is a Steel type Pokémon introduced in Generation 7. It is known as the Hex Nut Pokémon.
Melmetal evolves from Meltan only in Pokémon GO, with 400 Meltan Candies. Candies can be obtained by catching many Meltan, have it travel as a Buddy Pokémon, or transferring some to Pokémon Let's Go.
Melmetal has an exclusive move, Double Iron Bash.
Note: Meltan has an ability assigned in the code for Pokémon Let's Go, even though abilities are not available.</t>
  </si>
  <si>
    <t>81</t>
  </si>
  <si>
    <t>Magnet Pokémon</t>
  </si>
  <si>
    <t>Magnemite</t>
  </si>
  <si>
    <t>Magnemite is an Electric/Steel type Pokémon introduced in Generation 1. It is known as the Magnet Pokémon.</t>
  </si>
  <si>
    <t>82</t>
  </si>
  <si>
    <t>Magneton</t>
  </si>
  <si>
    <t>Magneton is an Electric/Steel type Pokémon introduced in Generation 1. It is known as the Magnet Pokémon.</t>
  </si>
  <si>
    <t>83</t>
  </si>
  <si>
    <t>Wild Duck Pokémon</t>
  </si>
  <si>
    <t>Farfetch'd</t>
  </si>
  <si>
    <t>Farfetch'd is a Normal/Flying type Pokémon introduced in Generation 1. It is known as the Wild Duck Pokémon.</t>
  </si>
  <si>
    <t>84</t>
  </si>
  <si>
    <t>Twin Bird Pokémon</t>
  </si>
  <si>
    <t>Doduo</t>
  </si>
  <si>
    <t>Doduo is a Normal/Flying type Pokémon introduced in Generation 1. It is known as the Twin Bird Pokémon.</t>
  </si>
  <si>
    <t>85</t>
  </si>
  <si>
    <t>Triple Bird Pokémon</t>
  </si>
  <si>
    <t>Dodrio</t>
  </si>
  <si>
    <t>Dodrio is a Normal/Flying type Pokémon introduced in Generation 1. It is known as the Triple Bird Pokémon.</t>
  </si>
  <si>
    <t>86</t>
  </si>
  <si>
    <t>Seel</t>
  </si>
  <si>
    <t>Seel is a Water type Pokémon introduced in Generation 1. It is known as the Sea Lion Pokémon.</t>
  </si>
  <si>
    <t>87</t>
  </si>
  <si>
    <t>Dewgong</t>
  </si>
  <si>
    <t>Dewgong is a Water/Ice type Pokémon introduced in Generation 1. It is known as the Sea Lion Pokémon.</t>
  </si>
  <si>
    <t>88</t>
  </si>
  <si>
    <t>Sludge Pokémon</t>
  </si>
  <si>
    <t>Alolan Grimer</t>
  </si>
  <si>
    <t>Grimer is a Poison type Pokémon introduced in Generation 1. It is known as the Sludge Pokémon.
Grimer has a new Alolan form introduced in Pokémon Sun/Moon.</t>
  </si>
  <si>
    <t>Grimer</t>
  </si>
  <si>
    <t>89</t>
  </si>
  <si>
    <t>Alolan Muk</t>
  </si>
  <si>
    <t>Muk is a Poison type Pokémon introduced in Generation 1. It is known as the Sludge Pokémon.
Muk has a new Alolan form introduced in Pokémon Sun/Moon.</t>
  </si>
  <si>
    <t>Muk</t>
  </si>
  <si>
    <t>9</t>
  </si>
  <si>
    <t>Blastoise</t>
  </si>
  <si>
    <t>Blastoise is a Water type Pokémon introduced in Generation 1. It is known as the Shellfish Pokémon.
Blastoise has a Mega Evolution, available from X &amp; Y onwards.</t>
  </si>
  <si>
    <t>Mega Blastoise</t>
  </si>
  <si>
    <t>90</t>
  </si>
  <si>
    <t>Shellder</t>
  </si>
  <si>
    <t>Shellder is a Water type Pokémon introduced in Generation 1. It is known as the Bivalve Pokémon.</t>
  </si>
  <si>
    <t>91</t>
  </si>
  <si>
    <t>Cloyster</t>
  </si>
  <si>
    <t>Cloyster is a Water/Ice type Pokémon introduced in Generation 1. It is known as the Bivalve Pokémon.</t>
  </si>
  <si>
    <t>92</t>
  </si>
  <si>
    <t>Gas Pokémon</t>
  </si>
  <si>
    <t>Gastly</t>
  </si>
  <si>
    <t>Gastly is a Ghost/Poison type Pokémon introduced in Generation 1. It is known as the Gas Pokémon.</t>
  </si>
  <si>
    <t>93</t>
  </si>
  <si>
    <t>Haunter</t>
  </si>
  <si>
    <t>Haunter is a Ghost/Poison type Pokémon introduced in Generation 1. It is known as the Gas Pokémon.</t>
  </si>
  <si>
    <t>94</t>
  </si>
  <si>
    <t>Shadow Pokémon</t>
  </si>
  <si>
    <t>Gengar</t>
  </si>
  <si>
    <t>Gengar is a Ghost/Poison type Pokémon introduced in Generation 1. It is known as the Shadow Pokémon.
Gengar has a Mega Evolution, available from X &amp; Y onwards.
Prior to Generation 7, Gengar had the Levitate ability.</t>
  </si>
  <si>
    <t>Mega Gengar</t>
  </si>
  <si>
    <t>95</t>
  </si>
  <si>
    <t>Rock Snake Pokémon</t>
  </si>
  <si>
    <t>Onix</t>
  </si>
  <si>
    <t>Onix is a Rock/Ground type Pokémon introduced in Generation 1. It is known as the Rock Snake Pokémon.</t>
  </si>
  <si>
    <t>96</t>
  </si>
  <si>
    <t>Hypnosis Pokémon</t>
  </si>
  <si>
    <t>Drowzee</t>
  </si>
  <si>
    <t>Drowzee is a Psychic type Pokémon introduced in Generation 1. It is known as the Hypnosis Pokémon.</t>
  </si>
  <si>
    <t>97</t>
  </si>
  <si>
    <t>Hypno</t>
  </si>
  <si>
    <t>Hypno is a Psychic type Pokémon introduced in Generation 1. It is known as the Hypnosis Pokémon.</t>
  </si>
  <si>
    <t>98</t>
  </si>
  <si>
    <t>River Crab Pokémon</t>
  </si>
  <si>
    <t>Krabby</t>
  </si>
  <si>
    <t>Krabby is a Water type Pokémon introduced in Generation 1. It is known as the River Crab Pokémon.</t>
  </si>
  <si>
    <t>99</t>
  </si>
  <si>
    <t>Kingler</t>
  </si>
  <si>
    <t>Kingler is a Water type Pokémon introduced in Generation 1. It is known as the Pincer Pokémon.</t>
  </si>
  <si>
    <t>num</t>
  </si>
  <si>
    <t>Descrição Pt-br</t>
  </si>
  <si>
    <t>specie Pt-Br</t>
  </si>
  <si>
    <t>Bulbasaur é um Pokémon do tipo grama/veneno introduzido na geração 1. É conhecido como Pokémon de sementes.</t>
  </si>
  <si>
    <t>Pokémon de semente</t>
  </si>
  <si>
    <t>Caterpie é um Pokémon do tipo bug introduzido na geração 1. É conhecido como Pokémon Worm.</t>
  </si>
  <si>
    <t>Pokémon de minhocas</t>
  </si>
  <si>
    <t>O Voltorb é um Pokémon do tipo elétrico introduzido na geração 1. É conhecido como Pokémon da bola.</t>
  </si>
  <si>
    <t>Pokémon de bola</t>
  </si>
  <si>
    <t>O eletrodo é um Pokémon do tipo elétrico introduzido na geração 1. É conhecido como Pokémon da bola.</t>
  </si>
  <si>
    <t>Exeggcute é um Pokémon do tipo grama/psíquico introduzido na geração 1. É conhecido como Pokémon do ovo.</t>
  </si>
  <si>
    <t>Pokémon de ovo</t>
  </si>
  <si>
    <t>O Exeggutor é um Pokémon do tipo grama/psíquico introduzido na geração 1. É conhecido como Pokémon de coco.
O Exeggutor tem uma nova forma Alolan introduzida em Pokémon Sun/Moon.</t>
  </si>
  <si>
    <t>Pokémon de coco</t>
  </si>
  <si>
    <t>Cubone é um Pokémon do tipo terra introduzido na geração 1. É conhecido como Pokémon solitário.</t>
  </si>
  <si>
    <t>Pokémon solitário</t>
  </si>
  <si>
    <t>Marowak é um Pokémon do tipo terrestre introduzido na geração 1. É conhecido como Pokémon de guardião dos ossos.
Marowak tem uma nova forma Alolan introduzida em Pokémon Sun/Moon.</t>
  </si>
  <si>
    <t>Pokémon Pokémon do osso</t>
  </si>
  <si>
    <t>O Hitmonlee é um Pokémon do tipo luta introduzido na geração 1. É conhecido como o Pokémon Kicking.</t>
  </si>
  <si>
    <t>Chutando Pokémon</t>
  </si>
  <si>
    <t>Hitmonchan é um Pokémon do tipo de luta introduzido na geração 1. É conhecido como Pokémon de perfuração.</t>
  </si>
  <si>
    <t>Pokémon de soco</t>
  </si>
  <si>
    <t>Lickitung é um Pokémon do tipo normal introduzido na geração 1. É conhecido como Pokémon Licking.</t>
  </si>
  <si>
    <t>Lambendo Pokémon</t>
  </si>
  <si>
    <t>Koffing é um Pokémon do tipo veneno introduzido na geração 1. É conhecido como Pokémon de gás venenoso.</t>
  </si>
  <si>
    <t>Pokémon de gás venenoso</t>
  </si>
  <si>
    <t>O Metapod é um Pokémon do tipo bug introduzido na geração 1. É conhecido como Pokémon Cocoon.</t>
  </si>
  <si>
    <t>Pokémon Cocoon</t>
  </si>
  <si>
    <t>O weezing é um Pokémon do tipo veneno introduzido na geração 1. É conhecido como Pokémon de gás venenoso.</t>
  </si>
  <si>
    <t>Rhyhorn é um Pokémon de terra/rocha introduzido na geração 1. É conhecido como Pokémon Spikes.</t>
  </si>
  <si>
    <t>Rhydon é um Pokémon de terra/rocha introduzido na geração 1. É conhecido como Pokémon Drill.</t>
  </si>
  <si>
    <t>Chansey é um Pokémon do tipo normal introduzido na geração 1. É conhecido como Pokémon do ovo.</t>
  </si>
  <si>
    <t>Tangela é um Pokémon do tipo grama introduzido na geração 1. É conhecido como Pokémon Vine.</t>
  </si>
  <si>
    <t>Kangaskhan é um Pokémon do tipo normal introduzido na geração 1. É conhecido como Pokémon pai.
Kangaskhan tem uma mega evolução, disponível a partir de X&amp;Y.</t>
  </si>
  <si>
    <t>Pokémon dos pais</t>
  </si>
  <si>
    <t>Horsea é um Pokémon do tipo água introduzido na geração 1. É conhecido como Pokémon Dragon.</t>
  </si>
  <si>
    <t>Dragão Pokémon</t>
  </si>
  <si>
    <t>Seadra é um Pokémon do tipo água introduzido na geração 1. É conhecido como Pokémon Dragon.</t>
  </si>
  <si>
    <t>Goldeen é um Pokémon do tipo água introduzido na geração 1. É conhecido como Pokémon Goldfish.</t>
  </si>
  <si>
    <t>Pokémon de peixe dourado</t>
  </si>
  <si>
    <t>O Seak é um Pokémon do tipo água introduzido na geração 1. É conhecido como Pokémon Goldfish.</t>
  </si>
  <si>
    <t>Butterfree é um Pokémon do tipo bug/voador introduzido na geração 1. É conhecido como Pokémon Butterfly.</t>
  </si>
  <si>
    <t>Pokémon borboleta</t>
  </si>
  <si>
    <t>Staryu é um Pokémon do tipo água introduzido na geração 1. É conhecido como Pokémon da forma de estrela.</t>
  </si>
  <si>
    <t>Pokémon em forma de estrela</t>
  </si>
  <si>
    <t>Starmie é um Pokémon do tipo água/psíquica introduzido na geração 1. É conhecido como o misterioso Pokémon.</t>
  </si>
  <si>
    <t>Pokémon misterioso</t>
  </si>
  <si>
    <t>O Sr. Mime é um Pokémon psíquico/de fada introduzido na geração 1. É conhecido como Pokémon Barreira.</t>
  </si>
  <si>
    <t>Pokémon de barreira</t>
  </si>
  <si>
    <t>O Scyther é um Pokémon do tipo bug/voador introduzido na geração 1. É conhecido como Mantis Pokémon.</t>
  </si>
  <si>
    <t>Jynx é um Pokémon do tipo gelo/psíquico introduzido na geração 1. É conhecido como Pokémon da forma humana.</t>
  </si>
  <si>
    <t>Pokémon de forma humana</t>
  </si>
  <si>
    <t>Electabuzz é um Pokémon do tipo elétrico introduzido na geração 1. É conhecido como Pokémon elétrico.</t>
  </si>
  <si>
    <t>Pokémon elétrico</t>
  </si>
  <si>
    <t>Magmar é um Pokémon do tipo incêndio introduzido na geração 1. É conhecido como Pokémon Spitfire.</t>
  </si>
  <si>
    <t>Pinsir é um Pokémon do tipo inseto introduzido na geração 1. É conhecido como Pokémon de Beetle Stag.
Pinsir tem uma mega evolução, disponível a partir de X &amp; Y.</t>
  </si>
  <si>
    <t>Pokémon de stag besouro</t>
  </si>
  <si>
    <t>Tauros é um Pokémon do tipo normal introduzido na geração 1. É conhecido como Pokémon Bull Wild.</t>
  </si>
  <si>
    <t>Pokémon de touro selvagem</t>
  </si>
  <si>
    <t>Magikarp é um Pokémon do tipo água introduzido na geração 1. É conhecido como Pokémon de peixe.</t>
  </si>
  <si>
    <t>Pokémon de peixe</t>
  </si>
  <si>
    <t>O Weedle é um Pokémon do tipo bug/veneno introduzido na geração 1. É conhecido como Pokémon Bug Bug Hairy.</t>
  </si>
  <si>
    <t>Pokémon de insetos peludos</t>
  </si>
  <si>
    <t>Gyarados é um Pokémon do tipo água/voador introduzido na geração 1. É conhecido como Pokémon atroz.
Gyarados tem uma mega evolução, disponível a partir de X&amp;Y.</t>
  </si>
  <si>
    <t>Pokémon atroz</t>
  </si>
  <si>
    <t>Lapras é um Pokémon do tipo água/gelo introduzido na geração 1. É conhecido como Pokémon de transporte.</t>
  </si>
  <si>
    <t>Pokémon de transporte</t>
  </si>
  <si>
    <t>O idem é um Pokémon do tipo normal introduzido na geração 1. É conhecido como Pokémon de transformação.</t>
  </si>
  <si>
    <t>Transforme Pokémon</t>
  </si>
  <si>
    <t>Eevee é um Pokémon do tipo normal introduzido na geração 1. É conhecido como Pokémon da evolução.</t>
  </si>
  <si>
    <t>Pokémon da evolução</t>
  </si>
  <si>
    <t>O Vaporeon é um Pokémon do tipo água introduzido na geração 1. É conhecido como Pokémon de jato de bolha.</t>
  </si>
  <si>
    <t>Pokémon de jato de bolha</t>
  </si>
  <si>
    <t>Jolteon é um Pokémon do tipo elétrico introduzido na geração 1. É conhecido como Pokémon Lightning.</t>
  </si>
  <si>
    <t>Flareon é um Pokémon do tipo fogo introduzido na geração 1. É conhecido como Pokémon Flame.</t>
  </si>
  <si>
    <t>Pokémon de chama</t>
  </si>
  <si>
    <t>Porygon é um Pokémon do tipo normal introduzido na geração 1. É conhecido como Pokémon virtual.</t>
  </si>
  <si>
    <t>Pokémon virtual</t>
  </si>
  <si>
    <t>Omanyte é um Pokémon do tipo rocha/água introduzido na geração 1. É conhecido como Pokémon em espiral.</t>
  </si>
  <si>
    <t>Pokémon em espiral</t>
  </si>
  <si>
    <t>O OMASTAR é um Pokémon do tipo rocha/água introduzido na geração 1. É conhecido como Pokémon em espiral.</t>
  </si>
  <si>
    <t>Kakuna é um Pokémon do tipo inseto/veneno introduzido na geração 1. É conhecido como Pokémon Cocoon.</t>
  </si>
  <si>
    <t>Kabuto é um Pokémon do tipo rocha/água introduzido na geração 1. É conhecido como Pokémon de moluscos.</t>
  </si>
  <si>
    <t>Pokémon de moluscos</t>
  </si>
  <si>
    <t>Kabutops é um Pokémon do tipo rocha/água introduzido na geração 1. É conhecido como Pokémon de moluscos.</t>
  </si>
  <si>
    <t>Aerodactyl é um Pokémon do tipo rocha/voador introduzido na geração 1. É conhecido como Pokémon fóssil.
O Aerodactyl tem uma mega evolução, disponível a partir de X&amp;Y.</t>
  </si>
  <si>
    <t>Pokémon fóssil</t>
  </si>
  <si>
    <t>O Snorlax é um Pokémon do tipo normal introduzido na geração 1. É conhecido como Pokémon Sleeping.</t>
  </si>
  <si>
    <t>Pokémon dormindo</t>
  </si>
  <si>
    <t>Articuno é um Pokémon do tipo gelo/voador introduzido na geração 1. É conhecido como Pokémon Freeze.</t>
  </si>
  <si>
    <t>Congelar Pokémon</t>
  </si>
  <si>
    <t>O Zapdos é um Pokémon elétrico/voador introduzido na geração 1. É conhecido como Pokémon elétrico.</t>
  </si>
  <si>
    <t>Moltres é um Pokémon de Fogo/Vôo Introduzido na Geração 1. É conhecido como Pokémon Flame.</t>
  </si>
  <si>
    <t>Dratini é um Pokémon do tipo dragão introduzido na geração 1. É conhecido como Pokémon Dragon.</t>
  </si>
  <si>
    <t>Dragonair é um Pokémon do tipo dragão introduzido na geração 1. É conhecido como Pokémon Dragon.</t>
  </si>
  <si>
    <t>Dragonite é um Pokémon Dragon/Flying Type Introduzido na Geração 1. É conhecido como Pokémon Dragon.</t>
  </si>
  <si>
    <t>Beedrill é um Pokémon do tipo bug/veneno introduzido na geração 1. É conhecido como Pokémon Poison Bee.
Beedrill tem uma mega evolução, disponível na Omega Ruby &amp; Alpha Sapphire.</t>
  </si>
  <si>
    <t>Pokémon de abelha venenosa</t>
  </si>
  <si>
    <t>Mewtwo é um Pokémon do tipo psíquico introduzido na geração 1. É conhecido como Pokémon genético.
Mewtwo tem duas mega evoluções, disponíveis a partir de X&amp;Y. Eles podem ser ativados em batalha ao segurar as mega pedras, Mewtwonite X e Mewtwonite Y, respectivamente.</t>
  </si>
  <si>
    <t>Pokémon genético</t>
  </si>
  <si>
    <t>Mew é um Pokémon do tipo psíquico introduzido na geração 1. É conhecido como o novo Pokémon de espécies.</t>
  </si>
  <si>
    <t>Novas espécies Pokémon</t>
  </si>
  <si>
    <t>Chikorita é um Pokémon do tipo grama introduzido na geração 2. É conhecido como Pokémon Leaf.</t>
  </si>
  <si>
    <t>Pokémon da folha</t>
  </si>
  <si>
    <t>Bayleef é um Pokémon do tipo grama introduzido na geração 2. É conhecido como Pokémon Leaf.</t>
  </si>
  <si>
    <t>Meganium é um Pokémon do tipo grama introduzido na geração 2. É conhecido como Pokémon Herb.</t>
  </si>
  <si>
    <t>Cyndaquil é um Pokémon do tipo incêndio introduzido na geração 2. É conhecido como Pokémon do Mouse Fire.</t>
  </si>
  <si>
    <t>Pokémon do Mouse de Fire</t>
  </si>
  <si>
    <t>O quilava é um Pokémon do tipo incêndio introduzido na geração 2. É conhecido como Pokémon Vulcão.</t>
  </si>
  <si>
    <t>Vulcão Pokémon</t>
  </si>
  <si>
    <t>A Typhlosion é um Pokémon do tipo incêndio introduzido na geração 2. É conhecido como Pokémon Vulcão.</t>
  </si>
  <si>
    <t>Totodile é um Pokémon do tipo água introduzido na geração 2. É conhecido como Pokémon Big Jaw.</t>
  </si>
  <si>
    <t>Pokémon grande da mandíbula</t>
  </si>
  <si>
    <t>Croconaw é um Pokémon do tipo água introduzido na geração 2. É conhecido como o grande Pokémon da mandíbula.</t>
  </si>
  <si>
    <t>Pidgey é um Pokémon Normal/Voador Introduzido na Geração 1. É conhecido como Pokémon de Pássaro Tiny.</t>
  </si>
  <si>
    <t>Pokémon pequeno de pássaro</t>
  </si>
  <si>
    <t>Feraligatr é um Pokémon do tipo água introduzido na geração 2. É conhecido como Pokémon Big Jaw.</t>
  </si>
  <si>
    <t>O Sentret é um Pokémon do tipo normal introduzido na geração 2. É conhecido como Pokémon Scout.</t>
  </si>
  <si>
    <t>Furret é um Pokémon do tipo normal introduzido na geração 2. É conhecido como Pokémon do corpo longo.</t>
  </si>
  <si>
    <t>Pokémon corpo longo</t>
  </si>
  <si>
    <t>Hoothoot é um Pokémon Normal/Flying do tipo voador introduzido na geração 2. É conhecido como Pokémon Owl.</t>
  </si>
  <si>
    <t>Noctowl é um Pokémon normal/voador introduzido na geração 2. É conhecido como Pokémon da Owl.</t>
  </si>
  <si>
    <t>Ledyba é um Pokémon do tipo bug/voador introduzido na geração 2. É conhecido como o Pokémon de cinco estrelas.</t>
  </si>
  <si>
    <t>Pokémon cinco estrelas</t>
  </si>
  <si>
    <t>O LEDIAN é um Pokémon do tipo bug/voador introduzido na geração 2. É conhecido como o Pokémon de cinco estrelas.</t>
  </si>
  <si>
    <t>Spinarak é um Pokémon do tipo de bug/veneno introduzido na geração 2. É conhecido como Pokémon Cuspa de String.</t>
  </si>
  <si>
    <t>Pokémon cuspe de corda</t>
  </si>
  <si>
    <t>Ariados é um Pokémon do tipo bug/veneno introduzido na geração 2. É conhecido como Pokémon de perna longa.</t>
  </si>
  <si>
    <t>Pokémon de perna longa</t>
  </si>
  <si>
    <t>Crobat é um Pokémon de veneno/voador introduzido na geração 2. É conhecido como Pokémon Bat.</t>
  </si>
  <si>
    <t>Pokémon de morcego</t>
  </si>
  <si>
    <t>Pidgeotto é um Pokémon normal/voador introduzido na geração 1. É conhecido como Pokémon Bird.</t>
  </si>
  <si>
    <t>Pokémon de pássaro</t>
  </si>
  <si>
    <t>Chinchou é um Pokémon do tipo água/elétrico introduzido na geração 2. É conhecido como Pokémon do Angler.</t>
  </si>
  <si>
    <t>Pokémon do pescador</t>
  </si>
  <si>
    <t>Lanturn é um Pokémon do tipo água/elétrico introduzido na geração 2. É conhecido como Pokémon leve.</t>
  </si>
  <si>
    <t>Pokémon leve</t>
  </si>
  <si>
    <t>Pichu é um Pokémon do tipo elétrico introduzido na geração 2. É conhecido como o pequeno Pokémon de rato.</t>
  </si>
  <si>
    <t>Pokémon de mouse minúsculo</t>
  </si>
  <si>
    <t>Cleffa é um Pokémon do tipo fada introduzido na geração 2. É conhecido como Pokémon Star Shape.</t>
  </si>
  <si>
    <t>O IgglyBuff é um Pokémon normal/do tipo fada introduzido na geração 2. É conhecido como Pokémon de balão.</t>
  </si>
  <si>
    <t>Pokémon de balão</t>
  </si>
  <si>
    <t>O TOGEPI é um Pokémon do tipo fada introduzido na geração 2. É conhecido como Pokémon de Ball Spike.</t>
  </si>
  <si>
    <t>TOGETIC é um Pokémon do tipo de fada/voador introduzido na geração 2. É conhecido como Pokémon da Felicidade.</t>
  </si>
  <si>
    <t>Pokémon de felicidade</t>
  </si>
  <si>
    <t>A Natu é um Pokémon Psychic/Flying Type introduzido na geração 2. É conhecido como o pequeno Pokémon de pássaro.</t>
  </si>
  <si>
    <t>Xatu é um Pokémon psíquico/voador introduzido na geração 2. É conhecido como Pokémon Mystic.</t>
  </si>
  <si>
    <t>Pokémon místico</t>
  </si>
  <si>
    <t>Mareep é um Pokémon do tipo elétrico introduzido na geração 2. É conhecido como Pokémon de lã.</t>
  </si>
  <si>
    <t>Pokémon de lã</t>
  </si>
  <si>
    <t>O PIDGEOT é um Pokémon normal/voador introduzido na geração 1. É conhecido como Pokémon Bird.
Pidgeot tem uma mega evolução, disponível na Omega Ruby &amp; Alpha Sapphire em diante.</t>
  </si>
  <si>
    <t>Flaaffy é um Pokémon do tipo elétrico introduzido na geração 2. É conhecido como Pokémon de lã.</t>
  </si>
  <si>
    <t>O Ampharos é um Pokémon do tipo elétrico introduzido na geração 2. É conhecido como Pokémon leve.</t>
  </si>
  <si>
    <t>Bellossom é um Pokémon do tipo grama introduzido na geração 2. É conhecido como Pokémon Flower.</t>
  </si>
  <si>
    <t>Pokémon de flor</t>
  </si>
  <si>
    <t>Marill é um Pokémon do tipo água/fada introduzido na geração 2. É conhecido como Pokémon Aqua Mouse.</t>
  </si>
  <si>
    <t>Pokémon Aqua Mouse</t>
  </si>
  <si>
    <t>Azumarill é um Pokémon do tipo água/fada introduzido na geração 2. É conhecido como Pokémon Aqua Rabbit.</t>
  </si>
  <si>
    <t>Sudowoodo é um Pokémon do tipo rock introduzido na geração 2. É conhecido como Pokémon de imitação.</t>
  </si>
  <si>
    <t>Imitação Pokémon</t>
  </si>
  <si>
    <t>O PolitOed é um Pokémon do tipo água introduzido na geração 2. É conhecido como o Pokémon do sapo.</t>
  </si>
  <si>
    <t>Pokémon de sapo</t>
  </si>
  <si>
    <t>Hoppip é um Pokémon do tipo grama/voador introduzido na geração 2. É conhecido como Pokémon de Cottonweed.</t>
  </si>
  <si>
    <t>Skiploom é um Pokémon do tipo grama/voador introduzido na geração 2. É conhecido como Pokémon de Cottonweed.</t>
  </si>
  <si>
    <t>O JumPluff é um Pokémon do tipo grama/voador introduzido na geração 2. É conhecido como Pokémon de Cottonweed.</t>
  </si>
  <si>
    <t>Rattata é um Pokémon do tipo normal introduzido na geração 1. É conhecido como Pokémon de Mouse.
Rattata tem uma nova forma Alolan introduzida em Pokémon Sun/Moon.</t>
  </si>
  <si>
    <t>Pokémon de mouse</t>
  </si>
  <si>
    <t>O AIPOM é um Pokémon do tipo normal introduzido na geração 2. É conhecido como Pokémon de cauda longa.</t>
  </si>
  <si>
    <t>Pokémon de cauda longa</t>
  </si>
  <si>
    <t>A Sunkern é um Pokémon do tipo grama introduzido na geração 2. É conhecido como Pokémon de sementes.</t>
  </si>
  <si>
    <t>A Sunflora é um Pokémon do tipo grama introduzido na geração 2. É conhecido como Pokémon Sun.</t>
  </si>
  <si>
    <t>Pokémon de sol</t>
  </si>
  <si>
    <t>Yanma é um Pokémon do tipo bug/voador introduzido na geração 2. É conhecido como Pokémon de asa clara.</t>
  </si>
  <si>
    <t>Pokémon de asa clara</t>
  </si>
  <si>
    <t>Wooper é um Pokémon do tipo água/terra introduzido na geração 2. É conhecido como Pokémon de peixes aquáticos.</t>
  </si>
  <si>
    <t>Pokémon de peixe aquático</t>
  </si>
  <si>
    <t>Quagsire é um Pokémon do tipo água/terra introduzido na geração 2. É conhecido como Pokémon de peixes aquáticos.</t>
  </si>
  <si>
    <t>Espeon é um Pokémon do tipo psíquico introduzido na geração 2. É conhecido como Pokémon Sun.</t>
  </si>
  <si>
    <t>Umbreon é um Pokémon do tipo escuro introduzido na geração 2. É conhecido como Pokémon Moonlight.</t>
  </si>
  <si>
    <t>Pokémon da luz da lua</t>
  </si>
  <si>
    <t>Murkrow é um Pokémon do tipo escuro/voador introduzido na geração 2. É conhecido como Pokémon Darkness.</t>
  </si>
  <si>
    <t>Pokémon da escuridão</t>
  </si>
  <si>
    <t>Slowking é um Pokémon do tipo água/psíquico introduzido na geração 2. É conhecido como Pokémon Royal.</t>
  </si>
  <si>
    <t>Pokémon real</t>
  </si>
  <si>
    <t>Ivysaur é um Pokémon do tipo grama/veneno introduzido na geração 1. É conhecido como Pokémon de sementes.</t>
  </si>
  <si>
    <t>O raticato é um Pokémon do tipo normal introduzido na geração 1. É conhecido como Pokémon do mouse.</t>
  </si>
  <si>
    <t>Misdravus é um Pokémon do tipo fantasma introduzido na geração 2. É conhecido como Pokémon Screech.</t>
  </si>
  <si>
    <t>Pokémon screech</t>
  </si>
  <si>
    <t>O UNOWN é um Pokémon do tipo psíquico introduzido na geração 2. É conhecido como Pokémon de Símbolo.</t>
  </si>
  <si>
    <t>Pokémon de símbolo</t>
  </si>
  <si>
    <t>Wobbuffet é um Pokémon do tipo psíquico introduzido na geração 2. É conhecido como Pokémon do paciente.</t>
  </si>
  <si>
    <t>Pokémon do paciente</t>
  </si>
  <si>
    <t>Girafarig é um Pokémon normal/psíquico introduzido na geração 2. É conhecido como Pokémon Long Neck.</t>
  </si>
  <si>
    <t>Pokémon longo do pescoço</t>
  </si>
  <si>
    <t>O Pineco é um Pokémon do tipo bug introduzido na geração 2. É conhecido como Pokémon de Bagworm.</t>
  </si>
  <si>
    <t>Pokémon Pokémon</t>
  </si>
  <si>
    <t>O ForreRress é um Pokémon do tipo bug/aço introduzido na geração 2. É conhecido como Pokémon de Bagworm.</t>
  </si>
  <si>
    <t>Dunsparce é um Pokémon do tipo normal introduzido na geração 2. É conhecido como Pokémon de cobra terrestre.</t>
  </si>
  <si>
    <t>Pokémon de cobra terrestre</t>
  </si>
  <si>
    <t>O Gligar é um Pokémon de Terra -Flama/Vôo introduzido na geração 2. É conhecido como Pokémon Flyscorpion.</t>
  </si>
  <si>
    <t>Pokémon Flyscorpion</t>
  </si>
  <si>
    <t>O Steelix é um Pokémon do tipo aço/terra introduzido na geração 2. É conhecido como Pokémon de cobra de ferro.
A Steelix tem uma mega evolução, disponível na Omega Ruby &amp; Alpha Sapphire em diante.</t>
  </si>
  <si>
    <t>Pokémon de cobra de ferro</t>
  </si>
  <si>
    <t>O Snubbull é um Pokémon do tipo fada introduzido na geração 2. É conhecido como Pokémon de Fada.</t>
  </si>
  <si>
    <t>Pokémon de fada</t>
  </si>
  <si>
    <t>Spearow é um Pokémon Normal/Voador Introduzido na Geração 1. É conhecido como o pequeno Pokémon de pássaro.</t>
  </si>
  <si>
    <t>Granbull é um Pokémon do tipo fada introduzido na geração 2. É conhecido como Pokémon de Fairia.</t>
  </si>
  <si>
    <t>Qwilfish é um Pokémon do tipo água/veneno introduzido na geração 2. É conhecido como Pokémon Balloon.</t>
  </si>
  <si>
    <t>O Scizor é um Pokémon do tipo bug/aço introduzido na geração 2. É conhecido como Pokémon Pinca.
O Scizor é um Pokémon vermelho, metal, semelhante a uma formiga, com padrões amarelos e pretos em suas pinças que se assemelham a um padrão ocular. Seu corpo consiste em três partes principais: o tronco, o abdômen e a cabeça. Ele fica em duas pernas e possui um par de asas pequenas localizadas nas costas, que são usadas para controlar sua temperatura corporal, em vez de voar. O habitat de Scizor é exuberante e vasto, onde pode residir com o resto do enxame.
O Scizor evolui do scyther do tipo bug/voador, perdendo assim seu tipo de vôo após a evolução - uma ocorrência rara para o Pokémon.
O Scizor tem uma mega evolução, disponível a partir de X&amp;Y.</t>
  </si>
  <si>
    <t>Pokémon de pinça</t>
  </si>
  <si>
    <t>Shuckle é um Pokémon do tipo bug/rocha introduzido na geração 2. É conhecido como Pokémon do molde.</t>
  </si>
  <si>
    <t>Pokémon de molde</t>
  </si>
  <si>
    <t>Heracross é um Pokémon do tipo bug/luta introduzido na geração 2. É conhecido como o único Pokémon Horn.
Heracross tem uma mega evolução, disponível a partir de X&amp;Y.</t>
  </si>
  <si>
    <t>Pokémon de chifre único</t>
  </si>
  <si>
    <t>Sneasel é um Pokémon escuro/gelo introduzido na geração 2. É conhecido como Pokémon Claw Sharp.</t>
  </si>
  <si>
    <t>Pokémon nítido da garra</t>
  </si>
  <si>
    <t>Teddiursa é um Pokémon do tipo normal introduzido na geração 2. É conhecido como o pequeno Pokémon do urso.</t>
  </si>
  <si>
    <t>Pequeno Pokémon</t>
  </si>
  <si>
    <t>O Ursaring é um Pokémon do tipo normal introduzido na geração 2. É conhecido como Pokémon do Hibernador.</t>
  </si>
  <si>
    <t>Pokémon do hibernador</t>
  </si>
  <si>
    <t>Slugma é um Pokémon do tipo incêndio introduzido na geração 2. É conhecido como Pokémon de Lava.</t>
  </si>
  <si>
    <t>Pokémon de lava</t>
  </si>
  <si>
    <t>O Magcargo é um Pokémon do tipo Fire/Rock introduzido na geração 2. É conhecido como Pokémon Lava.</t>
  </si>
  <si>
    <t>Fearow é um Pokémon Normal/Voador Introduzido na Geração 1. É conhecido como Pokémon de Bico.</t>
  </si>
  <si>
    <t>Pokémon de bico</t>
  </si>
  <si>
    <t>O Swinub é um Pokémon do tipo gelo/solo introduzido na geração 2. É conhecido como Pokémon Pig.</t>
  </si>
  <si>
    <t>Pokémon de porco</t>
  </si>
  <si>
    <t>Piloswine é um Pokémon do tipo gelo/terra introduzido na geração 2. É conhecido como Pokémon suíno.</t>
  </si>
  <si>
    <t>Pokémon suína</t>
  </si>
  <si>
    <t>Corsola é um Pokémon do tipo água/rocha introduzido na geração 2. É conhecido como Pokémon de Coral.</t>
  </si>
  <si>
    <t>Pokémon de coral</t>
  </si>
  <si>
    <t>Remoraid é um Pokémon do tipo água introduzido na geração 2. É conhecido como Jet Pokémon.</t>
  </si>
  <si>
    <t>O Octilery é um Pokémon do tipo água introduzido na geração 2. É conhecido como Jet Pokémon.</t>
  </si>
  <si>
    <t>O Delibird é um Pokémon do tipo gelo/voador introduzido na geração 2. É conhecido como Pokémon de entrega.</t>
  </si>
  <si>
    <t>Pokémon de entrega</t>
  </si>
  <si>
    <t>O Mantine é um Pokémon do tipo água/voador introduzido na geração 2. É conhecido como Pokémon Kite.</t>
  </si>
  <si>
    <t>Pokémon de pipa</t>
  </si>
  <si>
    <t>O Skarmory é um Pokémon de aço/voador introduzido na geração 2. É conhecido como Pokémon de pássaro Armour.</t>
  </si>
  <si>
    <t>Pokémon de pássaro de armadura</t>
  </si>
  <si>
    <t>Houndour é um Pokémon Dark/Fire, introduzido na geração 2. É conhecido como Pokémon escuro.</t>
  </si>
  <si>
    <t>Pokémon escuro</t>
  </si>
  <si>
    <t>O Houndoom é um Pokémon escuro/de fogo introduzido na geração 2. É conhecido como Pokémon escuro.
Houndoom tem uma mega evolução, disponível a partir de X&amp;Y.</t>
  </si>
  <si>
    <t>Ekans é um Pokémon do tipo veneno introduzido na geração 1. É conhecido como Pokémon Snake.</t>
  </si>
  <si>
    <t>Pokémon de cobra</t>
  </si>
  <si>
    <t>Kingdra é um Pokémon do tipo água/dragão introduzido na geração 2. É conhecido como Pokémon Dragon.</t>
  </si>
  <si>
    <t>Phanpy é um Pokémon do tipo terra introduzido na geração 2. É conhecido como Pokémon de nariz longo.</t>
  </si>
  <si>
    <t>Pokémon de nariz comprido</t>
  </si>
  <si>
    <t>Donphan é um Pokémon do tipo terra introduzido na geração 2. É conhecido como Pokémon Armour.</t>
  </si>
  <si>
    <t>Pokémon de armadura</t>
  </si>
  <si>
    <t>Porygon2 é um Pokémon do tipo normal introduzido na geração 2. É conhecido como Pokémon virtual.</t>
  </si>
  <si>
    <t>Stantler é um Pokémon do tipo normal introduzido na geração 2. É conhecido como Pokémon Big Horn.</t>
  </si>
  <si>
    <t>Smeargle é um Pokémon do tipo normal introduzido na geração 2. É conhecido como Pokémon Painter.</t>
  </si>
  <si>
    <t>Pokémon pintor</t>
  </si>
  <si>
    <t>Tyrogue é um Pokémon do tipo de luta introduzido na geração 2. É conhecido como Pokémon Scuffle.</t>
  </si>
  <si>
    <t>Pokémon bobo</t>
  </si>
  <si>
    <t>O Hitmontop é um Pokémon do tipo de luta introduzido na geração 2. É conhecido como Pokémon Handstand.</t>
  </si>
  <si>
    <t>Smoochum é um Pokémon do tipo gelo/psíquico introduzido na geração 2. É conhecido como o Pokémon Kiss.</t>
  </si>
  <si>
    <t>Beije Pokémon</t>
  </si>
  <si>
    <t>Elekid é um Pokémon do tipo elétrico introduzido na geração 2. É conhecido como Pokémon elétrico.</t>
  </si>
  <si>
    <t>Arbok é um Pokémon do tipo veneno introduzido na geração 1. É conhecido como Pokémon Cobra.</t>
  </si>
  <si>
    <t>Magby é um Pokémon do tipo incêndio introduzido na geração 2. É conhecido como Pokémon de carvão ao vivo.</t>
  </si>
  <si>
    <t>Pokémon de carvão vivo</t>
  </si>
  <si>
    <t>Miltank é um Pokémon do tipo normal introduzido na geração 2. É conhecido como Pokémon de vaca de leite.</t>
  </si>
  <si>
    <t>Pokémon de vaca de leite</t>
  </si>
  <si>
    <t>Blissey é um Pokémon do tipo normal introduzido na geração 2. É conhecido como Pokémon da Felicidade.</t>
  </si>
  <si>
    <t>Raikou é um Pokémon do tipo elétrico introduzido na geração 2. É conhecido como Pokémon Thunder.
Antes da geração 7, Raikou tinha o Volt absorvido como sua capacidade oculta.</t>
  </si>
  <si>
    <t>Pokémon Thunder</t>
  </si>
  <si>
    <t>Entei é um Pokémon do tipo incêndio introduzido na geração 2. É conhecido como Pokémon Vulcão.
Antes da geração 7, a Entei tinha fogo flash como sua habilidade oculta.</t>
  </si>
  <si>
    <t>Suicune é um Pokémon do tipo água introduzido na geração 2. É conhecido como Pokémon Aurora.
Antes da geração 7, o Suicune absorve água como sua capacidade oculta.</t>
  </si>
  <si>
    <t>Larvitar é um Pokémon do tipo rock/terra introduzido na geração 2. É conhecido como Pokémon Skin Skin.</t>
  </si>
  <si>
    <t>Pokémon da pele da rocha</t>
  </si>
  <si>
    <t>O Pupitar é um Pokémon do tipo rock/terra introduzido na geração 2. É conhecido como Pokémon Hard Shell.</t>
  </si>
  <si>
    <t>Pokémon de concha dura</t>
  </si>
  <si>
    <t>Tyranitar é um Pokémon de rock/escuro introduzido na geração 2. É conhecido como Pokémon Armour.
A Tyranitar tem uma mega evolução, disponível a partir de X&amp;Y.</t>
  </si>
  <si>
    <t>Lugia é um Pokémon psíquico/voador introduzido na geração 2. É conhecido como Pokémon de Mergulho.</t>
  </si>
  <si>
    <t>Pokémon de mergulho</t>
  </si>
  <si>
    <t>O Pikachu é um Pokémon do tipo elétrico introduzido na geração 1. É conhecido como Pokémon de Mouse.</t>
  </si>
  <si>
    <t>Ho-OH é um Pokémon de Fogo/Vôo Introduzido na Geração 2. É conhecido como Pokémon Rainbow.</t>
  </si>
  <si>
    <t>Pokémon arco -íris</t>
  </si>
  <si>
    <t>Celebi é um Pokémon psíquico/grama introduzido na geração 2. É conhecido como Pokémon de viagem no tempo.</t>
  </si>
  <si>
    <t>Pokémon de viagem no tempo</t>
  </si>
  <si>
    <t>Treecko é um Pokémon do tipo grama introduzido na geração 3. É conhecido como Pokémon de Gecko Wood.</t>
  </si>
  <si>
    <t>Pokémon de lagartixa de madeira</t>
  </si>
  <si>
    <t>Grovyle é um Pokémon do tipo grama introduzido na geração 3. É conhecido como Pokémon de Gecko Wood.</t>
  </si>
  <si>
    <t>O SCECTILE é um Pokémon do tipo grama introduzido na geração 3. É conhecido como Pokémon da Floresta.
Sceptile tem uma mega evolução, disponível na Omega Ruby &amp; Alpha Sapphire em diante.</t>
  </si>
  <si>
    <t>Pokémon da floresta</t>
  </si>
  <si>
    <t>Torchic é um Pokémon do tipo incêndio introduzido na geração 3. É conhecido como Pokémon Chick.</t>
  </si>
  <si>
    <t>Combusken é um Pokémon do tipo Fire/Fighting introduzido na geração 3. É conhecido como o jovem Pokémon de aves.</t>
  </si>
  <si>
    <t>Pokémon de aves jovens</t>
  </si>
  <si>
    <t>Blaziken é um Pokémon do tipo Fire/Fighting introduzido na geração 3. É conhecido como Pokémon Blaze.
Blaziken tem uma mega evolução, disponível a partir da X&amp;Y.</t>
  </si>
  <si>
    <t>Mudkip é um Pokémon do tipo água introduzido na geração 3. É conhecido como Pokémon de peixe de lama.</t>
  </si>
  <si>
    <t>Pokémon de peixe de lama</t>
  </si>
  <si>
    <t>Marshtomp é um Pokémon do tipo água/terra introduzido na geração 3. É conhecido como Pokémon de peixe de lama.</t>
  </si>
  <si>
    <t>Raichu é um Pokémon do tipo elétrico introduzido na geração 1. É conhecido como Pokémon de Mouse.
Raichu tem uma nova forma Alolan introduzida em Pokémon Sun/Moon.</t>
  </si>
  <si>
    <t>Swampert é um Pokémon do tipo água/terra introduzido na geração 3. É conhecido como Pokémon de peixe de lama.
Swampert tem uma mega evolução, disponível na Omega Ruby &amp; Alpha Sapphire.</t>
  </si>
  <si>
    <t>Poochyena é um Pokémon do tipo escuro introduzido na geração 3. É conhecido como Pokémon Bite.</t>
  </si>
  <si>
    <t>Morda Pokémon</t>
  </si>
  <si>
    <t>Mightyena é um Pokémon do tipo escuro introduzido na geração 3. É conhecido como Pokémon de Mordida.</t>
  </si>
  <si>
    <t>O Zigzagoon é um Pokémon do tipo normal introduzido na geração 3. É conhecido como Pokémon Tinyraccoon.</t>
  </si>
  <si>
    <t>Pokémon Tinyraccoon</t>
  </si>
  <si>
    <t>Linoone é um Pokémon do tipo normal introduzido na geração 3. É conhecido como Pokémon apressado.</t>
  </si>
  <si>
    <t>Pokémon apressando</t>
  </si>
  <si>
    <t>Wurmple é um Pokémon do tipo bug introduzido na geração 3. É conhecido como Pokémon Worm.</t>
  </si>
  <si>
    <t>O Silcoon é um Pokémon do tipo inseto introduzido na geração 3. É conhecido como Pokémon Cocoon.</t>
  </si>
  <si>
    <t>Beautifly é um Pokémon do tipo bug/voador introduzido na geração 3. É conhecido como Pokémon Butterfly.</t>
  </si>
  <si>
    <t>Cascoon é um Pokémon do tipo bug introduzido na geração 3. É conhecido como Pokémon Cocoon.</t>
  </si>
  <si>
    <t>O Dustox é um Pokémon do tipo bug/veneno introduzido na geração 3. É conhecido como Pokémon Poison Moth Pokémon.</t>
  </si>
  <si>
    <t>Pokémon de mariposa venenosa</t>
  </si>
  <si>
    <t>O sandshrew é um Pokémon do tipo terra introduzido na geração 1. É conhecido como Pokémon de Mouse.
O sandshrew tem uma nova forma Alolan introduzida em Pokémon Sun/Moon.</t>
  </si>
  <si>
    <t>O LOTAD é um Pokémon do tipo água/grama introduzido na geração 3. É conhecido como Pokémon de ervas daninhas de água.</t>
  </si>
  <si>
    <t>Pokémon de ervas daninhas de água</t>
  </si>
  <si>
    <t>O Lombre é um Pokémon do tipo água/grama introduzido na geração 3. É conhecido como Pokémon Jolly.</t>
  </si>
  <si>
    <t>Ludicolo é um Pokémon do tipo água/grama introduzido na geração 3. É conhecido como Pokémon despreocupado.</t>
  </si>
  <si>
    <t>Pokémon despreocupado</t>
  </si>
  <si>
    <t>O Seedot é um Pokémon do tipo grama introduzido na geração 3. É conhecido como Pokémon de Bolota.</t>
  </si>
  <si>
    <t>Pokémon de bolotas</t>
  </si>
  <si>
    <t>O Nuzleaf é um Pokémon de grama/escuro introduzido na geração 3. É conhecido como Pokémon astuto.</t>
  </si>
  <si>
    <t>Pokémon astuto</t>
  </si>
  <si>
    <t>Shiftry é um Pokémon de grama/escuro introduzido na geração 3. É conhecido como Pokémon perverso.</t>
  </si>
  <si>
    <t>Pokémon perverso</t>
  </si>
  <si>
    <t>Taillow é um Pokémon normal/voador introduzido na geração 3. É conhecido como Pokémon Tinyswallow.</t>
  </si>
  <si>
    <t>Tinyswallow Pokémon</t>
  </si>
  <si>
    <t>Swellow é um Pokémon Normal/Voador Introduzido na Geração 3. É conhecido como Pokémon Swallow.</t>
  </si>
  <si>
    <t>Engolir Pokémon</t>
  </si>
  <si>
    <t>Wingull é um Pokémon do tipo água/voador introduzido na geração 3. É conhecido como Pokémon gaivota.</t>
  </si>
  <si>
    <t>Pokémon gaivota</t>
  </si>
  <si>
    <t>Pelipper é um Pokémon do tipo água/voador introduzido na geração 3. É conhecido como Pokémon de pássaro aquático.</t>
  </si>
  <si>
    <t>Pokémon de pássaros aquáticos</t>
  </si>
  <si>
    <t>Sandslash é um Pokémon do tipo terra introduzido na geração 1. É conhecido como Pokémon de Mouse.
Sandslash tem uma nova forma Alolan introduzida em Pokémon Sun/Moon.</t>
  </si>
  <si>
    <t>Ralts é um Pokémon psíquico/de fada introduzido na geração 3. É conhecido como Pokémon de Sentimento.</t>
  </si>
  <si>
    <t>Sentindo Pokémon</t>
  </si>
  <si>
    <t>Kirlia é um Pokémon psíquico/de fada introduzido na geração 3. É conhecido como Pokémon Emotion.</t>
  </si>
  <si>
    <t>Pokémon emoção</t>
  </si>
  <si>
    <t>Gardevoir é um Pokémon psíquico/de fada introduzido na geração 3. É conhecido como Pokémon Abraço.
Gardevoir tem uma mega evolução, disponível a partir de X&amp;Y.</t>
  </si>
  <si>
    <t>Abrace Pokémon</t>
  </si>
  <si>
    <t>Surskit é um Pokémon do tipo bug/água introduzido na geração 3. É conhecido como Pokémon de skatista da lagoa.</t>
  </si>
  <si>
    <t>Pokémon de skatista da lagoa</t>
  </si>
  <si>
    <t>Masquerain é um Pokémon do tipo bug/voador introduzido na geração 3. É conhecido como Pokémon do globo ocular.</t>
  </si>
  <si>
    <t>Pokémon do globo ocular</t>
  </si>
  <si>
    <t>Shroomish é um Pokémon do tipo grama introduzido na geração 3. É conhecido como Pokémon de cogumelos.</t>
  </si>
  <si>
    <t>Pokémon de cogumelos</t>
  </si>
  <si>
    <t>O Breloom é um Pokémon do tipo grama/luta introduzido na geração 3. É conhecido como Pokémon de cogumelos.</t>
  </si>
  <si>
    <t>Slakoth é um Pokémon do tipo normal introduzido na geração 3. É conhecido como Pokémon Slacker.</t>
  </si>
  <si>
    <t>O Vigoroth é um Pokémon do tipo normal introduzido na geração 3. É conhecido como Pokémon Monkey Wild.</t>
  </si>
  <si>
    <t>Pokémon de macaco selvagem</t>
  </si>
  <si>
    <t>A coleta é um Pokémon do tipo normal introduzido na geração 3. É conhecido como Pokémon preguiçoso.</t>
  </si>
  <si>
    <t>Pokémon preguiçoso</t>
  </si>
  <si>
    <t>Nidoran♀ é um Pokémon do tipo veneno introduzido na geração 1. É conhecido como Pokémon Pin Poison.</t>
  </si>
  <si>
    <t>Pokémon de Pin Poison</t>
  </si>
  <si>
    <t>Nincada é um Pokémon do tipo bug/terra introduzido na geração 3. É conhecido como Pokémon Trainee.</t>
  </si>
  <si>
    <t>Pokémon estagiário</t>
  </si>
  <si>
    <t>Ninjask é um Pokémon do tipo bug/voador introduzido na geração 3. É conhecido como Pokémon Ninja.</t>
  </si>
  <si>
    <t>Pokémon ninja</t>
  </si>
  <si>
    <t>Shedinja é um Pokémon do tipo bug/fantasma introduzido na geração 3. É conhecido como Pokémon de galpão.</t>
  </si>
  <si>
    <t>Pokémon derramado</t>
  </si>
  <si>
    <t>Whismur é um Pokémon do tipo normal introduzido na geração 3. É conhecido como Pokémon Whisper.</t>
  </si>
  <si>
    <t>Pokémon sussurro</t>
  </si>
  <si>
    <t>Loudred é um Pokémon do tipo normal introduzido na geração 3. É conhecido como o Pokémon Big Voice.</t>
  </si>
  <si>
    <t>Pokémon grande de voz</t>
  </si>
  <si>
    <t>Exploud é um Pokémon do tipo normal introduzido na geração 3. É conhecido como Pokémon de ruído alto.</t>
  </si>
  <si>
    <t>Pokémon de ruído alto</t>
  </si>
  <si>
    <t>Makuhita é um Pokémon do tipo luta introduzido na geração 3. É conhecido como Pokémon Guts.</t>
  </si>
  <si>
    <t>Coragem do Pokémon</t>
  </si>
  <si>
    <t>Hariyama é um Pokémon do tipo de luta introduzido na geração 3. É conhecido como Pokémon de impulso do braço.</t>
  </si>
  <si>
    <t>Pokémon de impulso do braço</t>
  </si>
  <si>
    <t>Azurill é um Pokémon normal/do tipo fada introduzido na geração 3. É conhecido como Pokémon de bolinhas.</t>
  </si>
  <si>
    <t>Pokémon de bolinhas</t>
  </si>
  <si>
    <t>O nariz é um Pokémon do tipo rock introduzido na geração 3. É conhecido como Pokémon Compass.</t>
  </si>
  <si>
    <t>Pokémon da bússola</t>
  </si>
  <si>
    <t>Venusaur é um Pokémon do tipo grama/veneno introduzido na geração 1. É conhecido como Pokémon de sementes.
A Venusaur tem uma mega evolução, disponível a partir de X&amp;Y.</t>
  </si>
  <si>
    <t>Nidorina é um Pokémon do tipo veneno introduzido na geração 1. É conhecido como Pokémon Pin Poison.</t>
  </si>
  <si>
    <t>Skitty é um Pokémon do tipo normal introduzido na geração 3. É conhecido como Pokémon de gatinho.</t>
  </si>
  <si>
    <t>Pokémon de gatinho</t>
  </si>
  <si>
    <t>Delcatty é um Pokémon do tipo normal introduzido na geração 3. É conhecido como Pokémon Prim.</t>
  </si>
  <si>
    <t>Pokémon prim</t>
  </si>
  <si>
    <t>Sableye é um Pokémon escuro/fantasma introduzido na geração 3. É conhecido como Pokémon da escuridão.
Sableye tem uma mega evolução, disponível na Omega Ruby &amp; Alpha Sapphire.</t>
  </si>
  <si>
    <t>Mawile é um Pokémon do tipo de aço/fada introduzido na geração 3. É conhecido como Pokémon Deceiver.
Mawile tem uma mega evolução, disponível a partir de X&amp;Y.</t>
  </si>
  <si>
    <t>O Aron é um Pokémon do tipo aço/rocha introduzido na geração 3. É conhecido como Pokémon de Armadura de Ferro.</t>
  </si>
  <si>
    <t>Pokémon de armadura de ferro</t>
  </si>
  <si>
    <t>Lairon é um Pokémon do tipo aço/rocha introduzido na geração 3. É conhecido como Pokémon de Armadura de Ferro.</t>
  </si>
  <si>
    <t>Aggron é um Pokémon do tipo aço/rocha introduzido na geração 3. É conhecido como Pokémon de Armadura de Ferro.
O Aggron tem uma mega evolução, disponível a partir de X&amp;Y.</t>
  </si>
  <si>
    <t>A Meditite é um Pokémon do tipo de luta/psíquico introduzido na geração 3. É conhecido como Pokémon Medite.</t>
  </si>
  <si>
    <t>Medite Pokémon</t>
  </si>
  <si>
    <t>Medicham é um Pokémon de combate/psíquico introduzido na geração 3. É conhecido como Pokémon Medite.
Medicham tem uma mega evolução, disponível a partir de X&amp;Y.</t>
  </si>
  <si>
    <t>Electrike é um Pokémon do tipo elétrico introduzido na geração 3. É conhecido como Pokémon Lightning.</t>
  </si>
  <si>
    <t>NidoQueen é um Pokémon do tipo veneno/terra introduzido na geração 1. É conhecido como Pokémon Drill.</t>
  </si>
  <si>
    <t>O MANECTRIC é um Pokémon do tipo elétrico introduzido na geração 3. É conhecido como Pokémon de descarga.
A Manetric tem uma mega evolução, disponível a partir de X&amp;Y.</t>
  </si>
  <si>
    <t>Pokémon de descarga</t>
  </si>
  <si>
    <t>Plusle é um Pokémon do tipo elétrico introduzido na geração 3. É conhecido como Pokémon aplaudindo.</t>
  </si>
  <si>
    <t>Pokémon aplaudindo</t>
  </si>
  <si>
    <t>Minun é um Pokémon do tipo elétrico introduzido na geração 3. É conhecido como Pokémon aplaudindo.</t>
  </si>
  <si>
    <t>O Volbeat é um Pokémon do tipo bug introduzido na geração 3. É conhecido como Pokémon Firefly.</t>
  </si>
  <si>
    <t>Pokémon de Firefly</t>
  </si>
  <si>
    <t>Illumise é um Pokémon do tipo bug introduzido na geração 3. É conhecido como Pokémon Firefly.</t>
  </si>
  <si>
    <t>Roselia é um Pokémon do tipo grama/veneno introduzido na geração 3. É conhecido como Pokémon Thorn.</t>
  </si>
  <si>
    <t>Pokémon de Thorn</t>
  </si>
  <si>
    <t>Gulpin é um Pokémon do tipo veneno introduzido na geração 3. É conhecido como Pokémon estomacal.</t>
  </si>
  <si>
    <t>Pokémon de estômago</t>
  </si>
  <si>
    <t>Swalot é um Pokémon do tipo veneno introduzido na geração 3. É conhecido como Pokémon Pokémon.</t>
  </si>
  <si>
    <t>Pokémon de bolsa de veneno</t>
  </si>
  <si>
    <t>Carvanha é um Pokémon de água/escuro introduzido na geração 3. É conhecido como Pokémon Savage.</t>
  </si>
  <si>
    <t>Pokémon selvagem</t>
  </si>
  <si>
    <t>Sharped é um Pokémon de água/tipo escuro introduzido na geração 3. É conhecido como Pokémon brutal.
Sharped tem uma mega evolução, disponível na Omega Ruby &amp; Alpha Sapphire em diante.</t>
  </si>
  <si>
    <t>Pokémon brutal</t>
  </si>
  <si>
    <t>Nidoran♂ é um Pokémon do tipo veneno introduzido na geração 1. É conhecido como Pokémon Pin Poison.</t>
  </si>
  <si>
    <t>Wailmer é um Pokémon do tipo água introduzido na geração 3. É conhecido como Pokémon de baleia de bola.</t>
  </si>
  <si>
    <t>Pokémon de baleia de bola</t>
  </si>
  <si>
    <t>Wailord é um Pokémon do tipo água introduzido na geração 3. É conhecido como Pokémon de baleia flutuante.</t>
  </si>
  <si>
    <t>Pokémon de baleia flutuante</t>
  </si>
  <si>
    <t>O Numel é um Pokémon do tipo incêndio/terra introduzido na geração 3. É conhecido como Pokémon Numb.</t>
  </si>
  <si>
    <t>Pokémon entorpecido</t>
  </si>
  <si>
    <t>Camerupt é um Pokémon do tipo fogo/terra introduzido na geração 3. É conhecido como Pokémon de erupção.
Camerupt tem uma mega evolução, disponível na Omega Ruby &amp; Alpha Sapphire em diante.</t>
  </si>
  <si>
    <t>Pokémon de erupção</t>
  </si>
  <si>
    <t>Torkoal é um Pokémon do tipo incêndio introduzido na geração 3. É conhecido como Pokémon de carvão.</t>
  </si>
  <si>
    <t>Pokémon de carvão</t>
  </si>
  <si>
    <t>Spoink é um Pokémon do tipo psíquico introduzido na geração 3. É conhecido como Pokémon de salto.</t>
  </si>
  <si>
    <t>Pokémon de salto</t>
  </si>
  <si>
    <t>Grumpig é um Pokémon do tipo psíquico introduzido na geração 3. É conhecido como Pokémon manipulado.</t>
  </si>
  <si>
    <t>Manipular Pokémon</t>
  </si>
  <si>
    <t>Spinda é um Pokémon do tipo normal introduzido na geração 3. É conhecido como Pokémon Panda Spot.</t>
  </si>
  <si>
    <t>Spot panda Pokémon</t>
  </si>
  <si>
    <t>Trapinch é um Pokémon do tipo terrestre introduzido na geração 3. É conhecido como Pokémon de Ant Pit.</t>
  </si>
  <si>
    <t>Pokémon de pit de formiga</t>
  </si>
  <si>
    <t>Vibrava é um Pokémon do tipo de terra/dragão introduzido na geração 3. É conhecido como Pokémon de vibração.</t>
  </si>
  <si>
    <t>Pokémon de vibração</t>
  </si>
  <si>
    <t>Nidorino é um Pokémon do tipo veneno introduzido na geração 1. É conhecido como Pokémon Pin Poison.</t>
  </si>
  <si>
    <t>O Flygon é um Pokémon do tipo terrestre/dragão introduzido na geração 3. É conhecido como Pokémon Mystic.</t>
  </si>
  <si>
    <t>A cacnea é um Pokémon do tipo grama introduzido na geração 3. É conhecido como Pokémon Cactus.</t>
  </si>
  <si>
    <t>Cacturne é um Pokémon de grama/escuro introduzido na geração 3. É conhecido como Pokémon Scarecrow.</t>
  </si>
  <si>
    <t>O Swablu é um Pokémon normal/voador introduzido na geração 3. É conhecido como Pokémon de pássaro de algodão.</t>
  </si>
  <si>
    <t>Pokémon de pássaro de algodão</t>
  </si>
  <si>
    <t>Altaria é um Pokémon do tipo dragão/voador introduzido na geração 3. É conhecido como Pokémon Humming.
Altaria tem uma mega evolução, disponível na Omega Ruby &amp; Alpha Sapphire em diante.</t>
  </si>
  <si>
    <t>Pokémon cantarolando</t>
  </si>
  <si>
    <t>O Zangoose é um Pokémon do tipo normal introduzido na geração 3. É conhecido como Pokémon Ferret Cat.</t>
  </si>
  <si>
    <t>Pokémon de gato de gato</t>
  </si>
  <si>
    <t>O Seviper é um Pokémon do tipo veneno introduzido na geração 3. É conhecido como Pokémon Snake Fang.</t>
  </si>
  <si>
    <t>Lunatone é um Pokémon do tipo rock/psíquico introduzido na geração 3. É conhecido como Pokémon de Meteorito.</t>
  </si>
  <si>
    <t>Pokémon de meteorito</t>
  </si>
  <si>
    <t>Solrock é um Pokémon do tipo rock/psíquico introduzido na geração 3. É conhecido como Pokémon de Meteorito.</t>
  </si>
  <si>
    <t>Barboach é um Pokémon do tipo água/terra introduzido na geração 3. É conhecido como Pokémon dos Whiskers.</t>
  </si>
  <si>
    <t>Bigodes Pokémon</t>
  </si>
  <si>
    <t>Nidoking é um Pokémon do tipo veneno/terra introduzido na geração 1. É conhecido como Pokémon Drill.</t>
  </si>
  <si>
    <t>Whiscash é um Pokémon do tipo água/terra introduzido na geração 3. É conhecido como Pokémon dos Whiskers.</t>
  </si>
  <si>
    <t>Corphish é um Pokémon do tipo água introduzido na geração 3. É conhecido como Pokémon Ruffian.</t>
  </si>
  <si>
    <t>Pokémon Ruffian</t>
  </si>
  <si>
    <t>Crawdaunt é um Pokémon de água/escuro introduzido na geração 3. É conhecido como Pokémon desonesto.</t>
  </si>
  <si>
    <t>Pokémon desonesto</t>
  </si>
  <si>
    <t>Baltoy é um Pokémon do tipo terrestre/psíquico introduzido na geração 3. É conhecido como Pokémon de Doll Clay.</t>
  </si>
  <si>
    <t>Pokémon de boneca de barro</t>
  </si>
  <si>
    <t>Claydol é um Pokémon do tipo terrestre/psíquico introduzido na geração 3. É conhecido como Pokémon de Doll Clay.</t>
  </si>
  <si>
    <t>Lileep é um Pokémon do tipo rock/grama introduzido na geração 3. É conhecido como Pokémon do lírio marinho.</t>
  </si>
  <si>
    <t>Pokémon do lírio marinho</t>
  </si>
  <si>
    <t>Cradily é um Pokémon do tipo rock/grama introduzido na geração 3. É conhecido como Pokémon de Barnacle.</t>
  </si>
  <si>
    <t>Pokémon de Barnacle</t>
  </si>
  <si>
    <t>Anorith é um Pokémon do tipo rock/inseto introduzido na geração 3. É conhecido como o velho Pokémon de camarão.</t>
  </si>
  <si>
    <t>Pokémon antigo de camarão</t>
  </si>
  <si>
    <t>Armaldo é um Pokémon do tipo rocha/inseto introduzido na geração 3. É conhecido como Pokémon da placa.</t>
  </si>
  <si>
    <t>Pokémon de placa</t>
  </si>
  <si>
    <t>Feebas é um Pokémon do tipo água introduzido na geração 3. É conhecido como Pokémon de peixe.
O Feebas é muito raro em Ruby/Sapphire/Emerald, sendo disponível pescando em um dos apenas seis quadrados aleatórios na Rota 119. Da mesma forma em diamante/pérola/platina, só pode ser encontrada em um dos quatro quadrados aleatórios no Monte Coronet.
Feebas também tem uma evolução única. No RSE, o DPPT e o Omega Ruby/Alpha Sapphire, ele evoluirá para o Milotic, maximizando sua estatística de beleza com Poffins. A partir de Black/White, os Feebas evoluirão quando negociados com uma escala de prisma, no entanto, também pode evoluir se migrar de um jogo anterior já tendo o máximo de beleza.</t>
  </si>
  <si>
    <t>Clefairy é um Pokémon do tipo fada introduzido na geração 1. É conhecido como Pokémon de Fairia.</t>
  </si>
  <si>
    <t>Milotic é um Pokémon do tipo água introduzido na geração 3. É conhecido como Pokémon tenro.
O Milotic evolui de Feebas quando negociado com uma escala de prisma ou, antes de preto/branco, maximizando sua estatística de beleza com Poffins.</t>
  </si>
  <si>
    <t>Pokémon macio</t>
  </si>
  <si>
    <t>O Castform é um Pokémon do tipo normal introduzido na geração 3. É conhecido como Pokémon meteorológico.</t>
  </si>
  <si>
    <t>Pokémon climático</t>
  </si>
  <si>
    <t>Kecleon é um Pokémon do tipo normal introduzido na geração 3. É conhecido como Pokémon de troca de cores.</t>
  </si>
  <si>
    <t>Pokémon de troca de cores</t>
  </si>
  <si>
    <t>Shuppet é um Pokémon do tipo fantasma introduzido na geração 3. É conhecido como Pokémon Pontin.</t>
  </si>
  <si>
    <t>Pokém de fantoches</t>
  </si>
  <si>
    <t>Banette é um Pokémon do tipo fantasma introduzido na geração 3. É conhecido como Pokémon Marionette.
Banette tem uma mega evolução, disponível a partir de X&amp;Y.</t>
  </si>
  <si>
    <t>Marionete Pokémon</t>
  </si>
  <si>
    <t>Duskull é um Pokémon do tipo fantasma introduzido na geração 3. É conhecido como Pokémon Requiem.</t>
  </si>
  <si>
    <t>Dusclops é um Pokémon do tipo fantasma introduzido na geração 3. É conhecido como Pokémon Beckon.</t>
  </si>
  <si>
    <t>Tropius é um Pokémon do tipo grama/voador introduzido na geração 3. É conhecido como Pokémon de Frutas.</t>
  </si>
  <si>
    <t>Pokémon de frutas</t>
  </si>
  <si>
    <t>O Chimecho é um Pokémon do tipo psíquico introduzido na geração 3. É conhecido como Pokémon de carroceria de vento.</t>
  </si>
  <si>
    <t>Pokémon de carroceria de vento</t>
  </si>
  <si>
    <t>Absol é um Pokémon do tipo escuro introduzido na geração 3. É conhecido como Pokémon de Desastre.
Absol tem uma mega evolução, disponível a partir de X&amp;Y.</t>
  </si>
  <si>
    <t>Pokémon de desastre</t>
  </si>
  <si>
    <t>Clefable é um Pokémon do tipo de fada introduzido na geração 1. É conhecido como Pokémon de Fada.</t>
  </si>
  <si>
    <t>Wynaut é um Pokémon do tipo psíquico introduzido na geração 3. É conhecido como Pokémon brilhante.</t>
  </si>
  <si>
    <t>Pokémon brilhante</t>
  </si>
  <si>
    <t>Snorunt é um Pokémon do tipo gelo introduzido na geração 3. É conhecido como Pokémon Snow Hat Hat.</t>
  </si>
  <si>
    <t>Pokémon de chapéu de neve</t>
  </si>
  <si>
    <t>Glalie é um Pokémon do tipo gelo introduzido na geração 3. É conhecido como Pokémon FACE.
Glalie tem uma mega evolução, disponível na Omega Ruby &amp; Alpha Sapphire em diante.</t>
  </si>
  <si>
    <t>Speal é um Pokémon do tipo gelo/água introduzido na geração 3. É conhecido como Pokémon Clap.</t>
  </si>
  <si>
    <t>Pokémon aplaudido</t>
  </si>
  <si>
    <t>O Sealeo é um Pokémon do tipo gelo/água introduzido na geração 3. É conhecido como o Pokémon do rolo de bola.</t>
  </si>
  <si>
    <t>Pokémon do rolo de bola</t>
  </si>
  <si>
    <t>Walrein é um Pokémon do tipo gelo/água introduzido na geração 3. É conhecido como Pokémon de quebra de gelo.</t>
  </si>
  <si>
    <t>Pokémon de quebra de gelo</t>
  </si>
  <si>
    <t>CLAMPERL é um Pokémon do tipo água introduzido na geração 3. É conhecido como Pokémon bivalve.</t>
  </si>
  <si>
    <t>Pokémon bivalve</t>
  </si>
  <si>
    <t>Huntail é um Pokémon do tipo água introduzido na geração 3. É conhecido como Pokémon do Deep Mar.</t>
  </si>
  <si>
    <t>Pokémon do mar profundo</t>
  </si>
  <si>
    <t>Gorebyss é um Pokémon do tipo água introduzido na geração 3. É conhecido como Pokémon do Mar do Sul.</t>
  </si>
  <si>
    <t>Pokémon do Mar do Sul</t>
  </si>
  <si>
    <t>Relicanth é um Pokémon do tipo água/rocha introduzido na geração 3. É conhecido como Pokémon da longevidade.</t>
  </si>
  <si>
    <t>Pokémon de longevidade</t>
  </si>
  <si>
    <t>Vulpix é um Pokémon do tipo incêndio introduzido na geração 1. É conhecido como Pokémon Fox.
Vulpix tem uma nova forma Alolan introduzida em Pokémon Sun/Moon.</t>
  </si>
  <si>
    <t>Luvdisc é um Pokémon do tipo água introduzido na geração 3. É conhecido como Pokémon Rendezvous.</t>
  </si>
  <si>
    <t>Pokémon de Rendezvous</t>
  </si>
  <si>
    <t>Bagon é um Pokémon do tipo dragão introduzido na geração 3. É conhecido como Pokémon da cabeça da rocha.</t>
  </si>
  <si>
    <t>Pokémon de cabeça de rock</t>
  </si>
  <si>
    <t>Shelgon é um Pokémon do tipo dragão introduzido na geração 3. É conhecido como Pokémon de resistência.</t>
  </si>
  <si>
    <t>Pokémon de resistência</t>
  </si>
  <si>
    <t>Salamence é um Pokémon do tipo dragão/voador introduzido na geração 3. É conhecido como Pokémon Dragon.
A Salamence tem uma mega evolução, disponível na Omega Ruby &amp; Alpha Sapphire em diante.</t>
  </si>
  <si>
    <t>Beldum é um Pokémon do tipo aço/psíquico introduzido na geração 3. É conhecido como Pokémon de Iron Ball.</t>
  </si>
  <si>
    <t>Pokémon de bola de ferro</t>
  </si>
  <si>
    <t>O Metang é um Pokémon do tipo aço/psíquico introduzido na geração 3. É conhecido como Pokémon da garra de ferro.</t>
  </si>
  <si>
    <t>Pokémon da garra de ferro</t>
  </si>
  <si>
    <t>O Metagross é um Pokémon do tipo aço/psíquico introduzido na geração 3. É conhecido como Pokémon da perna de ferro.
O Metagross tem uma mega evolução, disponível na Omega Ruby &amp; Alpha Sapphire em diante.</t>
  </si>
  <si>
    <t>Pokémon de perna de ferro</t>
  </si>
  <si>
    <t>Regirock é um Pokémon do tipo rock introduzido na geração 3. É conhecido como Pokémon Pak de Rock.</t>
  </si>
  <si>
    <t>Pokémon de pico do rock</t>
  </si>
  <si>
    <t>Regice é um Pokémon do tipo gelo introduzido na geração 3. É conhecido como Pokémon iceberg.</t>
  </si>
  <si>
    <t>Registel é um Pokémon do tipo aço introduzido na geração 3. É conhecido como Pokémon de Ferro.</t>
  </si>
  <si>
    <t>Pokémon de ferro</t>
  </si>
  <si>
    <t>Ninetales é um Pokémon do tipo incêndio introduzido na geração 1. É conhecido como Pokémon Fox.</t>
  </si>
  <si>
    <t>Latias é um Pokémon do tipo dragão/psíquico introduzido na geração 3. É conhecido como Pokémon Eon.
Latias tem uma mega evolução, disponível na Omega Ruby &amp; Alpha Sapphire em diante.</t>
  </si>
  <si>
    <t>Latios é um Pokémon do tipo dragão/psíquico introduzido na geração 3. É conhecido como Pokémon Eon.
Latios tem uma mega evolução, disponível na Omega Ruby &amp; Alpha Sapphire em diante.</t>
  </si>
  <si>
    <t>Kyogre é um Pokémon do tipo água introduzido na geração 3. É conhecido como Pokémon da bacia do mar.</t>
  </si>
  <si>
    <t>Pokémon da bacia do mar</t>
  </si>
  <si>
    <t>Groudon é um Pokémon do tipo terra introduzido na geração 3. É conhecido como Pokémon do Continente.</t>
  </si>
  <si>
    <t>Pokémon do continente</t>
  </si>
  <si>
    <t>Rayquaza é um Pokémon do tipo dragão/voador introduzido na geração 3. É conhecido como Pokémon Sky High.
Rayquaza tem uma mega evolução, disponível na Omega Ruby &amp; Alpha Sapphire.</t>
  </si>
  <si>
    <t>Jirachi é um Pokémon do tipo aço/psíquico introduzido na geração 3. É conhecido como Pokémon Wish.</t>
  </si>
  <si>
    <t>Desejo Pokémon</t>
  </si>
  <si>
    <t>Deoxys é um Pokémon do tipo psíquico introduzido na geração 3. É conhecido como Pokémon de DNA.</t>
  </si>
  <si>
    <t>Pokémon de DNA</t>
  </si>
  <si>
    <t>Turtwig é um Pokémon do tipo grama introduzido na geração 4. É conhecido como o pequeno Pokémon Leaf.</t>
  </si>
  <si>
    <t>Pokémon de folhas minúsculas</t>
  </si>
  <si>
    <t>Grotle é um Pokémon do tipo grama introduzido na geração 4. É conhecido como Pokémon Grove.</t>
  </si>
  <si>
    <t>Torterra é um Pokémon do tipo grama/terra introduzido na geração 4. É conhecido como Pokémon do Continente.</t>
  </si>
  <si>
    <t>Jigglypuff é um Pokémon normal/do tipo fada introduzido na geração 1. É conhecido como Pokémon Balloon.</t>
  </si>
  <si>
    <t>Chimchar é um Pokémon do tipo incêndio introduzido na geração 4. É conhecido como Pokémon Chimp.</t>
  </si>
  <si>
    <t>Monferno é um Pokémon do tipo Fire/Fighting introduzido na geração 4. É conhecido como Pokémon lúdico.</t>
  </si>
  <si>
    <t>Pokémon brincalhão</t>
  </si>
  <si>
    <t>Infernape é um Pokémon do tipo Fire/Fighting introduzido na geração 4. É conhecido como Pokémon Flame.</t>
  </si>
  <si>
    <t>O PiPLUP é um Pokémon do tipo água introduzido na geração 4. É conhecido como Penguin Pokémon.</t>
  </si>
  <si>
    <t>Pokémon Penguin</t>
  </si>
  <si>
    <t>O PRINPLUP é um Pokémon do tipo água introduzido na geração 4. É conhecido como Penguin Pokémon.</t>
  </si>
  <si>
    <t>Empoleon é um Pokémon do tipo água/aço introduzido na geração 4. É conhecido como Pokémon Imperador.</t>
  </si>
  <si>
    <t>Imperador Pokémon</t>
  </si>
  <si>
    <t>Starly é um Pokémon Normal/Flying Type introduzido na geração 4. É conhecido como Pokémon Starling.</t>
  </si>
  <si>
    <t>Pokémon Starling</t>
  </si>
  <si>
    <t>Staravia é um Pokémon normal/voador introduzido na geração 4. É conhecido como Pokémon Starling.</t>
  </si>
  <si>
    <t>O Staraptor é um Pokémon normal/voador introduzido na geração 4. É conhecido como Pokémon Predator.</t>
  </si>
  <si>
    <t>Pokémon predador</t>
  </si>
  <si>
    <t>O Bidoof é um Pokémon do tipo normal introduzido na geração 4. É conhecido como Pokémon de mouse gordo.</t>
  </si>
  <si>
    <t>Pokémon de mouse gordo</t>
  </si>
  <si>
    <t>Charmander é um Pokémon do tipo incêndio introduzido na geração 1. É conhecido como Pokémon Lizard.</t>
  </si>
  <si>
    <t>Pokémon de lagarto</t>
  </si>
  <si>
    <t>Wigglytuff é um Pokémon normal/do tipo fada introduzido na geração 1. É conhecido como Pokémon Balloon.</t>
  </si>
  <si>
    <t>Bibarel é um Pokémon normal/do tipo água introduzido na geração 4. É conhecido como Pokémon Beaver.</t>
  </si>
  <si>
    <t>Pokémon do castor</t>
  </si>
  <si>
    <t>Kricketot é um Pokémon do tipo bug introduzido na geração 4. É conhecido como Pokémon de Críquete.</t>
  </si>
  <si>
    <t>Pokémon de críquete</t>
  </si>
  <si>
    <t>Kricketune é um Pokémon do tipo bug introduzido na geração 4. É conhecido como Pokémon de Críquete.</t>
  </si>
  <si>
    <t>O Shinx é um Pokémon do tipo elétrico introduzido na geração 4. É conhecido como Pokémon Flash.</t>
  </si>
  <si>
    <t>Pokémon Flash</t>
  </si>
  <si>
    <t>O Luxio é um Pokémon do tipo elétrico introduzido na geração 4. É conhecido como o Spark Pokémon.</t>
  </si>
  <si>
    <t>O Luxray é um Pokémon do tipo elétrico introduzido na geração 4. É conhecido como Pokémon Gleam Eyes.</t>
  </si>
  <si>
    <t>Pokémon de olhos brilhantes</t>
  </si>
  <si>
    <t>Budew é um Pokémon do tipo grama/veneno introduzido na geração 4. É conhecido como Pokémon Bud.</t>
  </si>
  <si>
    <t>Roserade é um Pokémon do tipo grama/veneno introduzido na geração 4. É conhecido como Pokémon Bouquet.</t>
  </si>
  <si>
    <t>Os cranidos são um Pokémon do tipo rock introduzido na geração 4. É conhecido como Pokémon da cabeça da cabeça.</t>
  </si>
  <si>
    <t>Pokémon da cabeça da cabeça</t>
  </si>
  <si>
    <t>Rampardos é um Pokémon do tipo rocha introduzido na geração 4. É conhecido como Pokémon da cabeça da cabeça.</t>
  </si>
  <si>
    <t>O Zubat é um Pokémon de veneno/voador introduzido na geração 1. É conhecido como Pokémon Bat.</t>
  </si>
  <si>
    <t>O Shieldon é um Pokémon do tipo rocha/aço introduzido na geração 4. É conhecido como Pokémon Shield.</t>
  </si>
  <si>
    <t>Pokémon escudo</t>
  </si>
  <si>
    <t>O Bastiodon é um Pokémon do tipo rocha/aço introduzido na geração 4. É conhecido como Pokémon Shield.</t>
  </si>
  <si>
    <t>Burmy é um Pokémon do tipo inseto introduzido na geração 4. É conhecido como Pokémon de Bagworm.</t>
  </si>
  <si>
    <t>Wormadam é um Pokémon do tipo bug/grama introduzido na geração 4. É conhecido como Pokémon de Bagworm.</t>
  </si>
  <si>
    <t>Mothim é um Pokémon do tipo bug/voador introduzido na geração 4. É conhecido como Pokémon Moth.</t>
  </si>
  <si>
    <t>Pokémon de mariposa</t>
  </si>
  <si>
    <t>Combee é um Pokémon do tipo bug/voador introduzido na geração 4. É conhecido como o pequeno Pokémon de abelha.</t>
  </si>
  <si>
    <t>Pokémon de abelha minúscula</t>
  </si>
  <si>
    <t>Vespiquen é um Pokémon do tipo bug/voador introduzido na geração 4. É conhecido como Pokémon da colméia.</t>
  </si>
  <si>
    <t>Pokémon de colméia</t>
  </si>
  <si>
    <t>Pachirisu é um Pokémon do tipo elétrico introduzido na geração 4. É conhecido como Pokémon Elesquirrel.</t>
  </si>
  <si>
    <t>ELESQUIRREL POKÉMON</t>
  </si>
  <si>
    <t>Buizel é um Pokémon do tipo água introduzido na geração 4. É conhecido como Pokémon do Sea Weasel.</t>
  </si>
  <si>
    <t>Pokémon de doninha -do -mar</t>
  </si>
  <si>
    <t>O Floatzel é um Pokémon do tipo água introduzido na geração 4. É conhecido como Pokémon do Sea Weasel.</t>
  </si>
  <si>
    <t>Golbat é um Pokémon Poison/Flying Type introduzido na geração 1. É conhecido como Pokémon Bat.</t>
  </si>
  <si>
    <t>Cherubi é um Pokémon do tipo grama introduzido na geração 4. É conhecido como Pokémon Cherry.</t>
  </si>
  <si>
    <t>Pokémon de cereja</t>
  </si>
  <si>
    <t>Cherrim é um Pokémon do tipo grama introduzido na geração 4. É conhecido como Pokémon da flor.</t>
  </si>
  <si>
    <t>Shellos é um Pokémon do tipo água introduzido na geração 4. É conhecido como Pokémon Slug Sea.</t>
  </si>
  <si>
    <t>Pokémon de lesma do mar</t>
  </si>
  <si>
    <t>Gastrodon é um Pokémon do tipo água/terra introduzido na geração 4. É conhecido como Pokémon Slug Sea.</t>
  </si>
  <si>
    <t>Ambipom é um Pokémon do tipo normal introduzido na geração 4. É conhecido como Pokémon de cauda longa.</t>
  </si>
  <si>
    <t>Drifloon é um Pokémon Ghost/Flying Type introduzido na geração 4. É conhecido como Pokémon Balloon.</t>
  </si>
  <si>
    <t>Drifblim é um Pokémon Ghost/Flying Type introduzido na geração 4. É conhecido como Pokémon do Blimp.</t>
  </si>
  <si>
    <t>Pokémon do dirigível</t>
  </si>
  <si>
    <t>Buneary é um Pokémon do tipo normal introduzido na geração 4. É conhecido como Pokémon de coelho.</t>
  </si>
  <si>
    <t>Pokémon de coelho</t>
  </si>
  <si>
    <t>Lopunny é um Pokémon do tipo normal introduzido na geração 4. É conhecido como Pokémon de coelho.
Lopunny tem uma mega evolução, disponível na Omega Ruby &amp; Alpha Sapphire.</t>
  </si>
  <si>
    <t>Mismagius é um Pokémon do tipo fantasma introduzido na geração 4. É conhecido como Pokémon Mágico.</t>
  </si>
  <si>
    <t>Pokémon mágico</t>
  </si>
  <si>
    <t>Oddish é um Pokémon do tipo grama/veneno introduzido na geração 1. É conhecido como Pokémon de ervas daninhas.</t>
  </si>
  <si>
    <t>Pokémon de ervas daninhas</t>
  </si>
  <si>
    <t>HONCHKROW é um Pokémon do tipo escuro/voador introduzido na geração 4. É conhecido como o Pokémon Big Boss.</t>
  </si>
  <si>
    <t>Glameow é um Pokémon do tipo normal introduzido na geração 4. É conhecido como Pokémon Catty.</t>
  </si>
  <si>
    <t>Pokémon Catty</t>
  </si>
  <si>
    <t>O Purugly é um Pokémon do tipo normal introduzido na geração 4. É conhecido como Pokémon Tiger Cat.</t>
  </si>
  <si>
    <t>Pokémon de gato tigre</t>
  </si>
  <si>
    <t>Chingling é um Pokémon do tipo psíquico introduzido na geração 4. É conhecido como Pokémon Bell.</t>
  </si>
  <si>
    <t>Fotkyy é um Pokémon Poison/Dark -Type introduzido na geração 4. É conhecido como Pokémon Skunk.</t>
  </si>
  <si>
    <t>Pokémon de gambá</t>
  </si>
  <si>
    <t>Skuntank é um Pokémon Poison/Dark Type Introduzido na Geração 4. É conhecido como Pokémon Skunk.</t>
  </si>
  <si>
    <t>O Bronzor é um Pokémon do tipo aço/psíquico introduzido na geração 4. É conhecido como Pokémon de Bronze.</t>
  </si>
  <si>
    <t>Pokémon de bronze</t>
  </si>
  <si>
    <t>Bronzong é um Pokémon do tipo aço/psíquico introduzido na geração 4. É conhecido como Pokémon Bell Bronze.</t>
  </si>
  <si>
    <t>Pokémon de broto de bronze</t>
  </si>
  <si>
    <t>Bonsly é um Pokémon do tipo rock introduzido na geração 4. É conhecido como Pokémon Bonsai.</t>
  </si>
  <si>
    <t>Pokémon de Bonsai</t>
  </si>
  <si>
    <t>Mime Jr. é um Pokémon Psychic/Fairy, introduzido na geração 4. É conhecido como Mime Pokémon.</t>
  </si>
  <si>
    <t>Pokémon MIME</t>
  </si>
  <si>
    <t>A melancolia é um Pokémon do tipo grama/veneno introduzido na geração 1. É conhecido como Pokémon de ervas daninhas.</t>
  </si>
  <si>
    <t>Happiny é um Pokémon do tipo normal introduzido na geração 4. É conhecido como Payhouse Pokémon.</t>
  </si>
  <si>
    <t>Pokhoumon Playhouse</t>
  </si>
  <si>
    <t>Chatot é um Pokémon normal/voador introduzido na geração 4. É conhecido como Pokémon da Nota Music.</t>
  </si>
  <si>
    <t>Nota de música Pokémon</t>
  </si>
  <si>
    <t>Spiritomb é um Pokémon Ghost/Dark Type Introduzido na Geração 4. É conhecido como Pokémon Proibido.</t>
  </si>
  <si>
    <t>Pokémon proibido</t>
  </si>
  <si>
    <t>A Gible é um Pokémon do tipo dragão/terra introduzido na geração 4. É conhecido como Pokémon de tubarão terrestre.</t>
  </si>
  <si>
    <t>Pokémon de tubarão terrestre</t>
  </si>
  <si>
    <t>Gabite é um Pokémon do tipo dragão/terra introduzido na geração 4. É conhecido como Pokémon da caverna.</t>
  </si>
  <si>
    <t>Pokémon da caverna</t>
  </si>
  <si>
    <t>Garchomp é um Pokémon do tipo dragão/terra introduzido na geração 4. É conhecido como Mach Pokémon.
Garchomp tem uma mega evolução, disponível a partir de X&amp;Y.</t>
  </si>
  <si>
    <t>Munchlax é um Pokémon do tipo normal introduzido na geração 4. É conhecido como Pokémon Big Eater.</t>
  </si>
  <si>
    <t>Pokémon de grande comedor</t>
  </si>
  <si>
    <t>Riolu é um Pokémon do tipo de luta introduzido na geração 4. É conhecido como Pokémon emanação.</t>
  </si>
  <si>
    <t>Pokémon emanation</t>
  </si>
  <si>
    <t>O Lucario é um Pokémon de luta/aço introduzido na geração 4. É conhecido como Pokémon Aura.
Lucario tem uma mega evolução, disponível a partir de X&amp;Y.</t>
  </si>
  <si>
    <t>Hippopotas é um Pokémon do tipo terra introduzido na geração 4. É conhecido como Pokémon Hippo.</t>
  </si>
  <si>
    <t>Vileplume é um Pokémon do tipo grama/veneno introduzido na geração 1. É conhecido como Pokémon Flower.</t>
  </si>
  <si>
    <t>Hippowdon é um Pokémon do tipo terra introduzido na geração 4. É conhecido como Pokémon dos pesos pesados.</t>
  </si>
  <si>
    <t>Pokémon de peso pesado</t>
  </si>
  <si>
    <t>Skorupi é um Pokémon do tipo veneno/inseto introduzido na geração 4. É conhecido como Pokémon Scorpion.</t>
  </si>
  <si>
    <t>Pokémon de Scorpion</t>
  </si>
  <si>
    <t>Drapion é um Pokémon de veneno/tipo escuro introduzido na geração 4. É conhecido como Pokémon Ogro Scorp.
Drapion é um Pokémon roxo e semelhante ao escorpião. Seu corpo é segmentado e fica em quatro pernas pontiagudas. Possui duas garras grandes na frente, cujas dicas liberam veneno e uma pinça grande semelhante na cauda. Pode girar a cabeça 180 graus. Drapion normalmente reside no deserto, embora tenham sido vistos em pântanos.
Embora o drapion seja veneno/tipo escuro, ele evolui de Skorupi, que é o tipo de veneno/erro, perde seu tipo de insetos após a evolução - uma ocorrência rara para o Pokémon.</t>
  </si>
  <si>
    <t>Pokémon Ogre Scorp</t>
  </si>
  <si>
    <t>Croagunk é um Pokémon do tipo veneno/luta introduzido na geração 4. É conhecido como Pokémon da boca tóxica.</t>
  </si>
  <si>
    <t>Pokémon da boca tóxica</t>
  </si>
  <si>
    <t>O Toxicroak é um Pokémon do tipo veneno/luta introduzido na geração 4. É conhecido como Pokémon da boca tóxica.</t>
  </si>
  <si>
    <t>A carnivina é um Pokémon do tipo grama introduzido na geração 4. É conhecido como Pokémon de apanhador de insetos.</t>
  </si>
  <si>
    <t>Finneon é um Pokémon do tipo água introduzido na geração 4. É conhecido como Pokémon de Fish Wing.</t>
  </si>
  <si>
    <t>Pokémon de peixe de asa</t>
  </si>
  <si>
    <t>Lumineon é um Pokémon do tipo água introduzido na geração 4. É conhecido como Pokémon Neon.</t>
  </si>
  <si>
    <t>Pokémon de neon</t>
  </si>
  <si>
    <t>Mantyke é um Pokémon do tipo água/voador introduzido na geração 4. É conhecido como Pokémon Kite.</t>
  </si>
  <si>
    <t>O Snover é um Pokémon do tipo grama/gelo introduzido na geração 4. É conhecido como Pokémon de Frost Tree.</t>
  </si>
  <si>
    <t>Frost Pokémon</t>
  </si>
  <si>
    <t>Paras é um Pokémon do tipo bug/grama introduzido na geração 1. É conhecido como Pokémon de cogumelos.</t>
  </si>
  <si>
    <t>Abomasnow é um Pokémon do tipo grama/gelo introduzido na geração 4. É conhecido como Pokémon da árvore de geada.
Abomasnow tem uma mega evolução, disponível a partir de X&amp;Y.</t>
  </si>
  <si>
    <t>O Weavile é um Pokémon do tipo escuro/de gelo introduzido na geração 4. É conhecido como Pokémon Sharp Claw.</t>
  </si>
  <si>
    <t>O Magnezone é um Pokémon elétrico/aço introduzido na geração 4. É conhecido como Pokémon da área do ímã.</t>
  </si>
  <si>
    <t>Área do ímã Pokémon</t>
  </si>
  <si>
    <t>Lickilicky é um Pokémon do tipo normal introduzido na geração 4. É conhecido como Pokémon Licking.</t>
  </si>
  <si>
    <t>O Rhyperior é um Pokémon de terra/rocha introduzido na geração 4. É conhecido como Pokémon Drill.</t>
  </si>
  <si>
    <t>O TanGrowth é um Pokémon do tipo grama introduzido na geração 4. É conhecido como Pokémon Vine.</t>
  </si>
  <si>
    <t>A Electivire é um Pokémon do tipo elétrico introduzido na geração 4. É conhecido como Pokémon Thunderbolt.</t>
  </si>
  <si>
    <t>Pokémon Thunderbolt</t>
  </si>
  <si>
    <t>Magmortar é um Pokémon do tipo incêndio introduzido na geração 4. É conhecido como Pokémon Blast.</t>
  </si>
  <si>
    <t>Pokémon de explosão</t>
  </si>
  <si>
    <t>O TOGEKISS é um Pokémon do tipo de fada/voador introduzido na geração 4. É conhecido como Pokémon do Jubileu.</t>
  </si>
  <si>
    <t>Jubileu Pokémon</t>
  </si>
  <si>
    <t>Yanmega é um Pokémon do tipo bug/voador introduzido na geração 4. É conhecido como Ogro Darner Pokémon.</t>
  </si>
  <si>
    <t>O Parasect é um Pokémon do tipo bug/grama introduzido na geração 1. É conhecido como Pokémon de cogumelos.</t>
  </si>
  <si>
    <t>Leafeon é um Pokémon do tipo grama introduzido na geração 4. É conhecido como Pokémon verdejante.</t>
  </si>
  <si>
    <t>Pokémon verdejante</t>
  </si>
  <si>
    <t>Glaceon é um Pokémon do tipo gelo introduzido na geração 4. É conhecido como Pokémon Fresh Snow.</t>
  </si>
  <si>
    <t>Pokémon fresco de neve</t>
  </si>
  <si>
    <t>O Gliscor é um Pokémon do tipo terrestre/voador introduzido na geração 4. É conhecido como Pokémon Fang Scorp.</t>
  </si>
  <si>
    <t>Mamoswine é um Pokémon do tipo gelo/terra introduzido na geração 4. É conhecido como Pokémon de Tusk Twin.</t>
  </si>
  <si>
    <t>Pokémon duplo preso</t>
  </si>
  <si>
    <t>Porygon-Z é um Pokémon do tipo normal introduzido na geração 4. É conhecido como Pokémon virtual.</t>
  </si>
  <si>
    <t>Gallade é um Pokémon psíquico/de luta introduzido na geração 4. É conhecido como Pokémon Blade.
Gallade tem uma mega evolução, disponível na Omega Ruby &amp; Alpha Sapphire em diante.</t>
  </si>
  <si>
    <t>Pokémon da lâmina</t>
  </si>
  <si>
    <t>Probopass é um Pokémon do tipo rocha/aço introduzido na geração 4. É conhecido como Pokémon Compass.</t>
  </si>
  <si>
    <t>Dusknoir é um Pokémon do tipo fantasma introduzido na geração 4. É conhecido como Pokémon Gripper.</t>
  </si>
  <si>
    <t>Froslass é um Pokémon do tipo gelo/fantasma introduzido na geração 4. É conhecido como Pokémon Land Snow.</t>
  </si>
  <si>
    <t>Pokémon da terra da neve</t>
  </si>
  <si>
    <t>O Rotom é um Pokémon elétrico/fantasma introduzido na geração 4. É conhecido como Pokémon de plasma.
O Rotom possui 5 formas alternativas introduzidas no Pokémon Platinum. O Rotom se transforma quando possui diferentes aparelhos domésticos: um forno (rotom de aquecimento), uma máquina de lavar (Rotom), uma geladeira (rotom de geada), um ventilador (roteiro do ventilador) e um cortador de grama (Rotom Mow).
Na geração 4, todas as formas de rotom eram do tipo elétrico/fantasma. A partir da geração 5, cada um deles tem seu próprio tipo secundário.</t>
  </si>
  <si>
    <t>Pokémon de plasma</t>
  </si>
  <si>
    <t>Venonat é um Pokémon do tipo bug/veneno introduzido na geração 1. É conhecido como Pokémon de Insetos.</t>
  </si>
  <si>
    <t>Pokémon de insetos</t>
  </si>
  <si>
    <t>Uxie é um Pokémon do tipo psíquico introduzido na geração 4. É conhecido como Pokémon do conhecimento.</t>
  </si>
  <si>
    <t>Pokémon de conhecimento</t>
  </si>
  <si>
    <t>Mesprit é um Pokémon do tipo psíquico introduzido na geração 4. É conhecido como Pokémon Emotion.</t>
  </si>
  <si>
    <t>Azelf é um Pokémon do tipo psíquico introduzido na geração 4. É conhecido como Pokémon de força de vontade.</t>
  </si>
  <si>
    <t>Pokémon de força de vontade</t>
  </si>
  <si>
    <t>Dialga é um Pokémon do tipo de aço/dragão introduzido na geração 4. É conhecido como Pokémon temporal.</t>
  </si>
  <si>
    <t>Pokémon temporal</t>
  </si>
  <si>
    <t>Palkia é um Pokémon do tipo água/dragão introduzido na geração 4. É conhecido como Pokémon espacial.</t>
  </si>
  <si>
    <t>Pokémon espacial</t>
  </si>
  <si>
    <t>O HEATRAN é um Pokémon do tipo fogo/aço introduzido na geração 4. É conhecido como Pokémon de Lava Dome.</t>
  </si>
  <si>
    <t>Pokémon de Lava Dome</t>
  </si>
  <si>
    <t>Regigigas é um Pokémon do tipo normal introduzido na geração 4. É conhecido como Pokémon colossal.</t>
  </si>
  <si>
    <t>Pokémon colossal</t>
  </si>
  <si>
    <t>Giratina é um Pokémon do tipo fantasma/dragão introduzido na geração 4. É conhecido como Pokémon Renegado.</t>
  </si>
  <si>
    <t>Pokémon renegado</t>
  </si>
  <si>
    <t>Cresselia é um Pokémon do tipo psíquico introduzido na geração 4. É conhecido como Pokémon Lunar.</t>
  </si>
  <si>
    <t>Pokémon lunar</t>
  </si>
  <si>
    <t>Phione é um Pokémon do tipo água introduzido na geração 4. É conhecido como Pokémon Drifter do Mar.</t>
  </si>
  <si>
    <t>Pokémon do Drifter do mar</t>
  </si>
  <si>
    <t>Venomoth é um Pokémon do tipo inseto/veneno introduzido na geração 1. É conhecido como Pokémon Poison Moth Pokémon.</t>
  </si>
  <si>
    <t>O Manaphy é um Pokémon do tipo água introduzido na geração 4. É conhecido como Pokémon marítimo.</t>
  </si>
  <si>
    <t>Pokémon marítimo</t>
  </si>
  <si>
    <t>Darkrai é um Pokémon do tipo escuro introduzido na geração 4. É conhecido como Pokémon preto.</t>
  </si>
  <si>
    <t>Pokémon preto e preto</t>
  </si>
  <si>
    <t>Shaymin é um Pokémon do tipo grama introduzido na geração 4. É conhecido como Pokémon Gratidão.</t>
  </si>
  <si>
    <t>Gratidão Pokémon</t>
  </si>
  <si>
    <t>Arceus é um Pokémon do tipo normal introduzido na geração 4. É conhecido como Pokémon Alpha.</t>
  </si>
  <si>
    <t>Victini é um Pokémon Psychic/Fire, introduzido na geração 5. É conhecido como Pokémon da vitória.</t>
  </si>
  <si>
    <t>Pokémon da vitória</t>
  </si>
  <si>
    <t>Snivy é um Pokémon do tipo grama introduzido na geração 5. É conhecido como Pokémon de cobra de grama.</t>
  </si>
  <si>
    <t>Pokémon de cobra de grama</t>
  </si>
  <si>
    <t>Servine é um Pokémon do tipo grama introduzido na geração 5. É conhecido como Pokémon de cobra de grama.</t>
  </si>
  <si>
    <t>O Serperor é um Pokémon do tipo grama introduzido na geração 5. É conhecido como Pokémon real.</t>
  </si>
  <si>
    <t>Tepig é um Pokémon do tipo incêndio introduzido na geração 5. É conhecido como Pokémon de Pig Fire.</t>
  </si>
  <si>
    <t>Pokémon de porco de fogo</t>
  </si>
  <si>
    <t>A Pignite é um Pokémon do tipo Fire/Fighting introduzido na geração 5. É conhecido como Pokémon de Pig Fire.</t>
  </si>
  <si>
    <t>Charmeleon é um Pokémon do tipo incêndio introduzido na geração 1. É conhecido como Pokémon Flame.</t>
  </si>
  <si>
    <t>Diglett é um Pokémon do tipo terra introduzido na geração 1. É conhecido como Pokémon Mole.</t>
  </si>
  <si>
    <t>O EMBOAR é um Pokémon do tipo Fire/Fighting introduzido na geração 5. É conhecido como mega Pokémon Pig Pig.</t>
  </si>
  <si>
    <t>Mega Pokémon de porco de fogo</t>
  </si>
  <si>
    <t>Oshawott é um Pokémon do tipo água introduzido na geração 5. É conhecido como Pokémon Otter Sea.</t>
  </si>
  <si>
    <t>Pokémon de lontra marítima</t>
  </si>
  <si>
    <t>Dewott é um Pokémon do tipo água introduzido na geração 5. É conhecido como Pokémon Disciplina.</t>
  </si>
  <si>
    <t>Pokémon de disciplina</t>
  </si>
  <si>
    <t>Samurott é um Pokémon do tipo água introduzido na geração 5. É conhecido como o Pokémon formidável.</t>
  </si>
  <si>
    <t>Pokémon formidável</t>
  </si>
  <si>
    <t>Patrat é um Pokémon do tipo normal introduzido na geração 5. É conhecido como Pokémon Scout.</t>
  </si>
  <si>
    <t>O Watlog é um Pokémon do tipo normal introduzido na geração 5. É conhecido como Pokémon Lookout.</t>
  </si>
  <si>
    <t>Lillipup é um Pokémon do tipo normal introduzido na geração 5. É conhecido como Pokémon Puppy.</t>
  </si>
  <si>
    <t>Pokémon de cachorro</t>
  </si>
  <si>
    <t>O pastor é um Pokémon do tipo normal introduzido na geração 5. É conhecido como o Pokémon Leal Dog.</t>
  </si>
  <si>
    <t>Pokémon leal de cachorro</t>
  </si>
  <si>
    <t>Stoutland é um Pokémon do tipo normal introduzido na geração 5. É conhecido como o Pokémon de grande coração.</t>
  </si>
  <si>
    <t>Pokémon de grande coração</t>
  </si>
  <si>
    <t>Purrloin é um Pokémon do tipo escuro introduzido na geração 5. É conhecido como Pokémon Devioso.</t>
  </si>
  <si>
    <t>Dugtrio é um Pokémon do tipo terra introduzido na geração 1. É conhecido como Pokémon Mole.</t>
  </si>
  <si>
    <t>Liepard é um Pokémon do tipo escuro introduzido na geração 5. É conhecido como Pokémon cruel.</t>
  </si>
  <si>
    <t>Pokémon cruel</t>
  </si>
  <si>
    <t>O Pansage é um Pokémon do tipo grama introduzido na geração 5. É conhecido como Pokémon de Macaco Grass.</t>
  </si>
  <si>
    <t>Pokémon de macaco da grama</t>
  </si>
  <si>
    <t>Simisage é um Pokémon do tipo grama introduzido na geração 5. É conhecido como Pokémon Monkey de Thorn.</t>
  </si>
  <si>
    <t>Pokémon de Macaco de Thorn</t>
  </si>
  <si>
    <t>Panear é um Pokémon do tipo incêndio introduzido na geração 5. É conhecido como Pokémon de alta temperatura.</t>
  </si>
  <si>
    <t>Pokémon de alta temperatura</t>
  </si>
  <si>
    <t>Simisear é um Pokémon do tipo incêndio introduzido na geração 5. É conhecido como Pokémon Ember.</t>
  </si>
  <si>
    <t>Pokémon Ember</t>
  </si>
  <si>
    <t>Panpour é um Pokémon do tipo água introduzido na geração 5. É conhecido como Pokémon Spray.</t>
  </si>
  <si>
    <t>Simipour é um Pokémon do tipo água introduzido na geração 5. É conhecido como Pokémon Geyser.</t>
  </si>
  <si>
    <t>Munna é um Pokémon do tipo psíquico introduzido na geração 5. É conhecido como o Pokémon Dream Eater.</t>
  </si>
  <si>
    <t>Musharna é um Pokémon do tipo psíquico introduzido na geração 5. É conhecido como Pokémon Drowsing.</t>
  </si>
  <si>
    <t>Pokémon em roer</t>
  </si>
  <si>
    <t>O PIDOVE é um Pokémon normal/voador introduzido na geração 5. É conhecido como Pokémon Pigeon minúsculo.</t>
  </si>
  <si>
    <t>Pokémon de pombo minúsculo</t>
  </si>
  <si>
    <t>Meowth é um Pokémon do tipo normal introduzido na geração 1. É conhecido como Pokémon Scratch Cat.
Meowth tem uma nova forma Alolan introduzida em Pokémon Sun/Moon.</t>
  </si>
  <si>
    <t>Tranquill é um Pokémon normal/voador introduzido na geração 5. É conhecido como Pokémon Wild Pigeon.</t>
  </si>
  <si>
    <t>Pokémon de pombo selvagem</t>
  </si>
  <si>
    <t>Usezant é um Pokémon normal/voador introduzido na geração 5. É conhecido como Pokémon orgulhoso.</t>
  </si>
  <si>
    <t>Pokémon orgulhoso</t>
  </si>
  <si>
    <t>Blitzle é um Pokémon do tipo elétrico introduzido na geração 5. É conhecido como Pokémon eletrificado.</t>
  </si>
  <si>
    <t>Pokémon eletrificado</t>
  </si>
  <si>
    <t>Zebstrika é um Pokémon do tipo elétrico introduzido na geração 5. É conhecido como Pokémon Thunderbolt.</t>
  </si>
  <si>
    <t>Roggenrola é um Pokémon do tipo rock introduzido na geração 5. É conhecido como Pokémon do Mantle.</t>
  </si>
  <si>
    <t>Boldore é um Pokémon do tipo rock introduzido na geração 5. É conhecido como Pokémon Ore Ore.</t>
  </si>
  <si>
    <t>Pokémon de minério</t>
  </si>
  <si>
    <t>Gigalith é um Pokémon do tipo rock introduzido na geração 5. É conhecido como Pokémon comprimido.</t>
  </si>
  <si>
    <t>Pokémon comprimido</t>
  </si>
  <si>
    <t>Woobat é um Pokémon Psychic/Flying Type introduzido na geração 5. É conhecido como Pokémon Bat.</t>
  </si>
  <si>
    <t>Swoobat é um Pokémon Psychic/Flying Type Introduzido na Geração 5. É conhecido como Pokémon Courting.</t>
  </si>
  <si>
    <t>Corte de Pokémon</t>
  </si>
  <si>
    <t>Drrilbur é um Pokémon do tipo terra introduzido na geração 5. É conhecido como Pokémon Mole.</t>
  </si>
  <si>
    <t>O persa é um Pokémon do tipo normal introduzido na geração 1. É conhecido como Pokémon de gato elegante.
O persa tem uma nova forma Alolan introduzida em Pokémon Sun/Moon.</t>
  </si>
  <si>
    <t>Pokémon de gato elegante</t>
  </si>
  <si>
    <t>A Excadrill é um Pokémon de terra/aço introduzido na geração 5. É conhecido como Pokémon subterreno.</t>
  </si>
  <si>
    <t>Pokémon subterreno</t>
  </si>
  <si>
    <t>O Audino é um Pokémon do tipo normal introduzido na geração 5. É conhecido como Pokémon auditivo.
O Audino tem uma mega evolução, disponível na Omega Ruby &amp; Alpha Sapphire em diante.</t>
  </si>
  <si>
    <t>Ouvindo Pokémon</t>
  </si>
  <si>
    <t>Timburr é um Pokémon do tipo de luta introduzido na geração 5. É conhecido como Pokémon muscular.</t>
  </si>
  <si>
    <t>Pokémon muscular</t>
  </si>
  <si>
    <t>Gurdurr é um Pokémon do tipo luta introduzido na geração 5. É conhecido como Pokémon muscular.</t>
  </si>
  <si>
    <t>Conkeldurr é um Pokémon do tipo luta introduzido na geração 5. É conhecido como Pokémon muscular.</t>
  </si>
  <si>
    <t>Timpole é um Pokémon do tipo água introduzido na geração 5. É conhecido como Pokémon de girino.</t>
  </si>
  <si>
    <t>Pokémon de Tadpole</t>
  </si>
  <si>
    <t>Palpitoad é um Pokémon do tipo água/terra introduzido na geração 5. É conhecido como Pokémon de Vibração.</t>
  </si>
  <si>
    <t>O Seismitoad é um Pokémon do tipo água/terra introduzido na geração 5. É conhecido como Pokémon de Vibração.</t>
  </si>
  <si>
    <t>Throh é um Pokémon do tipo de luta introduzido na geração 5. É conhecido como Pokémon de judô.</t>
  </si>
  <si>
    <t>Pokémon de judô</t>
  </si>
  <si>
    <t>Sawk é um Pokémon do tipo de luta introduzido na geração 5. É conhecido como Pokémon Karate.</t>
  </si>
  <si>
    <t>Pokémon de karatê</t>
  </si>
  <si>
    <t>Psyduck é um Pokémon do tipo água introduzido na geração 1. É conhecido como Pokémon Duck.</t>
  </si>
  <si>
    <t>Pokémon de pato</t>
  </si>
  <si>
    <t>Sewaddle é um Pokémon do tipo bug/grama introduzido na geração 5. É conhecido como Pokémon de costura.</t>
  </si>
  <si>
    <t>Costura Pokémon</t>
  </si>
  <si>
    <t>O Swadloon é um Pokémon do tipo bug/grama introduzido na geração 5. É conhecido como Pokémon envolto em folhas.</t>
  </si>
  <si>
    <t>Pokémon envolto em folhas</t>
  </si>
  <si>
    <t>Leavanny é um Pokémon do tipo bug/grama introduzido na geração 5. É conhecido como o Pokémon que nutrir.</t>
  </si>
  <si>
    <t>Nutrir Pokémon</t>
  </si>
  <si>
    <t>Venipede é um Pokémon do tipo inseto/veneno introduzido na geração 5. É conhecido como Pokémon Centipede.</t>
  </si>
  <si>
    <t>Pokémon de centopéia</t>
  </si>
  <si>
    <t>A Whirlipede é um Pokémon do tipo inseto/veneno introduzido na geração 5. É conhecido como Pokémon de Curlipede.</t>
  </si>
  <si>
    <t>Pokémon Pokémon de Curlipede</t>
  </si>
  <si>
    <t>Scolipede é um Pokémon do tipo bug/veneno introduzido na geração 5. É conhecido como Pokémon Megapede.</t>
  </si>
  <si>
    <t>Cottonee é um Pokémon do tipo grama/fada introduzido na geração 5. É conhecido como Pokémon de algodão Puff.</t>
  </si>
  <si>
    <t>Pokémon de algodão Puff</t>
  </si>
  <si>
    <t>O Whimsicott é um Pokémon do tipo grama/fada introduzido na geração 5. É conhecido como Pokémon vegetal.</t>
  </si>
  <si>
    <t>Pokémon do vento</t>
  </si>
  <si>
    <t>Petilil é um Pokémon do tipo grama introduzido na geração 5. É conhecido como Pokémon Bulb.</t>
  </si>
  <si>
    <t>Pokémon de bulbo</t>
  </si>
  <si>
    <t>Lilligant é um Pokémon do tipo grama introduzido na geração 5. É conhecido como Pokémon Floring.</t>
  </si>
  <si>
    <t>Pokémon florido</t>
  </si>
  <si>
    <t>Golduck é um Pokémon do tipo água introduzido na geração 1. É conhecido como Pokémon Duck.</t>
  </si>
  <si>
    <t>A Basculina é um Pokémon do tipo água introduzido na geração 5. É conhecido como Pokémon hostil.</t>
  </si>
  <si>
    <t>Pokémon hostil</t>
  </si>
  <si>
    <t>Sandile é um Pokémon do solo/escuro introduzido na geração 5. É conhecido como Pokémon Croc Desert.</t>
  </si>
  <si>
    <t>Krokorok é um Pokémon de terra/escuro introduzido na geração 5. É conhecido como Pokémon Croc Desert.</t>
  </si>
  <si>
    <t>O Krookodile é um Pokémon de terra/escuro introduzido na geração 5. É conhecido como Pokémon de Intimidação.</t>
  </si>
  <si>
    <t>Pokémon de intimidação</t>
  </si>
  <si>
    <t>Darumaka é um Pokémon do tipo incêndio introduzido na geração 5. É conhecido como Pokémon de charme zen.</t>
  </si>
  <si>
    <t>Pokémon de charme zen</t>
  </si>
  <si>
    <t>Darmanitan é um Pokémon do tipo incêndio introduzido na geração 5. É conhecido como Pokémon ardente.</t>
  </si>
  <si>
    <t>Pokémon ardente</t>
  </si>
  <si>
    <t>Maractus é um Pokémon do tipo grama introduzido na geração 5. É conhecido como Pokémon Cactus.</t>
  </si>
  <si>
    <t>Dwebble é um Pokémon do tipo bug/rock introduzido na geração 5. É conhecido como Pokémon Rock Inn.</t>
  </si>
  <si>
    <t>Pokémon Rock Inn</t>
  </si>
  <si>
    <t>Crustle é um Pokémon do tipo bug/rock introduzido na geração 5. É conhecido como Pokémon Home Stone.</t>
  </si>
  <si>
    <t>Pokémon de pedra em casa</t>
  </si>
  <si>
    <t>O Scraggy é um Pokémon do tipo escuro/de luta introduzido na geração 5. É conhecido como Pokémon de derramamento.</t>
  </si>
  <si>
    <t>Derramando Pokémon</t>
  </si>
  <si>
    <t>Mankey é um Pokémon do tipo de luta introduzido na geração 1. É conhecido como Pokémon Monkey Pokémon.</t>
  </si>
  <si>
    <t>Pokémon de macaco de porco</t>
  </si>
  <si>
    <t>Scrafty é um Pokémon do tipo escuro/de luta introduzido na geração 5. É conhecido como Pokémon Hoodlum.</t>
  </si>
  <si>
    <t>Pokémon Hoodlum</t>
  </si>
  <si>
    <t>Sigilyph é um Pokémon psíquico/voador introduzido na geração 5. É conhecido como Pokémon Avianóide.</t>
  </si>
  <si>
    <t>Pokémon aviianóide</t>
  </si>
  <si>
    <t>O Yamask é um Pokémon do tipo fantasma introduzido na geração 5. É conhecido como Pokémon Spirit.</t>
  </si>
  <si>
    <t>O Cofagrigus é um Pokémon do tipo fantasma introduzido na geração 5. É conhecido como Pokémon Coffin.</t>
  </si>
  <si>
    <t>Pokémon de caixão</t>
  </si>
  <si>
    <t>Tirtuga é um Pokémon do tipo água/rocha introduzido na geração 5. É conhecido como Pokémon ProtoTurtle.</t>
  </si>
  <si>
    <t>Pokémon prototurtle</t>
  </si>
  <si>
    <t>Carracosta é um Pokémon do tipo água/rocha introduzido na geração 5. É conhecido como Pokémon ProtoTurtle.</t>
  </si>
  <si>
    <t>Archen é um Pokémon do tipo rock/voador introduzido na geração 5. É conhecido como o primeiro Pokémon de pássaro.</t>
  </si>
  <si>
    <t>Pokémon do primeiro pássaro</t>
  </si>
  <si>
    <t>Archeops é um Pokémon do tipo rock/voador introduzido na geração 5. É conhecido como o primeiro Pokémon de pássaro.</t>
  </si>
  <si>
    <t>Trubbish é um Pokémon do tipo veneno introduzido na geração 5. É conhecido como Pokémon de sacola de lixo.</t>
  </si>
  <si>
    <t>Pokémon de bolsa de lixo</t>
  </si>
  <si>
    <t>Garbodor é um Pokémon do tipo veneno introduzido na geração 5. É conhecido como Pokémon de PokiSt.</t>
  </si>
  <si>
    <t>Pokémon de pilha de lixo</t>
  </si>
  <si>
    <t>O Primeape é um Pokémon do tipo de luta introduzido na geração 1. É conhecido como Pokémon Monkey Pokémon.</t>
  </si>
  <si>
    <t>Zorua é um Pokémon do tipo escuro introduzido na geração 5. É conhecido como o complicado Pokémon Fox.</t>
  </si>
  <si>
    <t>Pokémon complicados da Fox</t>
  </si>
  <si>
    <t>Zoroark é um Pokémon do tipo escuro introduzido na geração 5. É conhecido como Pokémon Illusion Fox.</t>
  </si>
  <si>
    <t>Ilusão Pokémon Fox</t>
  </si>
  <si>
    <t>Minccino é um Pokémon do tipo normal introduzido na geração 5. É conhecido como Pokémon Chinchilla.</t>
  </si>
  <si>
    <t>Cinccino é um Pokémon do tipo normal introduzido na geração 5. É conhecido como Pokémon do cachecol.</t>
  </si>
  <si>
    <t>Pokémon de cachecol</t>
  </si>
  <si>
    <t>Gothita é um Pokémon do tipo psíquico introduzido na geração 5. É conhecido como Pokémon de fixação.</t>
  </si>
  <si>
    <t>Pokémon de fixação</t>
  </si>
  <si>
    <t>Gothorita é um Pokémon do tipo psíquico introduzido na geração 5. É conhecido como Pokémon manipulado.</t>
  </si>
  <si>
    <t>Gothitelle é um Pokémon do tipo psíquico introduzido na geração 5. É conhecido como Pokémon do corpo astral.</t>
  </si>
  <si>
    <t>Pokémon do corpo astral</t>
  </si>
  <si>
    <t>A solose é um Pokémon do tipo psíquico introduzido na geração 5. É conhecido como Pokémon celular.</t>
  </si>
  <si>
    <t>Pokémon celular</t>
  </si>
  <si>
    <t>Duosion é um Pokémon do tipo psíquico introduzido na geração 5. É conhecido como Pokémon da mitose.</t>
  </si>
  <si>
    <t>Mitose Pokémon</t>
  </si>
  <si>
    <t>O Reuniclus é um Pokémon do tipo psíquico introduzido na geração 5. É conhecido como Pokémon multiplicador.</t>
  </si>
  <si>
    <t>Multiplicando Pokémon</t>
  </si>
  <si>
    <t>Growlithe é um Pokémon do tipo incêndio introduzido na geração 1. É conhecido como Pokémon Puppy.</t>
  </si>
  <si>
    <t>Ducklett é um Pokémon do tipo água/voador introduzido na geração 5. É conhecido como Pokémon de pássaro aquático.</t>
  </si>
  <si>
    <t>Swanna é um Pokémon do tipo água/voador introduzido na geração 5. É conhecido como o Pokémon Branco Branco.</t>
  </si>
  <si>
    <t>Pokémon de pássaro branco</t>
  </si>
  <si>
    <t>Vanillite é um Pokémon do tipo gelo introduzido na geração 5. É conhecido como Pokémon Fresh Snow.</t>
  </si>
  <si>
    <t>Vanillish é um Pokémon do tipo gelo introduzido na geração 5. É conhecido como Pokémon Icy Snow.</t>
  </si>
  <si>
    <t>Pokémon de neve gelado</t>
  </si>
  <si>
    <t>Vanilluxe é um Pokémon do tipo gelo introduzido na geração 5. É conhecido como Pokémon de tempestade de neve.</t>
  </si>
  <si>
    <t>Pokémon de tempestade de neve</t>
  </si>
  <si>
    <t>Deerling é um Pokémon normal/tipo de grama introduzido na geração 5. É conhecido como Pokémon da estação.</t>
  </si>
  <si>
    <t>Pokémon da temporada</t>
  </si>
  <si>
    <t>Sawsbuck é um Pokémon normal/tipo de grama introduzido na geração 5. É conhecido como Pokémon da estação.</t>
  </si>
  <si>
    <t>Emolga é um Pokémon elétrico/voador introduzido na geração 5. É conhecido como Pokémon Sky Squirrel.</t>
  </si>
  <si>
    <t>Karrablast é um Pokémon do tipo bug introduzido na geração 5. É conhecido como Pokémon de aperto.</t>
  </si>
  <si>
    <t>Pokémon de aperto</t>
  </si>
  <si>
    <t>Escavalier é um Pokémon do tipo bug/aço introduzido na geração 5. É conhecido como Pokémon de Cavalaria.</t>
  </si>
  <si>
    <t>Pokémon de cavalaria</t>
  </si>
  <si>
    <t>Arcanine é um Pokémon do tipo incêndio introduzido na geração 1. É conhecido como o lendário Pokémon.</t>
  </si>
  <si>
    <t>Pokémon lendário</t>
  </si>
  <si>
    <t>O POOMOLUS é um Pokémon do tipo grama/veneno introduzido na geração 5. É conhecido como Pokémon de cogumelos.</t>
  </si>
  <si>
    <t>Amoonguss é um Pokémon do tipo grama/veneno introduzido na geração 5. É conhecido como Pokémon de cogumelos.</t>
  </si>
  <si>
    <t>O Frillish é um Pokémon do tipo água/fantasma introduzido na geração 5. É conhecido como Pokémon flutuante.</t>
  </si>
  <si>
    <t>Pokémon flutuante</t>
  </si>
  <si>
    <t>Jellicent é um Pokémon do tipo água/fantasma introduzido na geração 5. É conhecido como Pokémon flutuante.</t>
  </si>
  <si>
    <t>Alomomola é um Pokémon do tipo água introduzido na geração 5. É conhecido como Pokémon carinhoso.</t>
  </si>
  <si>
    <t>Pokémon carinhoso</t>
  </si>
  <si>
    <t>Joltik é um Pokémon do tipo bug/elétrico introduzido na geração 5. É conhecido como Pokémon de anexo.</t>
  </si>
  <si>
    <t>Anexar Pokémon</t>
  </si>
  <si>
    <t>Galvantula é um Pokémon do tipo bug/elétrico introduzido na geração 5. É conhecido como Pokémon ELESPIDER.</t>
  </si>
  <si>
    <t>ELESPIDER POKÉMON</t>
  </si>
  <si>
    <t>Ferroseed é um Pokémon do tipo grama/aço introduzido na geração 5. É conhecido como Pokémon de sementes de Thorn.</t>
  </si>
  <si>
    <t>Pokémon de semente de espinhos</t>
  </si>
  <si>
    <t>Ferrothorn é um Pokémon do tipo grama/aço introduzido na geração 5. É conhecido como Pokémon PODS PODS.</t>
  </si>
  <si>
    <t>Pokémon de chorn</t>
  </si>
  <si>
    <t>Klink é um Pokémon do tipo aço introduzido na geração 5. É conhecido como Pokémon de Gear.</t>
  </si>
  <si>
    <t>Charizard é um Pokémon do tipo Fire/Flying introduzido na geração 1. É conhecido como Pokémon Flame.
Charizard tem duas mega evoluções, disponíveis a partir da X&amp;Y.</t>
  </si>
  <si>
    <t>Poliwag é um Pokémon do tipo água introduzido na geração 1. É conhecido como Pokémon de girino.</t>
  </si>
  <si>
    <t>Klang é um Pokémon do tipo aço introduzido na geração 5. É conhecido como Pokémon de Gear.</t>
  </si>
  <si>
    <t>Klinklang é um Pokémon do tipo aço introduzido na geração 5. É conhecido como Pokémon de Gear.</t>
  </si>
  <si>
    <t>Tynamo é um Pokémon do tipo elétrico introduzido na geração 5. É conhecido como Pokémon elefishish.</t>
  </si>
  <si>
    <t>Pokémon elefishis</t>
  </si>
  <si>
    <t>Eelektrik é um Pokémon do tipo elétrico introduzido na geração 5. É conhecido como Pokémon Elefish.</t>
  </si>
  <si>
    <t>Eelektross é um Pokémon do tipo elétrico introduzido na geração 5. É conhecido como Pokémon Elefish.</t>
  </si>
  <si>
    <t>Elgyem é um Pokémon do tipo psíquico introduzido na geração 5. É conhecido como Pokémon cerebral.</t>
  </si>
  <si>
    <t>Pokémon cerebral</t>
  </si>
  <si>
    <t>Beheeyem é um Pokémon do tipo psíquico introduzido na geração 5. É conhecido como Pokémon cerebral.</t>
  </si>
  <si>
    <t>Litwick é um Pokémon do tipo fantasma/incêndio introduzido na geração 5. É conhecido como Pokémon Candle.</t>
  </si>
  <si>
    <t>Pokémon de vela</t>
  </si>
  <si>
    <t>O Lampent é um Pokémon Ghost/Fire, introduzido na geração 5. É conhecido como Pokémon da lâmpada.</t>
  </si>
  <si>
    <t>Pokémon da lâmpada</t>
  </si>
  <si>
    <t>O Chandelure é um Pokémon do tipo fantasma/incêndio introduzido na geração 5. É conhecido como Pokémon atraente.</t>
  </si>
  <si>
    <t>Pokémon atraente</t>
  </si>
  <si>
    <t>Poliwhirl é um Pokémon do tipo água introduzido na geração 1. É conhecido como Pokémon de girino.</t>
  </si>
  <si>
    <t>Axew é um Pokémon do tipo dragão introduzido na geração 5. É conhecido como Pokémon presa.</t>
  </si>
  <si>
    <t>Pokémon de presa</t>
  </si>
  <si>
    <t>Fraxure é um Pokémon do tipo dragão introduzido na geração 5. É conhecido como Pokémon da mandíbula AX.</t>
  </si>
  <si>
    <t>Pokémon da mandíbula machado</t>
  </si>
  <si>
    <t>Haxorus é um Pokémon do tipo dragão introduzido na geração 5. É conhecido como Pokémon da mandíbula Axe.</t>
  </si>
  <si>
    <t>Cubchoo é um Pokémon do tipo gelo introduzido na geração 5. É conhecido como Pokémon Chill.</t>
  </si>
  <si>
    <t>Pokémon frio</t>
  </si>
  <si>
    <t>O Beartic é um Pokémon do tipo gelo introduzido na geração 5. É conhecido como Pokémon congelante.</t>
  </si>
  <si>
    <t>Pokémon congelante</t>
  </si>
  <si>
    <t>Cryogonal é um Pokémon do tipo gelo introduzido na geração 5. É conhecido como Pokémon cristalizado.</t>
  </si>
  <si>
    <t>Cristalizando Pokémon</t>
  </si>
  <si>
    <t>Shelmet é um Pokémon do tipo bug introduzido na geração 5. É conhecido como Pokémon de caracol.</t>
  </si>
  <si>
    <t>Pokémon de caracol</t>
  </si>
  <si>
    <t>O Accelgor é um Pokémon do tipo bug introduzido na geração 5. É conhecido como Pokémon da Shell.</t>
  </si>
  <si>
    <t>Desligue o Pokémon</t>
  </si>
  <si>
    <t>O Stunfisk é um Pokémon de Terra -Coloque/Elétrico introduzido na geração 5. É conhecido como Pokémon Trap.</t>
  </si>
  <si>
    <t>Pokémon de armadilha</t>
  </si>
  <si>
    <t>Mienfoo é um Pokémon do tipo de luta introduzido na geração 5. É conhecido como Pokémon de Artes Marciais.</t>
  </si>
  <si>
    <t>Pokémon de artes marciais</t>
  </si>
  <si>
    <t>Poliwrath é um Pokémon do tipo água/luta introduzido na geração 1. É conhecido como Pokémon de girino.</t>
  </si>
  <si>
    <t>Mienshao é um Pokémon do tipo de luta introduzido na geração 5. É conhecido como Pokémon de Artes Marciais.</t>
  </si>
  <si>
    <t>Druddigon é um Pokémon do tipo dragão introduzido na geração 5. É conhecido como Pokémon da caverna.</t>
  </si>
  <si>
    <t>Golett é um Pokémon do tipo terrestre/fantasma introduzido na geração 5. É conhecido como Pokémon autômato.</t>
  </si>
  <si>
    <t>Pokémon de autômato</t>
  </si>
  <si>
    <t>Golurk é um Pokémon do tipo terrestre/fantasma introduzido na geração 5. É conhecido como Pokémon autômato.</t>
  </si>
  <si>
    <t>Pawniard é um Pokémon do tipo escuro/aço introduzido na geração 5. É conhecido como Pokémon Sharp Blade.</t>
  </si>
  <si>
    <t>Pokémon de lâmina afiada</t>
  </si>
  <si>
    <t>O Bisharp é um Pokémon do tipo escuro/aço introduzido na geração 5. É conhecido como Pokémon da lâmina de espada.</t>
  </si>
  <si>
    <t>Pokémon da lâmina de espada</t>
  </si>
  <si>
    <t>Bouffalant é um Pokémon do tipo normal introduzido na geração 5. É conhecido como Bash Buffalo Pokémon.</t>
  </si>
  <si>
    <t>Rufflet é um Pokémon normal/voador introduzido na geração 5. É conhecido como Pokémon Eaglet.</t>
  </si>
  <si>
    <t>Braviary é um Pokémon Normal/Voador Introduzido na Geração 5. É conhecido como Pokémon Valiant.</t>
  </si>
  <si>
    <t>Vullaby é um Pokémon escuro/voador introduzido na geração 5. É conhecido como Pokémon fralda.</t>
  </si>
  <si>
    <t>Pokémon fraldas</t>
  </si>
  <si>
    <t>Abra é um Pokémon do tipo psíquico introduzido na geração 1. É conhecido como Psi Pokémon.</t>
  </si>
  <si>
    <t>Mandibuzz é um Pokémon do tipo escuro/voador introduzido na geração 5. É conhecido como Pokémon Vulture.</t>
  </si>
  <si>
    <t>Pokémon de abutres ósseos</t>
  </si>
  <si>
    <t>O Heatmor é um Pokémon do tipo incêndio introduzido na geração 5. É conhecido como Pokémon de Antéter.</t>
  </si>
  <si>
    <t>Pokémon de tades</t>
  </si>
  <si>
    <t>Durant é um Pokémon do tipo bug/aço introduzido na geração 5. É conhecido como Pokémon de Ant Ant.</t>
  </si>
  <si>
    <t>Pokémon de Iron Ant</t>
  </si>
  <si>
    <t>Deino é um Pokémon escuro/do tipo dragão introduzido na geração 5. É conhecido como Pokémon irado.</t>
  </si>
  <si>
    <t>Pokémon irado</t>
  </si>
  <si>
    <t>Zweilous é um Pokémon escuro/dragão introduzido na geração 5. É conhecido como Pokémon hostil.</t>
  </si>
  <si>
    <t>Hydreigon é um Pokémon do tipo escuro/dragão introduzido na geração 5. É conhecido como Pokémon brutal.</t>
  </si>
  <si>
    <t>Larvesta é um Pokémon do tipo de bug/fogo introduzido na geração 5. É conhecido como Pokémon da tocha.</t>
  </si>
  <si>
    <t>Pokémon da tocha</t>
  </si>
  <si>
    <t>O Volcarona é um Pokémon do tipo bug/fogo introduzido na geração 5. É conhecido como Pokémon Sun.</t>
  </si>
  <si>
    <t>Cobalion é um Pokémon de aço/combate introduzido na geração 5. É conhecido como Pokémon de Iron Will.</t>
  </si>
  <si>
    <t>Ferro vai Pokémon</t>
  </si>
  <si>
    <t>Terrakion é um Pokémon do tipo rock/luta introduzido na geração 5. É conhecido como Pokémon Cavern.</t>
  </si>
  <si>
    <t>Kadabra é um Pokémon do tipo psíquico introduzido na geração 1. É conhecido como Psi Pokémon.</t>
  </si>
  <si>
    <t>Virizion é um Pokémon do tipo grama/luta introduzido na geração 5. É conhecido como Pokémon de pastagem.</t>
  </si>
  <si>
    <t>Pokémon de pastagem</t>
  </si>
  <si>
    <t>Tornadus é um Pokémon do tipo voador introduzido na geração 5. É conhecido como Pokémon Cyclone.</t>
  </si>
  <si>
    <t>Pokémon de ciclone</t>
  </si>
  <si>
    <t>Thundurus é um Pokémon elétrico/voador introduzido na geração 5. É conhecido como Pokémon de ataque de parafuso.</t>
  </si>
  <si>
    <t>Pokémon de ataque de parafuso</t>
  </si>
  <si>
    <t>Reshiram é um Pokémon do tipo dragão/fogo introduzido na geração 5. É conhecido como vasto Pokémon branco.</t>
  </si>
  <si>
    <t>Vasto Pokémon branco</t>
  </si>
  <si>
    <t>Zekrom é um Pokémon do tipo dragão/elétrico introduzido na geração 5. É conhecido como Pokémon preto profundo.</t>
  </si>
  <si>
    <t>Pokémon preto profundo</t>
  </si>
  <si>
    <t>Landorus é um Pokémon do tipo terrestre/voador introduzido na geração 5. É conhecido como Pokémon de abundância.</t>
  </si>
  <si>
    <t>Pokémon em abundância</t>
  </si>
  <si>
    <t>Kyurem é um Pokémon do tipo dragão/gelo introduzido na geração 5. É conhecido como Pokémon de limite.</t>
  </si>
  <si>
    <t>Pokémon de limite</t>
  </si>
  <si>
    <t>Keldeo é um Pokémon do tipo de água/luta introduzido na geração 5. É conhecido como Pokémon Colt.</t>
  </si>
  <si>
    <t>Meloetta é um Pokémon normal/psíquico introduzido na geração 5. É conhecido como Pokémon da melodia.</t>
  </si>
  <si>
    <t>Genesect é um Pokémon do tipo bug/aço introduzido na geração 5. É conhecido como Pokémon Paleozóico.</t>
  </si>
  <si>
    <t>Pokémon Paleozóico</t>
  </si>
  <si>
    <t>Alakazam é ​​um Pokémon do tipo psíquico introduzido na geração 1. É conhecido como Psi Pokémon.
Alakazam tem uma mega evolução, disponível a partir da X&amp;Y.</t>
  </si>
  <si>
    <t>Chespin é um Pokémon do tipo grama introduzido na geração 6. É conhecido como Pokémon Spiny Nut.
Chespin tem uma concha difícil cobrindo a cabeça e as costas. Apesar de ter uma natureza curiosa que tende a ter problemas, Chespin mantém uma perspectiva otimista e não se preocupa com pequenos detalhes.
Chespin evolui para o quilladin no nível 16.</t>
  </si>
  <si>
    <t>Pokémon espinhoso</t>
  </si>
  <si>
    <t>O quilladin é um Pokémon do tipo grama introduzido na geração 6. É conhecido como Pokémon Spiny Armour.
Após a evolução, os picos duros no corpo de Quilladin crescem ainda mais robustos. Apesar de sua aparência espinhosa, o quilladin é considerado um Pokémon gentil que evita a batalha.
Quilladin evolui de Chespin no nível 16 e evolui para Chesnaught no nível 36.</t>
  </si>
  <si>
    <t>Pokémon de armadura espinhosa</t>
  </si>
  <si>
    <t>Chesnaught é um Pokémon do tipo grama/luta introduzido na geração 6. É conhecido como Pokémon Spiny Armour.
Chesnaught evolui de Quilladin no nível 36.</t>
  </si>
  <si>
    <t>Fennekin é um Pokémon do tipo incêndio introduzido na geração 6. É conhecido como Fox Pokémon.
Fennekin pode ser temperamental, mas tenta fazer o melhor para o seu treinador. O calor abrasador sopra de suas orelhas. Este Pokémon adora lanche em galhos.
Fennekin evolui para Braixen no nível 16.</t>
  </si>
  <si>
    <t>Braixen é um Pokémon do tipo fogo introduzido na geração 6. É conhecido como Fox Pokémon.
Braixen não come mais galhos, mas ainda mantém um galho de árvore em sua cauda, ​​o que parece acalmar o Pokémon. Ocasionalmente, empunhará o ramo em batalha e usa atrito para acendê -lo em chamas.
Braixen evolui de Fennekin no nível 16 e evolui para Delphox no nível 36.</t>
  </si>
  <si>
    <t>Delphox é um Pokémon do tipo Fogo/Psíquico introduzido na geração 6. É conhecido como Pokémon Fox.
Delphox evolui de Braixen no nível 36.</t>
  </si>
  <si>
    <t>Froakie é um Pokémon do tipo água introduzido na geração 6. É conhecido como Pokémon do sapo de bolhas.
Froakie é leve e forte, tornando -o capaz de pular incrivelmente alto. As bolhas no peito e nas costas o protegem dos ataques. Froakie pode parecer distraído, mas, na verdade, presta muita atenção ao seu ambiente o tempo todo.
Froakie evolui para o Frogadier no nível 16.</t>
  </si>
  <si>
    <t>Pokémon de sapo de bolha</t>
  </si>
  <si>
    <t>O Frogadier é um Pokémon do tipo água introduzido na geração 6. É conhecido como Pokémon do sapo de bolhas.
Durante a batalha, o Frogadier confunde seus oponentes pulando sobre o teto ou em árvores. Sua habilidade de salto melhora muito.
O Frogadier evolui de Froakie no nível 16 e evolui para Greninja no nível 36.</t>
  </si>
  <si>
    <t>Greninja é um Pokémon de água/escuro introduzido na geração 6. É conhecido como Pokémon Ninja.
Greninja evolui do Frogadier no nível 36.
Greninja tem uma nova forma Ash-Greninja apresentada em Pokémon Sun/Moon.</t>
  </si>
  <si>
    <t>Bunnelby é um Pokémon do tipo normal introduzido na geração 6. É conhecido como Pokémon de escavação.
Bunnelby é baseado em um coelho. Ele cria sua cova cavando no chão com suas grandes orelhas em forma de pá. Eles são fortes o suficiente para cortar as raízes de árvores grossas.
Bunnelby evolui para Diggersby no nível 20.</t>
  </si>
  <si>
    <t>Cavando Pokémon</t>
  </si>
  <si>
    <t>Machop é um Pokémon do tipo de luta introduzido na geração 1. É conhecido como Pokémon Superpower.</t>
  </si>
  <si>
    <t>Pokémon de superpotência</t>
  </si>
  <si>
    <t>Diggersby é um Pokémon Normal/Tipo de terra introduzido na geração 6. É conhecido como Pokémon Digging.
Diggersby evolui de Bunnelby no nível 20.</t>
  </si>
  <si>
    <t>Fletchling é um Pokémon Normal/Voador Introduzido na Geração 6. É conhecido como o pequeno Pokémon Robin.
Tem uma natureza amigável e um belo chilreado, mas Fletchling também é conhecido por ser feroz na batalha, capaz de desencadear ataques implacáveis.
Ele evolui para Fletchinder no nível 17.</t>
  </si>
  <si>
    <t>Fletchinder é um Pokémon do tipo Fire/Flying introduzido na geração 6. É conhecido como Pokémon Ember.
Fletchinder evolui de Fletchling no nível 17 e evolui para o Talonflame no nível 35.</t>
  </si>
  <si>
    <t>O Taloonflame é um Pokémon do tipo Fire/Flying introduzido na geração 6. É conhecido como Pokémon escaldante.
Ele mergulha nos inimigos e depois ataca com chutes devastadores.
Ele evolui de Fletchinder no nível 35.</t>
  </si>
  <si>
    <t>Pokémon escaldante</t>
  </si>
  <si>
    <t>Scatterbug é um Pokémon do tipo bug introduzido na geração 6. É conhecido como Pokémon ScatterDust.
Scatterbug reside principalmente em florestas e planícies selvagens. Ele usa o pêlo em volta do pescoço para controlar a temperatura corporal.</t>
  </si>
  <si>
    <t>Pokémon ScatterDust</t>
  </si>
  <si>
    <t>O Spewpa é um Pokémon do tipo bug introduzido na geração 6. É conhecido como Pokémon ScatterDust.</t>
  </si>
  <si>
    <t>Vivillon é um Pokémon do tipo bug/voador introduzido na geração 6. É conhecido como Pokémon em escala.
Vivillon tem 18 formas diferentes, dependendo da região definida no 3DS. (Uma vez encontrado, a alteração da região não altera o formulário encontrado.) Também existem dois padrões exclusivos de eventos. Os formulários são:
Padrão de prado
Padrão de jardim
Padrão do arquipélago
Padrão continental
Padrão elegante
Padrão de planícies altas
Padrão de neve gelada
Padrão da selva
Padrão marinho
Padrão moderno
Padrão de monção
Padrão oceânico
Padrão polar
Padrão do rio
Padrão de tempestade de areia
Padrão de savana
Padrão solar
Padrão de tundra
Padrão de bola Poké (evento)
Padrão sofisticado (evento)</t>
  </si>
  <si>
    <t>Pokémon em escala</t>
  </si>
  <si>
    <t>Litleo é um Pokémon de Fogo/Tipo Normal introduzido na geração 6. É conhecido como Pokémon Cub Lion.
Sua juba brilho com calor durante a batalha, queimando mais e quente quanto mais forte seu oponente.</t>
  </si>
  <si>
    <t>Pokémon de filhote de leão</t>
  </si>
  <si>
    <t>Pyroar é um Pokémon de Fogo/Tipo Normal introduzido na geração 6. É conhecido como Pokémon Royal.
Pyroar masculino e feminino têm formas diferentes - o macho tem uma crina grande, enquanto a fêmea é mais elegante. Ambos têm as mesmas estatísticas/atributos.</t>
  </si>
  <si>
    <t>Flabébé é um Pokémon do tipo de fada introduzido na geração 6. É conhecido como o Pokémon Bloom Single.
Flabébé tem várias formas, com base na flor que está segurando. Cada um deles é encontrado em manchas de flores silvestres correspondentes à sua cor. As formas são: flor amarela, flor vermelha, flor laranja, flor azul e flor branca.</t>
  </si>
  <si>
    <t>Pokémon de Bloom Single</t>
  </si>
  <si>
    <t>Machoke é um Pokémon do tipo de luta introduzido na geração 1. É conhecido como Pokémon Superpower.</t>
  </si>
  <si>
    <t>Floette é um Pokémon do tipo de fada introduzido na geração 6. É conhecido como o Pokémon Bloom único.
Como Flabébé, Floette tem várias formas: flor amarela, flor vermelha, flor laranja, flor azul e flor branca.</t>
  </si>
  <si>
    <t>Florges é um Pokémon do tipo de fada introduzido na geração 6. É conhecido como o Pokémon do Jardim.
Como Flabébé, Florges tem várias formas: flor amarela, flor vermelha, flor laranja, flor azul e flor branca.</t>
  </si>
  <si>
    <t>Pokémon de jardim</t>
  </si>
  <si>
    <t>Skiddo é um Pokémon do tipo grama introduzido na geração 6. É conhecido como o Monte Pokémon.
Diz -se que Skiddo foi o primeiro Pokémon a viver ao lado de humanos. Tornou -se capaz de ler os sentimentos de seus pilotos através do aperto nos chifres.</t>
  </si>
  <si>
    <t>O GoGoat é um Pokémon do tipo grama introduzido na geração 6. É conhecido como o Monte Pokémon.
O GoGoat é tão grande que as pessoas são capazes de andar de costas. É muito calmo e pode formar um forte vínculo com os sentimentos de seu treinador quando o treinador agarra seus chifres.</t>
  </si>
  <si>
    <t>Pancham é um Pokémon do tipo de luta introduzido na geração 6. É conhecido como Pokémon lúdico.
Com sua folha de marca registrada sempre saindo da boca, Pancham tenta intimidar seus oponentes olhando intensamente para eles (embora isso raramente seja bem -sucedido).</t>
  </si>
  <si>
    <t>Pangoro é um Pokémon de luta/escuro introduzido na geração 6. É conhecido como Pokémon assustador.
Pangoro é um Pokémon mal -humorado, mas tem um coração forte e não perdoa aqueles que escolhem os fracos.</t>
  </si>
  <si>
    <t>Pokémon assustador</t>
  </si>
  <si>
    <t>Furfrou é um Pokémon do tipo normal introduzido na geração 6. É conhecido como Pokémon Poodle.
O Furfrou pode mudar sua aparência por limpeza. Há várias aparências diferentes que ele pode levar e, quanto mais se prepara, mais estilos ficam disponíveis.
O Furfrou também é considerado muito inteligente e leal ao seu treinador. Dizem que, nos tempos antigos, Furfrou guardava o rei de Kalos.</t>
  </si>
  <si>
    <t>Pokémon Poodle</t>
  </si>
  <si>
    <t>Espurr é um Pokémon do tipo psíquico introduzido na geração 6. É conhecido como Pokémon de Restima.
O órgão que emite seu intenso poder psíquico é protegido por seus ouvidos para impedir que a energia vaze.</t>
  </si>
  <si>
    <t>Pokémon de restrição</t>
  </si>
  <si>
    <t>Meowstic é um Pokémon do tipo psíquico introduzido na geração 6. É conhecido como Pokémon de restrição.
Meowstic é baseado em um gato. Os órgãos dentro dos ouvidos de Meowstic possuem um poder psíquico formidável, por isso geralmente os mantém fechados. Mas quando o Meowstic é ameaçado, ele levantará seus ouvidos e liberará esse poder.
Meowstic tem formas diferentes, dependendo de seu gênero. O homem é principalmente azul e aprende movimentos mais defensivos; A fêmea é principalmente branca e aprende mais movimentos de ataque.</t>
  </si>
  <si>
    <t>Hongere é um Pokémon do tipo de aço/fantasma introduzido na geração 6. É conhecido como Pokémon da espada.</t>
  </si>
  <si>
    <t>Pokémon de espada</t>
  </si>
  <si>
    <t>Machamp é um Pokémon do tipo de luta introduzido na geração 1. É conhecido como Pokémon Superpower.</t>
  </si>
  <si>
    <t>O Doublade é um Pokémon do tipo de aço/fantasma introduzido na geração 6. É conhecido como Pokémon da espada.
A Doublade é capaz de realizar ataques intrincados, coordenando telepaticamente suas duas lâminas para entregar duas vezes a fatia em batalha.</t>
  </si>
  <si>
    <t>Aegislash é um Pokémon do tipo de aço/fantasma introduzido na geração 6. É conhecido como Pokémon Royal Sword.
Aegislash tem duas formas diferentes - SHIELD FORME, que é mais defensiva e lâmina, que é mais ofensiva. Sua capacidade, mudança de posição, faz com que Aegishhh se transforme em forma de escudo quando um movimento defensivo é usado ou se transforma em forma de lâmina quando um movimento de ataque é usado.</t>
  </si>
  <si>
    <t>Pokémon da espada real</t>
  </si>
  <si>
    <t>Spritzee é um Pokémon do tipo de fada introduzido na geração 6. É conhecido como Pokémon de perfume.
Emite uma fragrância única de seu corpo, e qualquer um que cheire a cair sob seu feitiço.</t>
  </si>
  <si>
    <t>Pokémon de perfume</t>
  </si>
  <si>
    <t>Aromatisse é um Pokémon do tipo de fada introduzido na geração 6. É conhecido como Pokémon de fragrância.
O Aromatisse pode emitir uma variedade de cheiros diferentes, de uma fragrância agradável a um odor tão repugnante ao seu oponente que pode mudar uma batalha a seu favor.</t>
  </si>
  <si>
    <t>Pokémon de fragrância</t>
  </si>
  <si>
    <t>O Swirlix é um Pokémon do tipo fada introduzido na geração 6. É conhecido como Pokémon Cotton Candy.
Ele adora doces e não come mais nada, tornando seu corpo tão doce e pegajoso quanto algodão doce.</t>
  </si>
  <si>
    <t>Pokémon de algodão doce</t>
  </si>
  <si>
    <t>O Slurpuff é um Pokémon do tipo fada introduzido na geração 6. É conhecido como Pokémon Meringue.
Slurpuff tem um olfato inacreditável - cem milhões de vezes mais sensível que o dos humanos. Com seus sentidos altamente sintonizados, ele pode distinguir os mais fracos odores.</t>
  </si>
  <si>
    <t>Pokémon de merengue</t>
  </si>
  <si>
    <t>Inkay é um Pokémon do tipo escuro/psíquico introduzido na geração 6. É conhecido como Pokémon giratório.
Os transmissores acima dos olhos de Inkay têm a capacidade de drenar a vontade de lutar de outros Pokémon. Ele usa essa habilidade para correr e se esconder quando atacada por inimigos mais fortes.</t>
  </si>
  <si>
    <t>Pokémon giratório</t>
  </si>
  <si>
    <t>Malamar é um Pokémon do tipo escuro/psíquico introduzido na geração 6. É conhecido como Pokémon capoting.
Malamar empunha alguns dos poderes hipnóticos mais fortes de qualquer Pokémon e pode fazer com que seus oponentes se dobrem à sua vontade.</t>
  </si>
  <si>
    <t>Derrubando Pokémon</t>
  </si>
  <si>
    <t>Binacle é um Pokémon do tipo rocha/água introduzido na geração 6. É conhecido como o Pokémon de duas mãos.</t>
  </si>
  <si>
    <t>Pokémon de duas mãos</t>
  </si>
  <si>
    <t>Barbaracle é um Pokémon do tipo rocha/água introduzido na geração 6. É conhecido como Pokémon coletivo.</t>
  </si>
  <si>
    <t>Pokémon coletivo</t>
  </si>
  <si>
    <t>Bellsprout é um Pokémon do tipo grama/veneno introduzido na geração 1. É conhecido como Pokémon Flower.</t>
  </si>
  <si>
    <t>O Skrelp é um Pokémon do tipo veneno/água introduzido na geração 6. É conhecido como o Pokémon Mock Kelp.
Disfarçado por sua forma, Skrelp finge ser um pedaço de algas marinhas. Quando Prey chega muito perto, Skrelp banha -o em veneno para impedir que ele lute.</t>
  </si>
  <si>
    <t>Dragalge é um Pokémon do tipo veneno/dragão introduzido na geração 6. É conhecido como o Pokémon de Kelp simulado.
Os contos são contados sobre navios que entram em mares onde Dragalge vive, para nunca mais voltar.
Quando o Dragalge evolui do Skrelp, perde seu tipo de água e ganha o tipo de dragão.</t>
  </si>
  <si>
    <t>Clauncher é um Pokémon do tipo água introduzido na geração 6. É conhecido como Pokémon da pistola de água.
Tem uma garra de grandes dimensões em um de seus braços. Esta garra útil pode apreender presa e atirar água em outras pessoas como um projétil.</t>
  </si>
  <si>
    <t>Pokémon da pistola de água</t>
  </si>
  <si>
    <t>Clawitzer é um Pokémon do tipo água introduzido na geração 6. É conhecido como Pokémon Howitzer.</t>
  </si>
  <si>
    <t>Pokémon de obus</t>
  </si>
  <si>
    <t>O Helioptile é um Pokémon elétrico/normal introduzido na geração 6. É conhecido como Pokémon do gerador.
Ele se carrega tomando banho à luz do sol, fornecendo energia suficiente para que não precise comer.</t>
  </si>
  <si>
    <t>Pokémon do gerador</t>
  </si>
  <si>
    <t>O Heliolisk é um Pokémon elétrico/normal introduzido na geração 6. É conhecido como Pokémon do gerador.</t>
  </si>
  <si>
    <t>Tirunt é um Pokémon do tipo rock/dragão introduzido na geração 6. É conhecido como o herdeiro real Pokémon.
Acredita -se que Tyrunt tenha mais de cem milhões de anos. O Pokémon é conhecido por ser um pouco egoísta e se encaixará quando não gostar de algo.
Tirunt é obtido revivendo -o do fóssil da mandíbula.</t>
  </si>
  <si>
    <t>Pokémon de herdeiro real</t>
  </si>
  <si>
    <t>O Tyrantrum é um Pokémon do tipo rock/dragão introduzido na geração 6. É conhecido como Pokémon de Déspota.
As mandíbulas de Tyrantrum podem rasgar placas de metal grossas como se fossem papel.</t>
  </si>
  <si>
    <t>Pokémon de déspota</t>
  </si>
  <si>
    <t>Amaura é um Pokémon do tipo rock/gelo introduzido na geração 6. É conhecido como Pokémon Tundra.
Acredita -se que Amaura tenha mais de cem milhões de anos.
Amaura é obtida revivendo -o do fóssil da vela.</t>
  </si>
  <si>
    <t>Aurorus é um Pokémon do tipo rocha/gelo introduzido na geração 6. É conhecido como Pokémon Tundra.
Aurorus pode explodir o ar frio congelante para formar uma parede de gelo para se proteger de ataques.</t>
  </si>
  <si>
    <t>Squirtle é um Pokémon do tipo água introduzido na geração 1. É conhecido como o pequeno Pokémon de tartaruga.</t>
  </si>
  <si>
    <t>Pequeno Pokémon de Tartaruga</t>
  </si>
  <si>
    <t>Weepinbell é um Pokémon do tipo grama/veneno introduzido na geração 1. É conhecido como Pokémon Flycatcher.</t>
  </si>
  <si>
    <t>Pokémon Flycatcher</t>
  </si>
  <si>
    <t>Sylveon é um Pokémon do tipo de fada introduzido na geração 6. É conhecido como Pokémon entrelaçados.</t>
  </si>
  <si>
    <t>Pokémon entrelaçados</t>
  </si>
  <si>
    <t>Hawlucha é um Pokémon do tipo de luta/vôo introduzido na geração 6. É conhecido como Pokémon de luta livre.</t>
  </si>
  <si>
    <t>Pokémon de luta livre</t>
  </si>
  <si>
    <t>Dedenne é um Pokémon elétrico/de fada introduzido na geração 6. É conhecido como Pokémon da Antena.
Ao emitir ondas de rádio de seus bigodes em forma de antena, ele pode se comunicar com aliados distantes. A Dedenne também pode conectar sua cauda em pontos de venda para drenar a eletricidade deles.</t>
  </si>
  <si>
    <t>Pokémon da antena</t>
  </si>
  <si>
    <t>Carbink é um Pokémon do tipo rock/fada introduzido na geração 6. É conhecido como Pokémon Jewel.</t>
  </si>
  <si>
    <t>Jóia Pokémon</t>
  </si>
  <si>
    <t>Goomy é um Pokémon do tipo dragão introduzido na geração 6. É conhecido como Pokémon de tecidos moles.
O Goomy é coberto por uma membrana viscosa que faz com que os socos ou chutes deslizem inofensivamente.</t>
  </si>
  <si>
    <t>Pokémon de tecidos moles</t>
  </si>
  <si>
    <t>Sliggoo é um Pokémon do tipo dragão introduzido na geração 6. É conhecido como Pokémon de tecidos moles.
Seus quatro chifres são um sistema de radar de alto desempenho. Ele os usa para sentir sons e cheiros.</t>
  </si>
  <si>
    <t>Goodra é um Pokémon do tipo dragão introduzido na geração 6. É conhecido como Pokémon Dragon.</t>
  </si>
  <si>
    <t>Klefki é um Pokémon do tipo de aço/fada introduzido na geração 6. É conhecido como Pokémon do anel -chave.
Klefki nunca deixa de lado a chave que gosta, então as pessoas dão as chaves para cofres e cofres como uma maneira de impedir o crime.</t>
  </si>
  <si>
    <t>Pokémon do anel -chave</t>
  </si>
  <si>
    <t>Phantump é um Pokémon do tipo fantasma/grama introduzido na geração 6. É conhecido como Pokémon Stump.
Segundo os antigos contos, Phantump são tocos possuídos pelos espíritos de crianças que morreram enquanto perdiam na floresta.</t>
  </si>
  <si>
    <t>Pokémon de toco</t>
  </si>
  <si>
    <t>Trevenante é um Pokémon do tipo fantasma/grama introduzido na geração 6. É conhecido como Pokémon da Árvore de Velho.</t>
  </si>
  <si>
    <t>Pokémon de árvore de anciãos</t>
  </si>
  <si>
    <t>Victreebel é um Pokémon do tipo grama/veneno introduzido na geração 1. É conhecido como Pokémon Flycatcher.</t>
  </si>
  <si>
    <t>O PumpKaboo é um Pokémon do tipo fantasma/grama introduzido na geração 6. É conhecido como Pokémon de abóbora.
Diz -se que o PumpKaboo carrega espíritos errantes para o local onde pertencem para que possam seguir em frente.</t>
  </si>
  <si>
    <t>Pokémon de abóbora</t>
  </si>
  <si>
    <t>Gourgeist é um Pokémon do tipo fantasma/grama introduzido na geração 6. É conhecido como Pokémon de abóbora.</t>
  </si>
  <si>
    <t>A bergmita é um Pokémon do tipo gelo introduzido na geração 6. É conhecido como Pokémon de pedaços de gelo.
Usando ar de -150 graus Farenheit, eles congelam os oponentes sólidos.</t>
  </si>
  <si>
    <t>Pokémon de pedaços de gelo</t>
  </si>
  <si>
    <t>O AvALugg é um Pokémon do tipo gelo introduzido na geração 6. É conhecido como Pokémon Iceberg.</t>
  </si>
  <si>
    <t>Noibat é um Pokémon do tipo voador/dragão introduzido na geração 6. É conhecido como Pokémon de onda sonora.</t>
  </si>
  <si>
    <t>Pokémon de onda sonora</t>
  </si>
  <si>
    <t>Noivern é um Pokémon do tipo voador/dragão introduzido na geração 6. É conhecido como Pokémon de onda sonora.
É extremamente combativo em relação a qualquer coisa que vagueie muito perto dele. Ele voa até as noites mais sombrias usando ondas ultrassônicas que emite de suas orelhas. O Noivern adora frutas, e alimentá -lo fruta manterá a calma.</t>
  </si>
  <si>
    <t>Xerneas é um Pokémon do tipo fada introduzido na geração 6. É conhecido como Pokémon Life.
Xerneas é um Pokémon lendário exclusivo do Pokémon X.</t>
  </si>
  <si>
    <t>Pokémon da vida</t>
  </si>
  <si>
    <t>Yveltal é um Pokémon escuro/voador introduzido na geração 6. É conhecido como Pokémon de destruição.
Yveltal é um Pokémon lendário exclusivo do Pokémon Y.</t>
  </si>
  <si>
    <t>Pokémon de destruição</t>
  </si>
  <si>
    <t>Zygarde é um Pokémon do tipo dragão/terra introduzido na geração 6. É conhecido como Pokémon da Ordem.
Zygarde é um Pokémon lendário de cobra. Sua habilidade aura quebra contraria os efeitos das habilidades de Xerneas e Yveltal.
Mais tarde, foi revelado que Zygarde, como visto em Pokémon X &amp; Y, é de fato um formato alternativo. Zygarde tem cinco formas diferentes no total:
A célula zygarde são células únicas que compõem o zygarde. Eles não podem usar nenhum movimento.
O Zygarde Core faz parte do cérebro de Zygarde e eles são conhecidos por agir quando o ecossistema mudar.
Zygarde 10% forme ocorre quando o núcleo do Zygarde reúne 10% das células próximas. Capaz de viajar mais de 60 mph.
Zygarde 50% forme ocorre quando o núcleo Zygarde reúne 50% das células próximas. Este é o formulário padrão.
Zygarde Complete Forme é a forma perfeita, que é mais poderosa que Xerneas e Yveltal. Zygarde assume esse formulário quando o ecossistema está ameaçado.</t>
  </si>
  <si>
    <t>Encomende Pokémon</t>
  </si>
  <si>
    <t>Diancie é um Pokémon do tipo rock/fada introduzido na geração 6. É conhecido como Pokémon Jewel.
Diancie é um Pokémon exclusivo para eventos. Ele também tem uma mega evolução, disponível na Omega Ruby &amp; Alpha Sapphire em diante.</t>
  </si>
  <si>
    <t>O Tentacool é um Pokémon do tipo água/veneno introduzido na geração 1. É conhecido como Pokémon de Água -fisos.</t>
  </si>
  <si>
    <t>Pokémon de água -viva</t>
  </si>
  <si>
    <t>Hoopa é um Pokémon psíquico/fantasma introduzido na geração 6. É conhecido como Pokémon do Malhief.
Hoopa é um Pokémon exclusivo para eventos.</t>
  </si>
  <si>
    <t>Pokémon da travessura</t>
  </si>
  <si>
    <t>O vulcanion é um Pokémon do tipo fogo/água introduzido na geração 6. É conhecido como Pokémon a vapor.
O vulcanion é um Pokémon exclusivo para eventos; Detalhes completos ainda não são conhecidos.</t>
  </si>
  <si>
    <t>Pokémon a vapor</t>
  </si>
  <si>
    <t>Rowlet é um Pokémon de Grass/Flying Introduzido na Geração 7. É conhecido como Pokémon Grass Quill.
Rowlet pode voar silenciosamente pelos céus, esgueirando -se de seu oponente sem ser notado. Ele pode atacar seus oponentes usando chutes poderosos e também pode atacar a uma distância usando as folhas nítidas que fazem parte de suas penas.
A Rowlet pode pesquisar seu ambiente e girar o pescoço quase 180 graus de frente para trás, para que possa ver diretamente atrás de si. Quando em batalha, Rowlet vira a cabeça para enfrentar o treinador ao esperar por instruções.
Rowlet começa com a folha de movimento.</t>
  </si>
  <si>
    <t>Pokémon de grama</t>
  </si>
  <si>
    <t>Dartrix é um Pokémon do tipo grama/voador introduzido na geração 7. É conhecido como Pokémon Blade Quill.
Dartrix é extremamente sensível a outras presenças na área e pode detectar oponentes atrás dela e jogar penas para atingi -las sem sequer vê -las. Este Pokémon esconde penas de lâmina afiada dentro de suas asas, mostrando uma precisão surpreendente, pois as envia voando no ataque.</t>
  </si>
  <si>
    <t>Pokémon de quill quill de lâmina</t>
  </si>
  <si>
    <t>Decidueye é um Pokémon do tipo Grass/Fantasma introduzido na geração 7. É conhecido como Pokémon de penas de seta.
Decidueye é capaz de se mover enquanto mascaria completamente sua presença de outros. Uma vez que um oponente perdeu de vista, a Decidueye aproveita a chance de atacá -lo de surpresa. Em um décimo de segundo, a Decidueye coloca uma pena de flecha de dentro de sua asa e envia seu arremesso em direção ao seu alvo.</t>
  </si>
  <si>
    <t>Pokémon de Quill Quill</t>
  </si>
  <si>
    <t>Litten é um Pokémon do tipo incêndio introduzido na geração 7. É conhecido como Pokémon Fire Cat.
O Pokémon de gato de fogo de cabeça fria, Litten, é a próxima escolha para um Pokémon de primeiro parceiro. O pêlo de Litten é rico em óleos e é imensamente inflamável. Ele se prepara constantemente lambendo seu casaco, coletando pêlo solto em bolas. Em seguida, acende essas bolas de cabelo para criar ataques de bola de fogo. Quando chega a hora de Litten fazer uma muda, ele queima todo o seu pêlo em um incêndio glorioso.
Litten começa com a brasa de movimento.</t>
  </si>
  <si>
    <t>Fire Pokémon Pokémon</t>
  </si>
  <si>
    <t>Torracat é um Pokémon do tipo incêndio introduzido na geração 7. É conhecido como Pokémon Fire Cat.
O objeto semelhante a um sino preso na base do pescoço de Torracat é um saco de chama, um órgão que pode produzir chamas. As emoções de Torracat causam um aumento na temperatura do órgão e, quando o órgão cospe chamas, ele toca com o som alto e claro de um sino. Torracat ataques usando as chamas emitidas desta campainha.</t>
  </si>
  <si>
    <t>Incineroar é um Pokémon de Fogo/Tipo escuro introduzido na geração 7. É conhecido como Pokémon do calcanhar.
À medida que seu espírito de luta aumenta, as chamas que o Incineroar produz dentro de seu corpo estouraram a partir de seu umbigo e cintura. No calor da batalha, o Incineroar não mostra preocupação com seus oponentes - e às vezes até lança ataques que atacam o treinador adversário! Como resultado, muitos tendem a não gostar desse Pokémon e a mantê -lo à distância.</t>
  </si>
  <si>
    <t>Pokémon do calcanhar</t>
  </si>
  <si>
    <t>Popplio é um Pokémon do tipo água introduzido na geração 7. É conhecido como Pokémon do Leão Sea.
O Popplio pode criar balões feitos de água a partir do nariz e utilizá -los para criar uma variedade de estratégias e ataques diferentes em batalha. Este Pokémon é melhor em se mover na água do que em terra e pode nadar a velocidades acima de 25 mph. Na terra, usa a elasticidade dos balões que cria para realizar saltos e acrobacias acrobáticas.
Popplio começa com a pistola de água Move.</t>
  </si>
  <si>
    <t>Pokémon de leão -marinho</t>
  </si>
  <si>
    <t>Brionne é um Pokémon do tipo água introduzido na geração 7. É conhecido como Pokémon Pop Star.
Brionne aprende suas danças imitando os outros membros de sua colônia. Às vezes até aprende danças de humanos. Este Pokémon é um trabalhador esforçado e se derrama em seus esforços até que memorizasse cada dança. Enquanto dança, Brionne cria balão após balão. Na batalha, primeiro envia seu oponente para desordem com sua dança e depois dá um tapa em seus balões em seu alvo, fazendo com que os balões explodam e causassem danos.</t>
  </si>
  <si>
    <t>Pokémon Pop Star</t>
  </si>
  <si>
    <t>Tentacruel é um Pokémon do tipo água/veneno introduzido na geração 1. É conhecido como Pokémon de Água -fisos.</t>
  </si>
  <si>
    <t>Primarina é um Pokémon do tipo água/fada introduzido na geração 7. É conhecido como Pokémon solista.
Ao dança, a Primarina libera balões de água para a área ao redor, movendo -os usando as ondas sonoras de sua voz. A visão do luar refletindo seus balões brilhantes cria uma cena mágica. Como a Primarina controla seus balões usando sua voz, qualquer lesão na garganta pode se tornar um grave problema. Seus maiores inimigos são ambientes áridos e o uso excessivo de sua voz durante batalhas consecutivas.</t>
  </si>
  <si>
    <t>Pokémon solista</t>
  </si>
  <si>
    <t>Pikipek é um Pokémon normal/voador introduzido na geração 7. É conhecido como Pokémon Woodpecker.
Pikipek pode atacar 16 vezes um segundo com seu bico. Essas greves são poderosas o suficiente para não apenas perfurar madeira dura, mas até pedra quebrada. Pikipek atacará oponentes distantes, fechando as sementes neles. Essas fotos têm força suficiente para incorporar as sementes em troncos de árvores.</t>
  </si>
  <si>
    <t>Pokémon de pica -pau</t>
  </si>
  <si>
    <t>Trumbeak é um Pokémon Normal/Voador Introduzido na Geração 7. É conhecido como Pokémon Bak Bak.</t>
  </si>
  <si>
    <t>Pokémon Pokémon de Bugle Bak</t>
  </si>
  <si>
    <t>Toucannon é um Pokémon normal/voador introduzido na geração 7. É conhecido como Pokémon Cannon.</t>
  </si>
  <si>
    <t>Pokémon de canhão</t>
  </si>
  <si>
    <t>Yungoos é um Pokémon do tipo normal introduzido na geração 7. É conhecido como Pokémon loitering.
Yungoos é um grande comedor que nunca é satisfeito. A maior parte de seu corpo longo é entregue ao estômago, e sua digestão é rápida, por isso está sempre com fome. Possui presas fortes, para que possa esmagar e consumir os objetos mais difíceis.</t>
  </si>
  <si>
    <t>Pokémon loitering</t>
  </si>
  <si>
    <t>O Gumshoos é um Pokémon do tipo normal introduzido na geração 7. É conhecido como Pokémon de Estoque.
O método de Gumshoos de direcionar presa é exatamente o oposto da estratégia de Yungoos. Enquanto Yungoos se aproxima, Gumshoos aposenta as rotas habituais de suas presas e espera pacientemente que ela apareça.
Gumshoos tem uma personalidade tenaz, e é por isso que tem como alvo uma presa por tanto tempo sem vacilar. Mas quando o sol se põe, fica com pouca resistência, adormecendo bem no local. Gumshoos pode suportar muita fome. É capaz de ficar perfeitamente imóvel enquanto aguarda sua presa, vigiando sem comer nada.
Gumshoos evolui de Yungoos.</t>
  </si>
  <si>
    <t>Pokémon de estaca</t>
  </si>
  <si>
    <t>Grubbin é um Pokémon do tipo bug introduzido na geração 7. É conhecido como Larva Pokémon.
Grubbin conta com sua mandíbula resistente como uma arma em batalha e como uma ferramenta para escavar a terra. Grubbin adora eletricidade, e é por isso que pode ser encontrada perto de usinas e subestações de energia. Ao embrulhar galhos de árvores nos fios pegajosos que vomitam da boca, Grubbin pode girar como um ator nos fios da suspensão!
Grubbin evolui para Charjabug.</t>
  </si>
  <si>
    <t>Charjabug é um Pokémon do tipo bug/elétrico introduzido na geração 7. É conhecido como Pokémon da bateria.
Charjabug permanece perfeitamente imóvel em preparação para a evolução e geralmente passa tempo com seu corpo meio enterrado na terra. Charjabug é capaz de armazenar eletricidade. Ele pode armazenar energia suficiente para administrar uma família por um dia inteiro. A energia que ele armazena pode ser fornecida a outros Pokémon, para que também possa servir como bateria!
Charjabug evolui de Grubbin e evolui para Vikavolt.</t>
  </si>
  <si>
    <t>Pokémon da bateria</t>
  </si>
  <si>
    <t>O Vikavolt é um Pokémon do tipo bug/elétrico introduzido na geração 7. É conhecido como Pokémon de Stag Beetle.
Vikavolt é como uma fortaleza que diminui a floresta, disparando um feixe de eletricidade da boca. Suas garras enormes controlam a eletricidade que explode. Vikavolt é adepto de manobras acrobáticas de vôo, como espinhos e curvas nítidas. Ele pode voar em alta velocidade, mesmo quando se aproxima do complicado emaranhado de galhos na floresta.
Vikavolt evolui de Charjabug.</t>
  </si>
  <si>
    <t>Crabrawler é um Pokémon do tipo de luta introduzido na geração 7. É conhecido como Pokémon de boxe.
Crabrawler tem uma personalidade que realmente odeia perder, e é motivada não apenas a buscar uma posição mais alta do que seus companheiros em termos de posição social, mas literalmente buscar uma posição mais alta na paisagem.
Crabrawler dá um bom chicote nos troncos das árvores para dar um bom shake aos galhos e bater em quaisquer bagas maduras no chão para que possam se banquetear.</t>
  </si>
  <si>
    <t>Pokémon de boxe</t>
  </si>
  <si>
    <t>Geodude é um Pokémon do tipo rocha/terra introduzido na geração 1. É conhecido como Pokémon Rock.</t>
  </si>
  <si>
    <t>Pokémon de rocha</t>
  </si>
  <si>
    <t>Crabominable é um Pokémon de combate/gelo introduzido na geração 7. É conhecido como o Pokémon de Crada de Lã.</t>
  </si>
  <si>
    <t>Pokémon de caranguejo de lã</t>
  </si>
  <si>
    <t>O Oricorio é um Pokémon de Fogo/Voador Introduzido na Geração 7. É conhecido como Pokémon Dancing.
Oricorio tem quatro formas diferentes - uma para cada uma das ilhas de Alola. O Oricorio muda sua forma bebendo o néctar de certas flores.
O estilo Baile Oricorio é muito apaixonado e o poder preenche seu corpo quando dança. Ele envia fofo descendente voando durante suas danças intensas.
O estilo Pom-Pom Oricorio é muito amigável com as pessoas e usa a dança para incentivar treinadores que estão se sentindo sombrios. Quando dança, suas penas são carregadas com eletricidade estática.
O estilo Pa'u Oricorio age no seu próprio ritmo, o que às vezes dificulta a lida. Afiga seus movimentos animados pela dança, o que aumenta seu poder psíquico.
O estilo sensu Oricorio é silencioso e coletado. Por meio de sua dança, ela reúne os espíritos flutuando em uma área e empresta seu poder de lutar.</t>
  </si>
  <si>
    <t>Pokémon dançando</t>
  </si>
  <si>
    <t>Cutiefly é um Pokémon do tipo bug/fada introduzido na geração 7. É conhecido como Pokémon Fly BEE.
O Cutiefly pode detectar as auras dos seres vivos, incluindo pessoas, Pokémon e plantas. Eles procuram flores pela cor e brilho de suas auras e depois reunem seu néctar e pólen.
Quando as criaturas vivas estão empolgadas, parece que suas auras se assemelham às das flores em plena floração. Como resultado, esses Pokémon tendem a se reunir perto de pessoas ou Pokémon se sentindo particularmente felizes ou tristes.</t>
  </si>
  <si>
    <t>Pokémon de Fly BEE</t>
  </si>
  <si>
    <t>O Ribombee é um Pokémon do tipo bug/fada introduzido na geração 7. É conhecido como Pokémon Fly BEE.
O ribombee coleciona néctar de flores e pólen para transformar bolas conhecidas como sopros de pólen. Isso serve como alimento e, além disso, também podem causar efeitos como paralisia ou tontura. O Ribombee pode usar sopros para atingir seus oponentes durante as batalhas.</t>
  </si>
  <si>
    <t>Rockruff é um Pokémon do tipo rock introduzido na geração 7. É conhecido como Pokémon Puppy.
O Rockruff tem um excelente olfato e, uma vez que cheirou um odor, não esquece! Há histórias desses Pokémon se separando de seus treinadores e, em seguida, usando os traços mais fracos de seu perfume para rastreá -los por dias até que sejam reunidos!
Rockruff é um Pokémon sociável, mas à medida que cresce, sua disposição fica mais selvagem. Se começa a uivar quando o sol se põe, isso é a prova de que está perto de evoluir. Dizem que ele deixa o lado do treinador para evoluir e retornar novamente quando evoluiu totalmente.</t>
  </si>
  <si>
    <t>Lycanroc é um Pokémon do tipo rock introduzido na geração 7. É conhecido como Pokémon Wolf.
Lycanroc tem três formas. A forma do meio -dia e a forma da meia -noite estavam disponíveis em Pokémon Sun &amp; Moon, enquanto a forma do anoitecer foi adicionada na Ultra Sun &amp; Ultra Moon. Lycanroc evolui do Rockruff para uma das formas:
Em Pokémon Sun, influenciado por Solgaleo, o Rockruff evolui para a forma do meio -dia de Lycanroc.
Em Pokémon Moon, influenciado por Lunala, o Rockruff evolui para a forma de Midnight Lycanroc.
Em Pokémon Ultra Sun/Moon, um evento especial Rockruff (do presente misterioso) evolui para a forma de Lycanroc Dusk.</t>
  </si>
  <si>
    <t>Pokémon de lobo</t>
  </si>
  <si>
    <t>Wishiwashi é um Pokémon do tipo água introduzido na geração 7. É conhecido como o pequeno Pokémon Fry.
Wishiwashi é muito pequeno, mas o povo da região de Alola parece vê -lo como um Pokémon aterrorizante. Quando está em perigo, os olhos brilhantes de Wishiwashi pegam a luz e brilham, enviando um sinal SOS para seus aliados.</t>
  </si>
  <si>
    <t>Pequeno Pokémon Fry</t>
  </si>
  <si>
    <t>Mareenie é um Pokémon do tipo veneno/água introduzido na geração 7. É conhecido como Pokémon Brutal Star.</t>
  </si>
  <si>
    <t>Pokémon de estrela brutal</t>
  </si>
  <si>
    <t>Toxapex é um Pokémon do tipo veneno/água introduzido na geração 7. É conhecido como Pokémon Brutal Star.</t>
  </si>
  <si>
    <t>Mudbray é um Pokémon do tipo terra introduzido na geração 7. É conhecido como Pokémon de Donkey.
Mudbray poderia ser encontrado em todo o mundo, mas foi caçado demais e acabou à beira da extinção. Dizem que a região de Alola é o único lugar no mundo onde o Mudbray ainda pode ser encontrado na natureza.
Mudbray possui força sobre -humana - uma surpresa, considerando seu pequeno corpo. O Mudbray pode transportar cargas até 50 vezes seu próprio peso nas costas ou arrastando -se atrás dele.
Mudbray evolui para Mudsdale.</t>
  </si>
  <si>
    <t>Graveler é um Pokémon do tipo rocha/terra introduzido na geração 1. É conhecido como Pokémon Rock.</t>
  </si>
  <si>
    <t>Mudsdale é um Pokémon do tipo terreno introduzido na geração 7. É conhecido como Pokémon de cavalo.
Mudsdale é conhecido por seu corpo poderoso, bem como por sua coragem emocional, o que impede que seja agitado por qualquer coisa. Ele nunca grita, não importa em que tipo de problema ele esteja, e derrota seus oponentes com um único golpe poderoso. Suas pernas são revestidas na lama protetora, e o peso desse revestimento aumenta a força de seus chutes.
Quando Mudsdale galops a sério, o poder de cada casco pode cavar enormes buracos, mesmo no asfalto. Mudsdale é proibido de correr em algumas das estradas públicas de Alola.</t>
  </si>
  <si>
    <t>Pokémon de cavalos de rascunho</t>
  </si>
  <si>
    <t>O Dewpider é um Pokémon do tipo água/inseto introduzido na geração 7. É conhecido como Pokémon de bolha de água.</t>
  </si>
  <si>
    <t>Pokémon de bolha de água</t>
  </si>
  <si>
    <t>Araquanid é um Pokémon do tipo água/inseto introduzido na geração 7. É conhecido como Pokémon de bolha de água.</t>
  </si>
  <si>
    <t>Fomantis é um Pokémon do tipo grama introduzido na geração 7. É conhecido como o Pokémon Fexled Grass.
A Fomantis é noturna e realiza a fotossíntese enquanto dorme durante o dia, espalhando suas folhas em todas as direções. Devido ao perigo de permanecer no mesmo local dois dias seguidos, a Fomantis começa sua busca pelo lugar do dia seguinte assim que o sol se põe.
Fomantis evolui para Lurantis.</t>
  </si>
  <si>
    <t>Pokémon de grama falciforme</t>
  </si>
  <si>
    <t>Lurantis é um Pokémon do tipo grama introduzido na geração 7. É conhecido como Pokémon Bloom Sickle.
Lurantis atrai os oponentes para si mesmo com sua aparência e aroma em flor - e então os derruba. Diz-se que é o mais lindo de todos os Pokémon do tipo grama, devido à sua coloração brilhante e movimentos elegantes. A aparência de Lurantis é mantida através da higiene detalhada. Ele confiará em um treinador que faz um bom trabalho em cuidar disso, mas aparentemente terá dificuldade em se aproximar de um treinador preguiçoso.
Lurantis evolui de Fomantis.</t>
  </si>
  <si>
    <t>Morelull é um Pokémon de grama/fada introduzido na geração 7. É conhecido como Pokémon iluminador.
Morelull são Pokémon noturnos que andam à noite com suas raízes parecidas com pernas. Eles se movem porque permanecer em um local e sugar todos os nutrientes do solo causariam que as plantas circundantes murcha. A Morelull usa suas raízes para fazer contato com seus companheiros e se comunicar com eles.</t>
  </si>
  <si>
    <t>Pokémon iluminador</t>
  </si>
  <si>
    <t>Shiinotic é um Pokémon do tipo grama/fada introduzido na geração 7. É conhecido como Pokémon iluminador.</t>
  </si>
  <si>
    <t>Salandit é um Pokémon do tipo veneno/incêndio introduzido na geração 7. É conhecido como Pokémon tóxico de lagarto.
Salandit emite gás tóxico, juntamente com chamas, da base de sua cauda. Esse gás venenoso tem um cheiro doce, e qualquer um que, sem saber, respire -o, ficará tonto. Salandit não é um Pokémon muito poderoso, mas sua natureza astuta permite que ela lute ferozmente, jogando seus oponentes desequilibrados.
As fêmeas Salandit não apenas liberam gases tóxicos, mas também podem emitir feromônios que atraem homens de todas as espécies, incluindo Pokémon e humanos. A inalação desses feromônios pode fazer com que os oponentes sejam controlados pela vontade de Salandit.</t>
  </si>
  <si>
    <t>Pokémon tóxico de lagarto</t>
  </si>
  <si>
    <t>Salazzle é um Pokémon do tipo veneno/incêndio introduzido na geração 7. É conhecido como Pokémon tóxico de lagarto.</t>
  </si>
  <si>
    <t>O Stufful é um Pokémon normal/de luta introduzido na geração 7. É conhecido como Pokémon de Flailing.
A aparência e os movimentos fofos de Stufol - além da sensação macia de seu pêlo - todos se combinam para torná -lo super popular. Stufful pode ter um corpo pequeno, mas sua força é extraordinária. Receber um de seus poderosos hits sem estar preparado para ele pode derrubar mesmo os Pokémon bem treinados.</t>
  </si>
  <si>
    <t>Pokémon agitados</t>
  </si>
  <si>
    <t>Golem é um Pokémon do tipo rocha/terra introduzido na geração 1. É conhecido como Pokémon Megaton.</t>
  </si>
  <si>
    <t>Bewear é um Pokémon normal/de luta introduzido na geração 7. É conhecido como o forte Pokémon do braço.
Quando o Bewear está agindo de maneira amigável, apenas balançando os braços, você nunca deve ousar abordá -lo descuidadamente. É reconhecido como um Pokémon perigoso, mesmo na região de Alola. Você pode ver sinais de alerta postados perto de lugares em que reside.
Quando o Bewear gosta de seu treinador, pode mostrar que o sentimento de um abraço - mas a força desse abraço é tremendo! Os treinadores devem ensinar esses Pokémon a restringir sua força ao mostrar afeto.</t>
  </si>
  <si>
    <t>Pokémon de braço forte</t>
  </si>
  <si>
    <t>O Bounsweet é um Pokémon do tipo grama introduzido na geração 7. É conhecido como Pokémon de Frutas.
Como exala um cheiro delicioso de todo o seu corpo, o Bounsweet é popular entre os Pokémon e as pessoas da região de Alola. O perfume de Bounsweet tem um efeito calmante nos seres humanos, muitas pessoas os deixam morar dentro de suas casas como uma espécie de purificador de ar. Infelizmente, às vezes é engolido inteiro por Pokémon atraído por seu aroma.
Ao fugir de outros Pokémon, os bounsweet fogem de perigo, pulando pelo chão. Como seus movimentos saltitantes não transmitem a outros que, na verdade, está em voo desesperado, ninguém jamais ajuda.</t>
  </si>
  <si>
    <t>Steenee é um Pokémon do tipo grama introduzido na geração 7. É conhecido como Pokémon de Frutas.
Ao evoluir, a fragrância de Steenee se torna ainda mais deliciosa, mas também ganha uma personalidade de moleca. Viver junto com um é uma provação. À medida que se move, gira seu cálice, impressionando objetos próximos, mas Steenee não se importava.</t>
  </si>
  <si>
    <t>Tsarena é um Pokémon do tipo grama introduzido na geração 7. É conhecido como Pokémon da fruta.
Tsarena tem a natureza da nobreza de alta classe. Qualquer Pokémon ou humano que o aproxime com o mal em mente será punido imediatamente. Até vira seu brilho assustador para seu próprio treinador se os dois não estiverem totalmente sincronizados, ou se seu treinador ordenar que ele use um movimento que será ineficaz. Somente o mais forte do Steenee é capaz de evoluir. Quando isso acontece, o Steenee evolui com a bênção de outro Steenee. Em seguida, ele usa sua força para proteger o bounstesweet.</t>
  </si>
  <si>
    <t>Comfey é um Pokémon do tipo de fada introduzido na geração 7. É conhecido como Pokémon Picker Posy.
Comfey pega flores e sempre as carrega. Faz um anel de flores e espalha óleo do corpo, o que muda as flores para que elas emitem uma fragrância suave. Tem o hábito de dar esses anéis de flores para aqueles que gosta. O aroma pode acalmar a si mesma e de seus aliados. Comfey também ajuda no tratamento de pessoas e Pokémon nos centros e hospitais de Pokémon, graças ao seu aroma.
Quando atacado por outros Pokémon, ele joga suas flores para criar uma abertura e depois foge ou ataca de volta.</t>
  </si>
  <si>
    <t>Pokémon Posy Picker</t>
  </si>
  <si>
    <t>Oranguru é um Pokémon do tipo normal/psíquico introduzido na geração 7. É conhecido como Pokémon Sábio.
O Oranguru Live Solitary vive profundamente nas florestas e geralmente não toma muita ação. Em vez disso, eles se posicionam no alto das árvores para meditar. Há muito tempo, as pessoas pensavam que Oranguru eram humanos que moravam nas profundezas da floresta, então as chamavam de povo das florestas. Oranguru é gentil com o outro Pokémon que vive na floresta, fornecendo remédio para Pokémon e comida feridos para os famintos.
Os objetos semelhantes a fãs mantidos por Oranguru são feitos à mão pelos próprios Oranguru. Esses fãs parecem ser feitos de camadas de folhas unidas com o próprio pêlo de Oranguru.</t>
  </si>
  <si>
    <t>Pokémon sábio</t>
  </si>
  <si>
    <t>Passimian é um Pokémon do tipo de luta introduzido na geração 7. É conhecido como Pokémon do trabalho em equipe.
Os passimianos vivem em tropas de 20 a 30 indivíduos, todos seguindo um líder. Esse líder levará 10 dos indivíduos nas melhores condições para procurar comida. O trabalho em equipe da tropa é forte, e o chefe de cada tropa decide o que os membros de Mark usarão em seus braços para distinguir as tropas.
O chefe coloca os membros da tropa através do treinamento para melhorar sua coordenação um com o outro e sua habilidade no manuseio de bagas.</t>
  </si>
  <si>
    <t>Pokémon do trabalho em equipe</t>
  </si>
  <si>
    <t>Wimpod é um Pokémon do tipo bug/água introduzido na geração 7. É conhecido como Pokémon Turn Tail.
Wimpod tem uma natureza covarde e desconfia de ruídos e movimentos repentinos. Se você se aproximar deles em um grupo, eles fogem imediatamente. Quando Wimpod se sente ameaçado, eles cuspiram um líquido venenoso. O cheiro desse fluido tóxico sinaliza outros que o perigo está próximo. Apesar de sua covardia extrema, sua curiosidade leva Wimpod a abordar pessoas ou Pokémon que estão parados.
Wimpod Coma e armazene qualquer coisa que eles achem caído no chão. Eles também eliminam qualquer lixo que tenha sido jogado no mar, para que sejam altamente valorizados como limpadores. Às vezes, eles carregam pérolas ou outros itens valiosos, para que humanos ou Pokémon como Murkrow possam atingir -os.</t>
  </si>
  <si>
    <t>Vire o Pokémon da cauda</t>
  </si>
  <si>
    <t>O Golisopod é um Pokémon do tipo bug/água introduzido na geração 7. É conhecido como Pokémon em escala dura.</t>
  </si>
  <si>
    <t>Pokémon em escala dura</t>
  </si>
  <si>
    <t>Sandygast é um Pokémon do tipo fantasma/terra introduzido na geração 7. É conhecido como Pokémon de pilha de areia.
Um sandygast emerge quando os rancores de Pokémon e outras criaturas absorvem a areia depois que caem em batalha. Um sandygast usa seu poder para manipular as crianças na coleta de areia para aumentar o tamanho de seu corpo. Se um sandygast perder a pá, ela pode colocar um galho de árvore, uma bandeira ou outro item em seu lugar.
A boca semelhante a um túnel de um sandygast pode sugar a vitalidade de pessoas e Pokémon. Aparentemente, é um teste de coragem na região de Alola para colocar sua mão na boca de um sandygast.</t>
  </si>
  <si>
    <t>Pokémon de pilha de areia</t>
  </si>
  <si>
    <t>Ponyta é um Pokémon do tipo incêndio introduzido na geração 1. É conhecido como Pokémon de Fire Horse.</t>
  </si>
  <si>
    <t>Pokémon de Fire Horse</t>
  </si>
  <si>
    <t>Palossand é um Pokémon do tipo fantasma/terra introduzido na geração 7. É conhecido como Pokémon do Castelo de Areia.
Palossand controla os adultos humanos, fazendo -os construir um castelo de areia que fornece camuflagem e também aumenta suas habilidades defensivas. Ao contrário do Sandygast, se Palossand perder um pouco da areia do corpo, ele poderá se restaurar por conta própria. Ao se mover em busca de presas, a pá no topo da cabeça de Palossand gira. Dizem que a pá pode servir como algum tipo de radar.</t>
  </si>
  <si>
    <t>Pokémon do castelo de areia</t>
  </si>
  <si>
    <t>Pyukumuku é um Pokémon do tipo água introduzido na geração 7. É conhecido como Pokémon do pepino do mar.
Devido à sua aparência e estilo de vida, Pyukumuku é considerado desagradável para os turistas. Trabalho de meio período jogando Pyukumuku de volta ao mar está disponível em praias turísticas. Mas não importa o quão longe eles sejam jogados, Pyukumuku sempre retornará ao mesmo local.
Pyukumuku odeia ter seus espinhos e bocas tocados, e se você pisar em um, ele lançará seus órgãos internos semelhantes a punhos para atacar você.</t>
  </si>
  <si>
    <t>Pokémon do pepino do mar</t>
  </si>
  <si>
    <t>Tipo: Null é um Pokémon do tipo normal introduzido na geração 7. É conhecido como Pokémon sintético.
As formas de suas pernas dianteiras e traseiras são diferentes, como o tipo: NULL foi construído para sintetizar os pontos fortes de vários Pokémon, permitindo que ele se adapte a qualquer situação.
A máscara equipada para digitar: a cabeça de Null é um equipamento projetado para controlar seus poderes latentes. É extremamente pesado, por isso também serve para impedir o tipo: a agilidade de Null.</t>
  </si>
  <si>
    <t>Pokémon sintético</t>
  </si>
  <si>
    <t>Silvally é um Pokémon do tipo normal introduzido na geração 7. É conhecido como Pokémon sintético.
Quando o tipo: Null ganha um parceiro em que ele pode confiar, ele destrói deliberadamente o dispositivo de restrição que usa. Uma vez liberado dessa máscara pesada, a velocidade do Pokémon aumenta substancialmente.
A capacidade de Silvally altera seu tipo com base no item que está sendo mantido.</t>
  </si>
  <si>
    <t>Minior é um Pokémon do tipo rock/voador introduzido na geração 7. É conhecido como Pokémon Meteor.
Minior são formados na estratosfera e vivem absorvendo os detritos ao seu redor. Quando eles consumiram uma grande quantidade de partículas, seus corpos ficam pesados ​​e caem em direção à superfície do planeta. Minior tem uma concha externa dura e pesada com um núcleo dentro dela.
Quando sua concha quebra, o núcleo em seu centro é revelado, o que pode ser cores diferentes.</t>
  </si>
  <si>
    <t>Pokémon meteoro</t>
  </si>
  <si>
    <t>O Komala é um Pokémon do tipo normal introduzido na geração 7. É conhecido como Pokémon que Drowsing.
Ninguém jamais viu um Komala acordado. Ele come, viaja e até batalhas enquanto adormece! Sua saliva pode ser usada como remédio para os doentes ou sem dormir, segundo pessoas antigas. Dizem que, se você tomar uma pequena quantidade de saliva que permanece depois de comer folhas, regar a saliva e beber, poderá dormir bem.
Komala se apega a um travesseiro de madeira que seus pais lhe deram. Depois de entender esse tronco, quase nunca o libera. Se perder seu tronco, o Pokémon não poderá dormir bem e se debaterá muito.</t>
  </si>
  <si>
    <t>O Turtonator é um Pokémon do tipo Fire/Dragão introduzido na geração 7. É conhecido como Pokémon de Tartaruga Blast.
Como o Turtonator vive em vulcões, alimentando -se de enxofre e outros materiais encontrados perto de crateras vulcânicas, sua concha tem uma camada de material explosivo - principalmente enxofre. Quando algo atinge esse Pokémon, Sparks voam dos chifres da concha, acendendo uma explosão!
Em áreas em torno de crateras vulcânicas, esse Pokémon se camufla como uma pedra e espera por presas. No momento em que sua presa entra na parte de trás de sua concha, o Turtonator atinge sua concha com sua própria cauda, ​​desencadeando uma explosão!</t>
  </si>
  <si>
    <t>Pokémon de tartaruga de explosão</t>
  </si>
  <si>
    <t>TOGEDEMARU é um Pokémon elétrico/aço introduzido na geração 7. É conhecido como Pokémon Roly-Poly.
A TOGEDEMARU reúne eletricidade e a armazena. A agulha longa que cresce na parte de trás de sua cabeça funciona como um haste de raios para atrair eletricidade.
Cobrir seu corpo é um padrão de pêlo com fios como agulhas. Nos dias em que os raios atingem, às vezes você pode ver Togedemaru se reunir e se acumular nas agulhas, esperando para serem atingidos por um raio.</t>
  </si>
  <si>
    <t>Pokémon Roly-Poly</t>
  </si>
  <si>
    <t>Mimikyu é um Pokémon do tipo fantasma/fada introduzido na geração 7. É conhecido como Pokémon Disguise.
Mimikyu vive sua vida completamente coberto por seu pano e está sempre escondido. As pessoas acreditam que quem vê sua verdadeira forma sob o pano será atingida por uma doença misteriosa. As pessoas na região de Alola estão convencidas de que você nunca deve tentar espiar sob sua cobertura. A saúde de Mimikyu falha quando é banhada nos raios do sol, por isso prefere ficar em lugares escuros. Há rumores de que a razão pela qual se cobre com um pano é evitar a luz do sol.</t>
  </si>
  <si>
    <t>Disfarçar Pokémon</t>
  </si>
  <si>
    <t>O Bruxish é um Pokémon do tipo água/psíquico introduzido na geração 7. É conhecido como Pokémon de dentes Gnash.
Bruxish emite um forte poder psíquico da protuberância de cabeça para baixo. Quando seus oponentes são banhados nesse poder, eles são atingidos por terríveis dores de cabeça e ficam inconscientes. À medida que emite seu poder psíquico, tritura os dentes em voz alta. Quando os Pokémon nas proximidades ouvem o som dos dentes de Bruxish ranger, eles sentem perigo e fogem imediatamente.</t>
  </si>
  <si>
    <t>Gnash dentes Pokémon</t>
  </si>
  <si>
    <t>Rapidash é um Pokémon do tipo fogo introduzido na geração 1. É conhecido como Pokémon de Fire Horse.</t>
  </si>
  <si>
    <t>Drampa é um Pokémon normal/do tipo dragão introduzido na geração 7. É conhecido como Pokémon Placid.
Drampa são dragões que vivem sozinhos nas montanhas 10.000 pés acima do nível do mar. Como eles não conseguem obter as bagas em que se alimentam dessa faixa, elas descem para a base das montanhas ao amanhecer todos os dias. Drampa adora se comunicar com pessoas e Pokémon.
Embora o Drampa seja geralmente um Pokémon muito suave, ele pode voar em uma raiva se uma criança que ele se importa é ferida de alguma maneira.</t>
  </si>
  <si>
    <t>Pokémon plácido</t>
  </si>
  <si>
    <t>O DHELMISE é um Pokémon do tipo fantasma/grama introduzido na geração 7. É conhecido como Pokémon do Sea Creeper.</t>
  </si>
  <si>
    <t>Pokémon de trepadeira do mar</t>
  </si>
  <si>
    <t>Jangmo-O é um Pokémon do tipo dragão introduzido na geração 7. É conhecido como Pokémon escamosa.
Jangmo-O tem o orgulho de um guerreiro, embora permaneça humilde sobre suas capacidades. Em sua busca para se tornar mais forte, nunca negligencia seu treinamento.
Como Jangmo-O usa as escalas de cabeça para o ataque e a defesa, ele nunca volta para seus inimigos. Muitos treinadores veem esse comportamento e tomam como prova de que Jangmo-O é um Pokémon valente.</t>
  </si>
  <si>
    <t>Pokémon escamosa</t>
  </si>
  <si>
    <t>Hakamo-O é um Pokémon do tipo dragão/luta introduzido na geração 7. É conhecido como Pokémon escamosa.
Hakamo-O dança antes da batalha para mostrar sua força, agitando suas balanças para fazê-los tocar. Quando essa dança chega ao seu clímax, Hakamo-O Bellows um feroz guerra de guerra para desafiar seu oponente.</t>
  </si>
  <si>
    <t>Kommo-O é um Pokémon do tipo dragão/luta introduzido na geração 7. É conhecido como Pokémon escamosa.
Há uma lenda que diz que Kommo-O é coberto por escalas brilhantes, a fim de afastar uma grande escuridão que cobre o mundo. A razão pela qual esses Pokémon procuram batalha é ganhar o poder necessário para derrotar essa escuridão. Quando detecta alguém se aproximando, Kommo-O toca as escalas na cauda para anunciar sua presença. Não deseja lutar contra Pokémon fraco.</t>
  </si>
  <si>
    <t>Tapu Koko é um Pokémon elétrico/de fada introduzido na geração 7. É conhecido como Pokémon Spirit Land.
Tapu Koko é um Pokémon especial que protege a área onde vive. É chamado de Deidade Guardião da Ilha Melemele, uma das ilhas da região de Alola. Embora seja conhecido como uma divindade guardião, é um Pokémon surpreendentemente inconstante e não será necessariamente em seu auxílio se precisar de ajuda.
Apesar disso, Tapu Koko tem um forte senso de curiosidade. Se se interessar por uma pessoa ou em outros Pokémon, pode vir para brincar ou lutar com ela.</t>
  </si>
  <si>
    <t>Espírito da terra Pokémon</t>
  </si>
  <si>
    <t>Tapu Lele é um Pokémon psíquico/de fada introduzido na geração 7. É conhecido como Pokémon Spirit Land.
Tapu Lele dispersa escalas brilhantes que afetam fisicamente os outros - fornecendo estimulação a seus corpos e curando suas doenças ou lesões. Mas essas escalas também podem ser perigosas, porque um corpo não pode suportar as mudanças causadas pelo contato com muitas escalas ao mesmo tempo. Ele espalhará suas escalas sobre humanos e Pokémon por seu próprio prazer; Embora seja inocente em um sentido, também há crueldade na maneira como ele casualmente traz outros a arruinar.</t>
  </si>
  <si>
    <t>Tapu Bulu é um Pokémon de grama/fada introduzido na geração 7. É conhecido como Pokémon Spirit Land.
Tapu Bulu tem o poder de manipular a vegetação e fazer com que cresça. Ele pode usar esse poder em seus próprios chifres - que são feitos de madeira - mudando sua forma ou aumentando -os. Isso pode ser útil na batalha!
Este Pokémon roubado não é muito ativo. As opiniões das pessoas diferem se é tão dóceis quanto parece, ou se o motivo de não se mover muito pode ser atribuído à simples preguiça.</t>
  </si>
  <si>
    <t>Tapu Fini é um Pokémon do tipo água/fada introduzido na geração 7. É conhecido como Pokémon Spirit Land.
Tapu Fini é capaz de criar uma água especial que purifica a mente e o corpo. Mas exige que os suplicantes que desejem obter a água purificadora demonstrem a força para suportar o nevoeiro do tapu.
Como odeia arriscar danos a si mesmo durante a batalha, a Tapu Fini prefere criar uma névoa grossa que coloca os oponentes em um transe e os leva a se destruir.</t>
  </si>
  <si>
    <t>O Cosmog é um Pokémon do tipo psíquico introduzido na geração 7. É conhecido como Pokémon Nebulosa.
Este Pokémon extremamente raro é conhecido por apenas alguns alguns em Alola. Ao mesmo tempo, era conhecido apenas pelos reis de Alola e seus herdeiros, e era chamado de filho das estrelas.
Cosmog está muito curioso e não mostra medo de pessoas ou Pokémon. Se você o tratar com alguma consideração, será necessário um gosto imediato. Esse traço de personalidade geralmente o leva ao perigo.</t>
  </si>
  <si>
    <t>Pokémon nebulosa</t>
  </si>
  <si>
    <t>Slowpoke é um Pokémon do tipo água/psíquico introduzido na geração 1. É conhecido como Pokémon idiota.</t>
  </si>
  <si>
    <t>Pokémon idiota</t>
  </si>
  <si>
    <t>Cosmoem é um Pokémon do tipo psíquico introduzido na geração 7. É conhecido como Pokémon PROTOSTAR.</t>
  </si>
  <si>
    <t>Solgaleo é um Pokémon psíquico/aço introduzido na geração 7. É conhecido como Pokémon Sunne.
Desde os tempos antigos, Solgaleo é homenageado como um emissário do sol. É referido com reverência como a besta que devora o sol. O corpo de Solgaleo mantém uma grande quantidade de energia e brilha com luz quando está ativa. Tem uma crina fluida com uma notável semelhança com o sol.
Tem um poderoso movimento de assinatura, Sunsteel Strike. Quando libera seu poderoso poder, ele assume uma nova aparência conhecida como fase solar radiante.</t>
  </si>
  <si>
    <t>Lunala é um Pokémon psíquico/fantasma introduzido na geração 7. É conhecido como Moone Pokémon.
Desde os tempos antigos, Lunala foi homenageada como um emissário da lua. É referido com reverência como a besta que chama a lua. Lunala está constantemente absorvendo a luz e convertendo -a em energia. Com suas asas se espalham para absorver a luz circundante e brilhando como uma lua crescente, ela se assemelha a um lindo céu noturno.
Tem um poderoso movimento de assinatura, feixe Moongeist. Quando libera seu poderoso poder, ele assume uma nova aparência conhecida como a fase da lua cheia.</t>
  </si>
  <si>
    <t>Nihilego é um Pokémon do tipo rocha/veneno introduzido na geração 7. É conhecido como Pokémon Parasita.
Nihilego é um Ultra Beast, também conhecido pelo nome de código UB-01 Symbiont.</t>
  </si>
  <si>
    <t>Pokémon parasita</t>
  </si>
  <si>
    <t>O BuzzWole é um Pokémon do tipo bug/luta introduzido na geração 7. É conhecido como Pokémon inchado.
O BuzzWole é uma besta ultra, também conhecida pelo nome da absorção UB-02.</t>
  </si>
  <si>
    <t>Pokémon inchado</t>
  </si>
  <si>
    <t>Pheromosa é um Pokémon do tipo bug/luta introduzido na geração 7. É conhecido como Pokémon Lissome.
Pheromosa é uma besta ultra, também conhecida pelo nome do código UB-02 Beauty.</t>
  </si>
  <si>
    <t>Xurkitree é um Pokémon do tipo elétrico introduzido na geração 7. É conhecido como Pokémon brilhante.
Xurkitree é uma besta ultra, também conhecida pelo nome da iluminação UB-03.</t>
  </si>
  <si>
    <t>A Celesteela é um Pokémon de aço/voador introduzido na geração 7. É conhecido como Pokémon de lançamento.
Celesteela é uma besta ultra, também conhecida pelo nome do código UB-04 Blaster.</t>
  </si>
  <si>
    <t>Lançar Pokémon</t>
  </si>
  <si>
    <t>Kartana é um Pokémon do tipo grama/aço introduzido na geração 7. É conhecido como Pokémon de espada desenhada.
Kartana é uma besta ultra, também conhecida pela lâmina do nome do código UB-04.</t>
  </si>
  <si>
    <t>Pokémon de espada desenhada</t>
  </si>
  <si>
    <t>Guzzlord é um Pokémon escuro/dragão introduzido na geração 7. É conhecido como Pokémon Junkivore.
Guzzlord é um Ultra Beast, também conhecido pelo nome de código UB-05 Glutton.</t>
  </si>
  <si>
    <t>Wartortle é um Pokémon do tipo água introduzido na geração 1. É conhecido como Pokémon Turtle.</t>
  </si>
  <si>
    <t>Pokémon de tartaruga</t>
  </si>
  <si>
    <t>Slowbro é um Pokémon do tipo água/psíquico introduzido na geração 1. É conhecido como Pokémon do caranguejo eremita.
Slowbro tem uma mega evolução, disponível na Omega Ruby &amp; Alpha Sapphire em diante.</t>
  </si>
  <si>
    <t>Pokémon de caranguejo eremita</t>
  </si>
  <si>
    <t>Necrozma é um Pokémon do tipo psíquico introduzido na geração 7. É conhecido como Prism Pokémon.</t>
  </si>
  <si>
    <t>Pokémon Prism</t>
  </si>
  <si>
    <t>Maguearna é um Pokémon de aço/Fairy, introduzido na geração 7. É conhecido como Pokémon artificial.
Makearna é um Pokémon mítico que foi criado por um cientista do gênio incomum há 500 anos. Makearna tem o poder de perceber as emoções, pensamentos e sentimentos de outros Pokémon. Se um Pokémon for ferido, Makearna sentirá a dor e o sofrimento do outro e se esforçarão o máximo possível para salvar esse Pokémon.
O corpo real de Makearna é a construção esférica em seu peito, chamada The Soul-Heart, criada por um cientista que reuniu a energia da vida do Pokémon.
Makearna é obtida em sol/lua, digitalizando um código QR especial.</t>
  </si>
  <si>
    <t>Pokémon artificial</t>
  </si>
  <si>
    <t>Marshadow é um Pokémon de luta/fantasma introduzido na geração 7. É conhecido como Pokémon Gloomdweller.</t>
  </si>
  <si>
    <t>Pokémon Gloomdweller</t>
  </si>
  <si>
    <t>Poipole é um Pokémon do tipo veneno introduzido na geração 7. É conhecido como Pokémon Pin Poison.
Poipole é um Ultra Beast introduzido em Pokémon Ultra Sun &amp; Ultra Moon, também conhecido pelo nome do codinome UB adesivo.
Poipole mostra muitas emoções, e diz -se que é capaz de entender a fala humana se gastar tempo suficiente junto com elas. Suas cabeças grandes estão cheias de veneno e disparam esse veneno das agulhas venenosas em cima delas.</t>
  </si>
  <si>
    <t>Naganadel é um Pokémon do tipo veneno/dragão introduzido na geração 7. É conhecido como Pokémon Pin Poison.
Naganadel é um Ultra Beast introduzido em Pokémon Ultra Sun &amp; Ultra Moon.</t>
  </si>
  <si>
    <t>Stakataka é um Pokémon do tipo rocha/aço introduzido na geração 7. É conhecido como Pokémon Rampart.
Stakataka é um Ultra Beast introduzido em Pokémon Ultra Sun &amp; Ultra Moon, também conhecido pelo nome da Assembléia UB.
Embora Stakataka possa parecer composto de pedras empilhadas em cima, aparentemente cada "pedra" é de fato uma forma de vida separada, e esse UB é composto de uma assembléia dessas formas de vida.
Ao confrontar outro, ou ao se sentir particularmente enfurecido, os olhos em cada uma dessas pedras começam a brilhar em vermelho.</t>
  </si>
  <si>
    <t>Blacephalon é um Pokémon do tipo Fire/Fantasma introduzido na geração 7. É conhecido como Pokémon de fogos de artifício.
Blacephalon é um Ultra Beast introduzido em Pokémon Ultra Sun &amp; Ultra Moon, também conhecido pelo nome de código Ub Burst.
O Blacephalon trata que os alvos de abaixar a guarda, pois se aproxima de sua marcha engraçada. Sua cabeça é composta de coleta de faíscas curiosas e parece ter a capacidade maravilhosa de remover livremente sua própria cabeça e fazê -la explodir.</t>
  </si>
  <si>
    <t>Fogos de artifício Pokémon</t>
  </si>
  <si>
    <t>Zeraora é um Pokémon do tipo elétrico introduzido na geração 7. É conhecido como Pokémon Thunderclap.
Zeraora é Pokémon mítico apresentado em Pokémon Ultra Sun &amp; Ultra Moon.
Este Pokémon cria um poderoso campo magnético, emitindo fortes correntes elétricas das almofadas nas mãos e nos pés. Ao contrário da maioria dos Pokémon do tipo elétrico, Zeraora não possui um órgão dentro de seu corpo que pode produzir eletricidade. No entanto, ele é capaz de reunir e armazenar eletricidade de fontes externas e depois usá -la como sua própria energia elétrica.</t>
  </si>
  <si>
    <t>Meltan é um Pokémon do tipo aço introduzido na geração 7.
É conhecido como Pokémon Hex noz.
A maior parte do corpo de Meltan é feita de metal líquido e sua forma é muito fluida. Ele pode usar seus braços e pernas líquidos para corroer o metal e absorvê -lo em seu próprio corpo.
O Meltan gera eletricidade usando o metal que absorve de fontes externas.
Ele usa essa eletricidade como fonte de energia e também como um ataque que pode ser disparado dos seus olhos.
Nota: Meltan foi oficialmente apresentado ao público em 25/09/2018.
Antes disso, ele apareceu, não identificado, em 22/09/2018, Dia da Comunidade em Pokémon Go.
Meltan é o único Pokémon mítico capaz de evoluir.
Meltan e Melmetal são os únicos Pokémon não introduzidos. Na geração 1, aparecer no Kanto Regional Pokédex.</t>
  </si>
  <si>
    <t>Pokémon hexadecimal</t>
  </si>
  <si>
    <t>Melmetal é um Pokémon do tipo aço introduzido na geração 7. É conhecido como Pokémon Hex porca.
Melmetal evolui de Meltan apenas em Pokémon Go, com 400 doces Meltan. Os doces podem ser obtidos pegando muitos Meltan, viajando como um amigo Pokémon ou transferindo alguns para Pokémon Let's Go.
Melmetal tem um movimento exclusivo, batida dupla de ferro.
Nota: Meltan tem uma habilidade atribuída no código para Pokémon Let's Go, mesmo que as habilidades não estejam disponíveis.</t>
  </si>
  <si>
    <t>O Magnemite é um Pokémon elétrico/aço introduzido na geração 1. É conhecido como Pokémon Magnet.</t>
  </si>
  <si>
    <t>Pokémon ímã</t>
  </si>
  <si>
    <t>O Magneton é um Pokémon elétrico/de aço introduzido na geração 1. É conhecido como Pokémon Magnet.</t>
  </si>
  <si>
    <t>Farfetch'd é um Pokémon Normal/Voador Introduzido na Geração 1. É conhecido como Pokémon de Pato Selvagem.</t>
  </si>
  <si>
    <t>Pokémon de pato selvagem</t>
  </si>
  <si>
    <t>Doduo é um Pokémon normal/voador introduzido na geração 1. É conhecido como Pokémon de pássaro gêmeo.</t>
  </si>
  <si>
    <t>Pokémon de pássaro gêmeo</t>
  </si>
  <si>
    <t>Dodrio é um Pokémon normal/voador introduzido na geração 1. É conhecido como Pokémon Triple Bird.</t>
  </si>
  <si>
    <t>Pokémon de pássaro triplo</t>
  </si>
  <si>
    <t>Seel é um Pokémon do tipo água introduzido na geração 1. É conhecido como Pokémon do leão -marinho.</t>
  </si>
  <si>
    <t>O Dewgong é um Pokémon do tipo água/gelo introduzido na geração 1. É conhecido como Pokémon do Leão Sea.</t>
  </si>
  <si>
    <t>Grimer é um Pokémon do tipo veneno introduzido na geração 1. É conhecido como Pokémon de lodo.
Grimer tem uma nova forma Alolan introduzida em Pokémon Sun/Moon.</t>
  </si>
  <si>
    <t>Pokémon de lodo</t>
  </si>
  <si>
    <t>Muk é um Pokémon do tipo veneno introduzido na geração 1. É conhecido como Pokémon de lodo.
Muk tem uma nova forma Alolan introduzida em Pokémon Sun/Moon.</t>
  </si>
  <si>
    <t>Blastoise é um Pokémon do tipo água introduzido na geração 1. É conhecido como Pokémon de moluscos.
Blastoise tem uma mega evolução, disponível a partir da X&amp;Y.</t>
  </si>
  <si>
    <t>Shellder é um Pokémon do tipo água introduzido na geração 1. É conhecido como Pokémon bivalve.</t>
  </si>
  <si>
    <t>Cloyster é um Pokémon do tipo água/gelo introduzido na geração 1. É conhecido como Pokémon bivalve.</t>
  </si>
  <si>
    <t>Gastly é um Pokémon do tipo fantasma/veneno introduzido na geração 1. É conhecido como Pokémon a gás.</t>
  </si>
  <si>
    <t>Pokémon a gás</t>
  </si>
  <si>
    <t>O Haunter é um Pokémon do tipo fantasma/veneno introduzido na geração 1. É conhecido como Pokémon a gás.</t>
  </si>
  <si>
    <t>Gengar é um Pokémon do tipo fantasma/veneno introduzido na geração 1. É conhecido como Pokémon Shadow.
Gengar tem uma mega evolução, disponível a partir de X&amp;Y.
Antes da geração 7, Gengar tinha a capacidade de levitate.</t>
  </si>
  <si>
    <t>Pokémon de sombra</t>
  </si>
  <si>
    <t>Onix é um Pokémon do tipo rocha/terra introduzido na geração 1. É conhecido como Pokémon Snake Rock.</t>
  </si>
  <si>
    <t>Pokémon de cobra de rocha</t>
  </si>
  <si>
    <t>Drowzee é um Pokémon do tipo psíquico introduzido na geração 1. É conhecido como Pokémon da hipnose.</t>
  </si>
  <si>
    <t>Hipnose Pokémon</t>
  </si>
  <si>
    <t>Hypno é um Pokémon do tipo psíquico introduzido na geração 1. É conhecido como Pokémon da hipnose.</t>
  </si>
  <si>
    <t>Krabby é um Pokémon do tipo água introduzido na geração 1. É conhecido como Pokémon do caranguejo do rio.</t>
  </si>
  <si>
    <t>Pokémon do caranguejo do rio</t>
  </si>
  <si>
    <t>Kingler é um Pokémon do tipo água introduzido na geração 1. É conhecido como Pokémon Pinca.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</si>
</sst>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sz val="11"/>
      <color theme="1"/>
      <name val="Calibri"/>
    </font>
    <font>
      <sz val="11"/>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xf numFmtId="0" fontId="2"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tabSelected="1" topLeftCell="E822" workbookViewId="0">
      <selection activeCell="E836" sqref="E836"/>
    </sheetView>
  </sheetViews>
  <sheetFormatPr defaultColWidth="14.42578125" defaultRowHeight="15" customHeight="1" x14ac:dyDescent="0.25"/>
  <cols>
    <col min="1" max="1" width="18" customWidth="1"/>
    <col min="2" max="2" width="23.140625" customWidth="1"/>
    <col min="3" max="3" width="21.5703125" customWidth="1"/>
    <col min="4" max="4" width="96" customWidth="1"/>
    <col min="5" max="5" width="255.7109375" bestFit="1" customWidth="1"/>
    <col min="6" max="26" width="8.7109375" customWidth="1"/>
  </cols>
  <sheetData>
    <row r="1" spans="1:6" x14ac:dyDescent="0.25">
      <c r="A1" s="1" t="s">
        <v>0</v>
      </c>
      <c r="B1" s="1" t="s">
        <v>1</v>
      </c>
      <c r="C1" s="1" t="s">
        <v>2</v>
      </c>
      <c r="D1" s="1" t="s">
        <v>3</v>
      </c>
    </row>
    <row r="2" spans="1:6" x14ac:dyDescent="0.25">
      <c r="A2" s="2" t="s">
        <v>4</v>
      </c>
      <c r="B2" s="2" t="s">
        <v>5</v>
      </c>
      <c r="C2" s="2" t="s">
        <v>6</v>
      </c>
      <c r="D2" s="2" t="s">
        <v>7</v>
      </c>
      <c r="E2" s="2" t="str">
        <f ca="1">IFERROR(__xludf.DUMMYFUNCTION("GOOGLETRANSLATE(D2,""en"",""pt"")"),"Bulbasaur é um Pokémon do tipo grama/veneno introduzido na geração 1. É conhecido como Pokémon de sementes.")</f>
        <v>Bulbasaur é um Pokémon do tipo grama/veneno introduzido na geração 1. É conhecido como Pokémon de sementes.</v>
      </c>
      <c r="F2" s="2" t="str">
        <f ca="1">IFERROR(__xludf.DUMMYFUNCTION("GOOGLETRANSLATE(B2,""en"",""pt"")"),"Pokémon de semente")</f>
        <v>Pokémon de semente</v>
      </c>
    </row>
    <row r="3" spans="1:6" x14ac:dyDescent="0.25">
      <c r="A3" s="2" t="s">
        <v>8</v>
      </c>
      <c r="B3" s="2" t="s">
        <v>9</v>
      </c>
      <c r="C3" s="2" t="s">
        <v>10</v>
      </c>
      <c r="D3" s="2" t="s">
        <v>11</v>
      </c>
      <c r="E3" s="2" t="str">
        <f ca="1">IFERROR(__xludf.DUMMYFUNCTION("GOOGLETRANSLATE(D3,""en"",""pt"")"),"Caterpie é um Pokémon do tipo bug introduzido na geração 1. É conhecido como Pokémon Worm.")</f>
        <v>Caterpie é um Pokémon do tipo bug introduzido na geração 1. É conhecido como Pokémon Worm.</v>
      </c>
      <c r="F3" s="2" t="str">
        <f ca="1">IFERROR(__xludf.DUMMYFUNCTION("GOOGLETRANSLATE(B3,""en"",""pt"")"),"Pokémon de minhocas")</f>
        <v>Pokémon de minhocas</v>
      </c>
    </row>
    <row r="4" spans="1:6" x14ac:dyDescent="0.25">
      <c r="A4" s="2" t="s">
        <v>12</v>
      </c>
      <c r="B4" s="2" t="s">
        <v>13</v>
      </c>
      <c r="C4" s="2" t="s">
        <v>14</v>
      </c>
      <c r="D4" s="2" t="s">
        <v>15</v>
      </c>
      <c r="E4" s="2" t="str">
        <f ca="1">IFERROR(__xludf.DUMMYFUNCTION("GOOGLETRANSLATE(D4,""en"",""pt"")"),"O Voltorb é um Pokémon do tipo elétrico introduzido na geração 1. É conhecido como Pokémon da bola.")</f>
        <v>O Voltorb é um Pokémon do tipo elétrico introduzido na geração 1. É conhecido como Pokémon da bola.</v>
      </c>
      <c r="F4" s="2" t="str">
        <f ca="1">IFERROR(__xludf.DUMMYFUNCTION("GOOGLETRANSLATE(B4,""en"",""pt"")"),"Pokémon de bola")</f>
        <v>Pokémon de bola</v>
      </c>
    </row>
    <row r="5" spans="1:6" x14ac:dyDescent="0.25">
      <c r="A5" s="2" t="s">
        <v>16</v>
      </c>
      <c r="B5" s="2" t="s">
        <v>13</v>
      </c>
      <c r="C5" s="2" t="s">
        <v>17</v>
      </c>
      <c r="D5" s="2" t="s">
        <v>18</v>
      </c>
      <c r="E5" s="2" t="str">
        <f ca="1">IFERROR(__xludf.DUMMYFUNCTION("GOOGLETRANSLATE(D5,""en"",""pt"")"),"O eletrodo é um Pokémon do tipo elétrico introduzido na geração 1. É conhecido como Pokémon da bola.")</f>
        <v>O eletrodo é um Pokémon do tipo elétrico introduzido na geração 1. É conhecido como Pokémon da bola.</v>
      </c>
      <c r="F5" s="2" t="str">
        <f ca="1">IFERROR(__xludf.DUMMYFUNCTION("GOOGLETRANSLATE(B5,""en"",""pt"")"),"Pokémon de bola")</f>
        <v>Pokémon de bola</v>
      </c>
    </row>
    <row r="6" spans="1:6" x14ac:dyDescent="0.25">
      <c r="A6" s="2" t="s">
        <v>19</v>
      </c>
      <c r="B6" s="2" t="s">
        <v>20</v>
      </c>
      <c r="C6" s="2" t="s">
        <v>21</v>
      </c>
      <c r="D6" s="2" t="s">
        <v>22</v>
      </c>
      <c r="E6" s="2" t="str">
        <f ca="1">IFERROR(__xludf.DUMMYFUNCTION("GOOGLETRANSLATE(D6,""en"",""pt"")"),"Exeggcute é um Pokémon do tipo grama/psíquico introduzido na geração 1. É conhecido como Pokémon do ovo.")</f>
        <v>Exeggcute é um Pokémon do tipo grama/psíquico introduzido na geração 1. É conhecido como Pokémon do ovo.</v>
      </c>
      <c r="F6" s="2" t="str">
        <f ca="1">IFERROR(__xludf.DUMMYFUNCTION("GOOGLETRANSLATE(B6,""en"",""pt"")"),"Pokémon de ovo")</f>
        <v>Pokémon de ovo</v>
      </c>
    </row>
    <row r="7" spans="1:6" x14ac:dyDescent="0.25">
      <c r="A7" s="2" t="s">
        <v>23</v>
      </c>
      <c r="B7" s="2" t="s">
        <v>24</v>
      </c>
      <c r="C7" s="2" t="s">
        <v>25</v>
      </c>
      <c r="D7" s="2" t="s">
        <v>26</v>
      </c>
      <c r="E7" s="2" t="str">
        <f ca="1">IFERROR(__xludf.DUMMYFUNCTION("GOOGLETRANSLATE(D7,""en"",""pt"")"),"O Exeggutor é um Pokémon do tipo grama/psíquico introduzido na geração 1. É conhecido como Pokémon de coco.
O Exeggutor tem uma nova forma Alolan introduzida em Pokémon Sun/Moon.")</f>
        <v>O Exeggutor é um Pokémon do tipo grama/psíquico introduzido na geração 1. É conhecido como Pokémon de coco.
O Exeggutor tem uma nova forma Alolan introduzida em Pokémon Sun/Moon.</v>
      </c>
      <c r="F7" s="2" t="str">
        <f ca="1">IFERROR(__xludf.DUMMYFUNCTION("GOOGLETRANSLATE(B7,""en"",""pt"")"),"Pokémon de coco")</f>
        <v>Pokémon de coco</v>
      </c>
    </row>
    <row r="8" spans="1:6" x14ac:dyDescent="0.25">
      <c r="A8" s="2" t="s">
        <v>23</v>
      </c>
      <c r="B8" s="2" t="s">
        <v>24</v>
      </c>
      <c r="C8" s="2" t="s">
        <v>27</v>
      </c>
      <c r="D8" s="2" t="s">
        <v>26</v>
      </c>
      <c r="E8" s="2" t="str">
        <f ca="1">IFERROR(__xludf.DUMMYFUNCTION("GOOGLETRANSLATE(D8,""en"",""pt"")"),"O Exeggutor é um Pokémon do tipo grama/psíquico introduzido na geração 1. É conhecido como Pokémon de coco.
O Exeggutor tem uma nova forma Alolan introduzida em Pokémon Sun/Moon.")</f>
        <v>O Exeggutor é um Pokémon do tipo grama/psíquico introduzido na geração 1. É conhecido como Pokémon de coco.
O Exeggutor tem uma nova forma Alolan introduzida em Pokémon Sun/Moon.</v>
      </c>
      <c r="F8" s="2" t="str">
        <f ca="1">IFERROR(__xludf.DUMMYFUNCTION("GOOGLETRANSLATE(B8,""en"",""pt"")"),"Pokémon de coco")</f>
        <v>Pokémon de coco</v>
      </c>
    </row>
    <row r="9" spans="1:6" x14ac:dyDescent="0.25">
      <c r="A9" s="2" t="s">
        <v>28</v>
      </c>
      <c r="B9" s="2" t="s">
        <v>29</v>
      </c>
      <c r="C9" s="2" t="s">
        <v>30</v>
      </c>
      <c r="D9" s="2" t="s">
        <v>31</v>
      </c>
      <c r="E9" s="2" t="str">
        <f ca="1">IFERROR(__xludf.DUMMYFUNCTION("GOOGLETRANSLATE(D9,""en"",""pt"")"),"Cubone é um Pokémon do tipo terra introduzido na geração 1. É conhecido como Pokémon solitário.")</f>
        <v>Cubone é um Pokémon do tipo terra introduzido na geração 1. É conhecido como Pokémon solitário.</v>
      </c>
      <c r="F9" s="2" t="str">
        <f ca="1">IFERROR(__xludf.DUMMYFUNCTION("GOOGLETRANSLATE(B9,""en"",""pt"")"),"Pokémon solitário")</f>
        <v>Pokémon solitário</v>
      </c>
    </row>
    <row r="10" spans="1:6" x14ac:dyDescent="0.25">
      <c r="A10" s="2" t="s">
        <v>32</v>
      </c>
      <c r="B10" s="2" t="s">
        <v>33</v>
      </c>
      <c r="C10" s="2" t="s">
        <v>34</v>
      </c>
      <c r="D10" s="2" t="s">
        <v>35</v>
      </c>
      <c r="E10" s="2" t="str">
        <f ca="1">IFERROR(__xludf.DUMMYFUNCTION("GOOGLETRANSLATE(D10,""en"",""pt"")"),"Marowak é um Pokémon do tipo terrestre introduzido na geração 1. É conhecido como Pokémon de guardião dos ossos.
Marowak tem uma nova forma Alolan introduzida em Pokémon Sun/Moon.")</f>
        <v>Marowak é um Pokémon do tipo terrestre introduzido na geração 1. É conhecido como Pokémon de guardião dos ossos.
Marowak tem uma nova forma Alolan introduzida em Pokémon Sun/Moon.</v>
      </c>
      <c r="F10" s="2" t="str">
        <f ca="1">IFERROR(__xludf.DUMMYFUNCTION("GOOGLETRANSLATE(B10,""en"",""pt"")"),"Pokémon Pokémon do osso")</f>
        <v>Pokémon Pokémon do osso</v>
      </c>
    </row>
    <row r="11" spans="1:6" x14ac:dyDescent="0.25">
      <c r="A11" s="2" t="s">
        <v>32</v>
      </c>
      <c r="B11" s="2" t="s">
        <v>33</v>
      </c>
      <c r="C11" s="2" t="s">
        <v>36</v>
      </c>
      <c r="D11" s="2" t="s">
        <v>35</v>
      </c>
      <c r="E11" s="2" t="str">
        <f ca="1">IFERROR(__xludf.DUMMYFUNCTION("GOOGLETRANSLATE(D11,""en"",""pt"")"),"Marowak é um Pokémon do tipo terrestre introduzido na geração 1. É conhecido como Pokémon de guardião dos ossos.
Marowak tem uma nova forma Alolan introduzida em Pokémon Sun/Moon.")</f>
        <v>Marowak é um Pokémon do tipo terrestre introduzido na geração 1. É conhecido como Pokémon de guardião dos ossos.
Marowak tem uma nova forma Alolan introduzida em Pokémon Sun/Moon.</v>
      </c>
      <c r="F11" s="2" t="str">
        <f ca="1">IFERROR(__xludf.DUMMYFUNCTION("GOOGLETRANSLATE(B11,""en"",""pt"")"),"Pokémon Pokémon do osso")</f>
        <v>Pokémon Pokémon do osso</v>
      </c>
    </row>
    <row r="12" spans="1:6" x14ac:dyDescent="0.25">
      <c r="A12" s="2" t="s">
        <v>37</v>
      </c>
      <c r="B12" s="2" t="s">
        <v>38</v>
      </c>
      <c r="C12" s="2" t="s">
        <v>39</v>
      </c>
      <c r="D12" s="2" t="s">
        <v>40</v>
      </c>
      <c r="E12" s="2" t="str">
        <f ca="1">IFERROR(__xludf.DUMMYFUNCTION("GOOGLETRANSLATE(D12,""en"",""pt"")"),"O Hitmonlee é um Pokémon do tipo luta introduzido na geração 1. É conhecido como o Pokémon Kicking.")</f>
        <v>O Hitmonlee é um Pokémon do tipo luta introduzido na geração 1. É conhecido como o Pokémon Kicking.</v>
      </c>
      <c r="F12" s="2" t="str">
        <f ca="1">IFERROR(__xludf.DUMMYFUNCTION("GOOGLETRANSLATE(B12,""en"",""pt"")"),"Chutando Pokémon")</f>
        <v>Chutando Pokémon</v>
      </c>
    </row>
    <row r="13" spans="1:6" x14ac:dyDescent="0.25">
      <c r="A13" s="2" t="s">
        <v>41</v>
      </c>
      <c r="B13" s="2" t="s">
        <v>42</v>
      </c>
      <c r="C13" s="2" t="s">
        <v>43</v>
      </c>
      <c r="D13" s="2" t="s">
        <v>44</v>
      </c>
      <c r="E13" s="2" t="str">
        <f ca="1">IFERROR(__xludf.DUMMYFUNCTION("GOOGLETRANSLATE(D13,""en"",""pt"")"),"Hitmonchan é um Pokémon do tipo de luta introduzido na geração 1. É conhecido como Pokémon de perfuração.")</f>
        <v>Hitmonchan é um Pokémon do tipo de luta introduzido na geração 1. É conhecido como Pokémon de perfuração.</v>
      </c>
      <c r="F13" s="2" t="str">
        <f ca="1">IFERROR(__xludf.DUMMYFUNCTION("GOOGLETRANSLATE(B13,""en"",""pt"")"),"Pokémon de soco")</f>
        <v>Pokémon de soco</v>
      </c>
    </row>
    <row r="14" spans="1:6" x14ac:dyDescent="0.25">
      <c r="A14" s="2" t="s">
        <v>45</v>
      </c>
      <c r="B14" s="2" t="s">
        <v>46</v>
      </c>
      <c r="C14" s="2" t="s">
        <v>47</v>
      </c>
      <c r="D14" s="2" t="s">
        <v>48</v>
      </c>
      <c r="E14" s="2" t="str">
        <f ca="1">IFERROR(__xludf.DUMMYFUNCTION("GOOGLETRANSLATE(D14,""en"",""pt"")"),"Lickitung é um Pokémon do tipo normal introduzido na geração 1. É conhecido como Pokémon Licking.")</f>
        <v>Lickitung é um Pokémon do tipo normal introduzido na geração 1. É conhecido como Pokémon Licking.</v>
      </c>
      <c r="F14" s="2" t="str">
        <f ca="1">IFERROR(__xludf.DUMMYFUNCTION("GOOGLETRANSLATE(B14,""en"",""pt"")"),"Lambendo Pokémon")</f>
        <v>Lambendo Pokémon</v>
      </c>
    </row>
    <row r="15" spans="1:6" x14ac:dyDescent="0.25">
      <c r="A15" s="2" t="s">
        <v>49</v>
      </c>
      <c r="B15" s="2" t="s">
        <v>50</v>
      </c>
      <c r="C15" s="2" t="s">
        <v>51</v>
      </c>
      <c r="D15" s="2" t="s">
        <v>52</v>
      </c>
      <c r="E15" s="2" t="str">
        <f ca="1">IFERROR(__xludf.DUMMYFUNCTION("GOOGLETRANSLATE(D15,""en"",""pt"")"),"Koffing é um Pokémon do tipo veneno introduzido na geração 1. É conhecido como Pokémon de gás venenoso.")</f>
        <v>Koffing é um Pokémon do tipo veneno introduzido na geração 1. É conhecido como Pokémon de gás venenoso.</v>
      </c>
      <c r="F15" s="2" t="str">
        <f ca="1">IFERROR(__xludf.DUMMYFUNCTION("GOOGLETRANSLATE(B15,""en"",""pt"")"),"Pokémon de gás venenoso")</f>
        <v>Pokémon de gás venenoso</v>
      </c>
    </row>
    <row r="16" spans="1:6" x14ac:dyDescent="0.25">
      <c r="A16" s="2" t="s">
        <v>53</v>
      </c>
      <c r="B16" s="2" t="s">
        <v>54</v>
      </c>
      <c r="C16" s="2" t="s">
        <v>55</v>
      </c>
      <c r="D16" s="2" t="s">
        <v>56</v>
      </c>
      <c r="E16" s="2" t="str">
        <f ca="1">IFERROR(__xludf.DUMMYFUNCTION("GOOGLETRANSLATE(D16,""en"",""pt"")"),"O Metapod é um Pokémon do tipo bug introduzido na geração 1. É conhecido como Pokémon Cocoon.")</f>
        <v>O Metapod é um Pokémon do tipo bug introduzido na geração 1. É conhecido como Pokémon Cocoon.</v>
      </c>
      <c r="F16" s="2" t="str">
        <f ca="1">IFERROR(__xludf.DUMMYFUNCTION("GOOGLETRANSLATE(B16,""en"",""pt"")"),"Pokémon Cocoon")</f>
        <v>Pokémon Cocoon</v>
      </c>
    </row>
    <row r="17" spans="1:6" x14ac:dyDescent="0.25">
      <c r="A17" s="2" t="s">
        <v>57</v>
      </c>
      <c r="B17" s="2" t="s">
        <v>50</v>
      </c>
      <c r="C17" s="2" t="s">
        <v>58</v>
      </c>
      <c r="D17" s="2" t="s">
        <v>59</v>
      </c>
      <c r="E17" s="2" t="str">
        <f ca="1">IFERROR(__xludf.DUMMYFUNCTION("GOOGLETRANSLATE(D17,""en"",""pt"")"),"O weezing é um Pokémon do tipo veneno introduzido na geração 1. É conhecido como Pokémon de gás venenoso.")</f>
        <v>O weezing é um Pokémon do tipo veneno introduzido na geração 1. É conhecido como Pokémon de gás venenoso.</v>
      </c>
      <c r="F17" s="2" t="str">
        <f ca="1">IFERROR(__xludf.DUMMYFUNCTION("GOOGLETRANSLATE(B17,""en"",""pt"")"),"Pokémon de gás venenoso")</f>
        <v>Pokémon de gás venenoso</v>
      </c>
    </row>
    <row r="18" spans="1:6" x14ac:dyDescent="0.25">
      <c r="A18" s="2" t="s">
        <v>60</v>
      </c>
      <c r="B18" s="2" t="s">
        <v>61</v>
      </c>
      <c r="C18" s="2" t="s">
        <v>62</v>
      </c>
      <c r="D18" s="2" t="s">
        <v>63</v>
      </c>
      <c r="E18" s="2" t="str">
        <f ca="1">IFERROR(__xludf.DUMMYFUNCTION("GOOGLETRANSLATE(D18,""en"",""pt"")"),"Rhyhorn é um Pokémon de terra/rocha introduzido na geração 1. É conhecido como Pokémon Spikes.")</f>
        <v>Rhyhorn é um Pokémon de terra/rocha introduzido na geração 1. É conhecido como Pokémon Spikes.</v>
      </c>
      <c r="F18" s="2" t="str">
        <f ca="1">IFERROR(__xludf.DUMMYFUNCTION("GOOGLETRANSLATE(B18,""en"",""pt"")"),"Spikes Pokémon")</f>
        <v>Spikes Pokémon</v>
      </c>
    </row>
    <row r="19" spans="1:6" x14ac:dyDescent="0.25">
      <c r="A19" s="2" t="s">
        <v>64</v>
      </c>
      <c r="B19" s="2" t="s">
        <v>65</v>
      </c>
      <c r="C19" s="2" t="s">
        <v>66</v>
      </c>
      <c r="D19" s="2" t="s">
        <v>67</v>
      </c>
      <c r="E19" s="2" t="str">
        <f ca="1">IFERROR(__xludf.DUMMYFUNCTION("GOOGLETRANSLATE(D19,""en"",""pt"")"),"Rhydon é um Pokémon de terra/rocha introduzido na geração 1. É conhecido como Pokémon Drill.")</f>
        <v>Rhydon é um Pokémon de terra/rocha introduzido na geração 1. É conhecido como Pokémon Drill.</v>
      </c>
      <c r="F19" s="2" t="str">
        <f ca="1">IFERROR(__xludf.DUMMYFUNCTION("GOOGLETRANSLATE(B19,""en"",""pt"")"),"Drill Pokémon")</f>
        <v>Drill Pokémon</v>
      </c>
    </row>
    <row r="20" spans="1:6" x14ac:dyDescent="0.25">
      <c r="A20" s="2" t="s">
        <v>68</v>
      </c>
      <c r="B20" s="2" t="s">
        <v>20</v>
      </c>
      <c r="C20" s="2" t="s">
        <v>69</v>
      </c>
      <c r="D20" s="2" t="s">
        <v>70</v>
      </c>
      <c r="E20" s="2" t="str">
        <f ca="1">IFERROR(__xludf.DUMMYFUNCTION("GOOGLETRANSLATE(D20,""en"",""pt"")"),"Chansey é um Pokémon do tipo normal introduzido na geração 1. É conhecido como Pokémon do ovo.")</f>
        <v>Chansey é um Pokémon do tipo normal introduzido na geração 1. É conhecido como Pokémon do ovo.</v>
      </c>
      <c r="F20" s="2" t="str">
        <f ca="1">IFERROR(__xludf.DUMMYFUNCTION("GOOGLETRANSLATE(B20,""en"",""pt"")"),"Pokémon de ovo")</f>
        <v>Pokémon de ovo</v>
      </c>
    </row>
    <row r="21" spans="1:6" ht="15.75" customHeight="1" x14ac:dyDescent="0.25">
      <c r="A21" s="2" t="s">
        <v>71</v>
      </c>
      <c r="B21" s="2" t="s">
        <v>72</v>
      </c>
      <c r="C21" s="2" t="s">
        <v>73</v>
      </c>
      <c r="D21" s="2" t="s">
        <v>74</v>
      </c>
      <c r="E21" s="2" t="str">
        <f ca="1">IFERROR(__xludf.DUMMYFUNCTION("GOOGLETRANSLATE(D21,""en"",""pt"")"),"Tangela é um Pokémon do tipo grama introduzido na geração 1. É conhecido como Pokémon Vine.")</f>
        <v>Tangela é um Pokémon do tipo grama introduzido na geração 1. É conhecido como Pokémon Vine.</v>
      </c>
      <c r="F21" s="2" t="str">
        <f ca="1">IFERROR(__xludf.DUMMYFUNCTION("GOOGLETRANSLATE(B21,""en"",""pt"")"),"Vine Pokémon")</f>
        <v>Vine Pokémon</v>
      </c>
    </row>
    <row r="22" spans="1:6" ht="15.75" customHeight="1" x14ac:dyDescent="0.25">
      <c r="A22" s="2" t="s">
        <v>75</v>
      </c>
      <c r="B22" s="2" t="s">
        <v>76</v>
      </c>
      <c r="C22" s="2" t="s">
        <v>77</v>
      </c>
      <c r="D22" s="2" t="s">
        <v>78</v>
      </c>
      <c r="E22" s="2" t="str">
        <f ca="1">IFERROR(__xludf.DUMMYFUNCTION("GOOGLETRANSLATE(D22,""en"",""pt"")"),"Kangaskhan é um Pokémon do tipo normal introduzido na geração 1. É conhecido como Pokémon pai.
Kangaskhan tem uma mega evolução, disponível a partir de X&amp;Y.")</f>
        <v>Kangaskhan é um Pokémon do tipo normal introduzido na geração 1. É conhecido como Pokémon pai.
Kangaskhan tem uma mega evolução, disponível a partir de X&amp;Y.</v>
      </c>
      <c r="F22" s="2" t="str">
        <f ca="1">IFERROR(__xludf.DUMMYFUNCTION("GOOGLETRANSLATE(B22,""en"",""pt"")"),"Pokémon dos pais")</f>
        <v>Pokémon dos pais</v>
      </c>
    </row>
    <row r="23" spans="1:6" ht="15.75" customHeight="1" x14ac:dyDescent="0.25">
      <c r="A23" s="2" t="s">
        <v>75</v>
      </c>
      <c r="B23" s="2" t="s">
        <v>76</v>
      </c>
      <c r="C23" s="2" t="s">
        <v>79</v>
      </c>
      <c r="D23" s="2" t="s">
        <v>78</v>
      </c>
      <c r="E23" s="2" t="str">
        <f ca="1">IFERROR(__xludf.DUMMYFUNCTION("GOOGLETRANSLATE(D23,""en"",""pt"")"),"Kangaskhan é um Pokémon do tipo normal introduzido na geração 1. É conhecido como Pokémon pai.
Kangaskhan tem uma mega evolução, disponível a partir de X&amp;Y.")</f>
        <v>Kangaskhan é um Pokémon do tipo normal introduzido na geração 1. É conhecido como Pokémon pai.
Kangaskhan tem uma mega evolução, disponível a partir de X&amp;Y.</v>
      </c>
      <c r="F23" s="2" t="str">
        <f ca="1">IFERROR(__xludf.DUMMYFUNCTION("GOOGLETRANSLATE(B23,""en"",""pt"")"),"Pokémon dos pais")</f>
        <v>Pokémon dos pais</v>
      </c>
    </row>
    <row r="24" spans="1:6" ht="15.75" customHeight="1" x14ac:dyDescent="0.25">
      <c r="A24" s="2" t="s">
        <v>80</v>
      </c>
      <c r="B24" s="2" t="s">
        <v>81</v>
      </c>
      <c r="C24" s="2" t="s">
        <v>82</v>
      </c>
      <c r="D24" s="2" t="s">
        <v>83</v>
      </c>
      <c r="E24" s="2" t="str">
        <f ca="1">IFERROR(__xludf.DUMMYFUNCTION("GOOGLETRANSLATE(D24,""en"",""pt"")"),"Horsea é um Pokémon do tipo água introduzido na geração 1. É conhecido como Pokémon Dragon.")</f>
        <v>Horsea é um Pokémon do tipo água introduzido na geração 1. É conhecido como Pokémon Dragon.</v>
      </c>
      <c r="F24" s="2" t="str">
        <f ca="1">IFERROR(__xludf.DUMMYFUNCTION("GOOGLETRANSLATE(B24,""en"",""pt"")"),"Dragão Pokémon")</f>
        <v>Dragão Pokémon</v>
      </c>
    </row>
    <row r="25" spans="1:6" ht="15.75" customHeight="1" x14ac:dyDescent="0.25">
      <c r="A25" s="2" t="s">
        <v>84</v>
      </c>
      <c r="B25" s="2" t="s">
        <v>81</v>
      </c>
      <c r="C25" s="2" t="s">
        <v>85</v>
      </c>
      <c r="D25" s="2" t="s">
        <v>86</v>
      </c>
      <c r="E25" s="2" t="str">
        <f ca="1">IFERROR(__xludf.DUMMYFUNCTION("GOOGLETRANSLATE(D25,""en"",""pt"")"),"Seadra é um Pokémon do tipo água introduzido na geração 1. É conhecido como Pokémon Dragon.")</f>
        <v>Seadra é um Pokémon do tipo água introduzido na geração 1. É conhecido como Pokémon Dragon.</v>
      </c>
      <c r="F25" s="2" t="str">
        <f ca="1">IFERROR(__xludf.DUMMYFUNCTION("GOOGLETRANSLATE(B25,""en"",""pt"")"),"Dragão Pokémon")</f>
        <v>Dragão Pokémon</v>
      </c>
    </row>
    <row r="26" spans="1:6" ht="15.75" customHeight="1" x14ac:dyDescent="0.25">
      <c r="A26" s="2" t="s">
        <v>87</v>
      </c>
      <c r="B26" s="2" t="s">
        <v>88</v>
      </c>
      <c r="C26" s="2" t="s">
        <v>89</v>
      </c>
      <c r="D26" s="2" t="s">
        <v>90</v>
      </c>
      <c r="E26" s="2" t="str">
        <f ca="1">IFERROR(__xludf.DUMMYFUNCTION("GOOGLETRANSLATE(D26,""en"",""pt"")"),"Goldeen é um Pokémon do tipo água introduzido na geração 1. É conhecido como Pokémon Goldfish.")</f>
        <v>Goldeen é um Pokémon do tipo água introduzido na geração 1. É conhecido como Pokémon Goldfish.</v>
      </c>
      <c r="F26" s="2" t="str">
        <f ca="1">IFERROR(__xludf.DUMMYFUNCTION("GOOGLETRANSLATE(B26,""en"",""pt"")"),"Pokémon de peixe dourado")</f>
        <v>Pokémon de peixe dourado</v>
      </c>
    </row>
    <row r="27" spans="1:6" ht="15.75" customHeight="1" x14ac:dyDescent="0.25">
      <c r="A27" s="2" t="s">
        <v>91</v>
      </c>
      <c r="B27" s="2" t="s">
        <v>88</v>
      </c>
      <c r="C27" s="2" t="s">
        <v>92</v>
      </c>
      <c r="D27" s="2" t="s">
        <v>93</v>
      </c>
      <c r="E27" s="2" t="str">
        <f ca="1">IFERROR(__xludf.DUMMYFUNCTION("GOOGLETRANSLATE(D27,""en"",""pt"")"),"O Seak é um Pokémon do tipo água introduzido na geração 1. É conhecido como Pokémon Goldfish.")</f>
        <v>O Seak é um Pokémon do tipo água introduzido na geração 1. É conhecido como Pokémon Goldfish.</v>
      </c>
      <c r="F27" s="2" t="str">
        <f ca="1">IFERROR(__xludf.DUMMYFUNCTION("GOOGLETRANSLATE(B27,""en"",""pt"")"),"Pokémon de peixe dourado")</f>
        <v>Pokémon de peixe dourado</v>
      </c>
    </row>
    <row r="28" spans="1:6" ht="15.75" customHeight="1" x14ac:dyDescent="0.25">
      <c r="A28" s="2" t="s">
        <v>94</v>
      </c>
      <c r="B28" s="2" t="s">
        <v>95</v>
      </c>
      <c r="C28" s="2" t="s">
        <v>96</v>
      </c>
      <c r="D28" s="2" t="s">
        <v>97</v>
      </c>
      <c r="E28" s="2" t="str">
        <f ca="1">IFERROR(__xludf.DUMMYFUNCTION("GOOGLETRANSLATE(D28,""en"",""pt"")"),"Butterfree é um Pokémon do tipo bug/voador introduzido na geração 1. É conhecido como Pokémon Butterfly.")</f>
        <v>Butterfree é um Pokémon do tipo bug/voador introduzido na geração 1. É conhecido como Pokémon Butterfly.</v>
      </c>
      <c r="F28" s="2" t="str">
        <f ca="1">IFERROR(__xludf.DUMMYFUNCTION("GOOGLETRANSLATE(B28,""en"",""pt"")"),"Pokémon borboleta")</f>
        <v>Pokémon borboleta</v>
      </c>
    </row>
    <row r="29" spans="1:6" ht="15.75" customHeight="1" x14ac:dyDescent="0.25">
      <c r="A29" s="2" t="s">
        <v>98</v>
      </c>
      <c r="B29" s="2" t="s">
        <v>99</v>
      </c>
      <c r="C29" s="2" t="s">
        <v>100</v>
      </c>
      <c r="D29" s="2" t="s">
        <v>101</v>
      </c>
      <c r="E29" s="2" t="str">
        <f ca="1">IFERROR(__xludf.DUMMYFUNCTION("GOOGLETRANSLATE(D29,""en"",""pt"")"),"Staryu é um Pokémon do tipo água introduzido na geração 1. É conhecido como Pokémon da forma de estrela.")</f>
        <v>Staryu é um Pokémon do tipo água introduzido na geração 1. É conhecido como Pokémon da forma de estrela.</v>
      </c>
      <c r="F29" s="2" t="str">
        <f ca="1">IFERROR(__xludf.DUMMYFUNCTION("GOOGLETRANSLATE(B29,""en"",""pt"")"),"Pokémon em forma de estrela")</f>
        <v>Pokémon em forma de estrela</v>
      </c>
    </row>
    <row r="30" spans="1:6" ht="15.75" customHeight="1" x14ac:dyDescent="0.25">
      <c r="A30" s="2" t="s">
        <v>102</v>
      </c>
      <c r="B30" s="2" t="s">
        <v>103</v>
      </c>
      <c r="C30" s="2" t="s">
        <v>104</v>
      </c>
      <c r="D30" s="2" t="s">
        <v>105</v>
      </c>
      <c r="E30" s="2" t="str">
        <f ca="1">IFERROR(__xludf.DUMMYFUNCTION("GOOGLETRANSLATE(D30,""en"",""pt"")"),"Starmie é um Pokémon do tipo água/psíquica introduzido na geração 1. É conhecido como o misterioso Pokémon.")</f>
        <v>Starmie é um Pokémon do tipo água/psíquica introduzido na geração 1. É conhecido como o misterioso Pokémon.</v>
      </c>
      <c r="F30" s="2" t="str">
        <f ca="1">IFERROR(__xludf.DUMMYFUNCTION("GOOGLETRANSLATE(B30,""en"",""pt"")"),"Pokémon misterioso")</f>
        <v>Pokémon misterioso</v>
      </c>
    </row>
    <row r="31" spans="1:6" ht="15.75" customHeight="1" x14ac:dyDescent="0.25">
      <c r="A31" s="2" t="s">
        <v>106</v>
      </c>
      <c r="B31" s="2" t="s">
        <v>107</v>
      </c>
      <c r="C31" s="2" t="s">
        <v>108</v>
      </c>
      <c r="D31" s="2" t="s">
        <v>109</v>
      </c>
      <c r="E31" s="2" t="str">
        <f ca="1">IFERROR(__xludf.DUMMYFUNCTION("GOOGLETRANSLATE(D31,""en"",""pt"")"),"O Sr. Mime é um Pokémon psíquico/de fada introduzido na geração 1. É conhecido como Pokémon Barreira.")</f>
        <v>O Sr. Mime é um Pokémon psíquico/de fada introduzido na geração 1. É conhecido como Pokémon Barreira.</v>
      </c>
      <c r="F31" s="2" t="str">
        <f ca="1">IFERROR(__xludf.DUMMYFUNCTION("GOOGLETRANSLATE(B31,""en"",""pt"")"),"Pokémon de barreira")</f>
        <v>Pokémon de barreira</v>
      </c>
    </row>
    <row r="32" spans="1:6" ht="15.75" customHeight="1" x14ac:dyDescent="0.25">
      <c r="A32" s="2" t="s">
        <v>110</v>
      </c>
      <c r="B32" s="2" t="s">
        <v>111</v>
      </c>
      <c r="C32" s="2" t="s">
        <v>112</v>
      </c>
      <c r="D32" s="2" t="s">
        <v>113</v>
      </c>
      <c r="E32" s="2" t="str">
        <f ca="1">IFERROR(__xludf.DUMMYFUNCTION("GOOGLETRANSLATE(D32,""en"",""pt"")"),"O Scyther é um Pokémon do tipo bug/voador introduzido na geração 1. É conhecido como Mantis Pokémon.")</f>
        <v>O Scyther é um Pokémon do tipo bug/voador introduzido na geração 1. É conhecido como Mantis Pokémon.</v>
      </c>
      <c r="F32" s="2" t="str">
        <f ca="1">IFERROR(__xludf.DUMMYFUNCTION("GOOGLETRANSLATE(B32,""en"",""pt"")"),"Mantis Pokémon")</f>
        <v>Mantis Pokémon</v>
      </c>
    </row>
    <row r="33" spans="1:6" ht="15.75" customHeight="1" x14ac:dyDescent="0.25">
      <c r="A33" s="2" t="s">
        <v>114</v>
      </c>
      <c r="B33" s="2" t="s">
        <v>115</v>
      </c>
      <c r="C33" s="2" t="s">
        <v>116</v>
      </c>
      <c r="D33" s="2" t="s">
        <v>117</v>
      </c>
      <c r="E33" s="2" t="str">
        <f ca="1">IFERROR(__xludf.DUMMYFUNCTION("GOOGLETRANSLATE(D33,""en"",""pt"")"),"Jynx é um Pokémon do tipo gelo/psíquico introduzido na geração 1. É conhecido como Pokémon da forma humana.")</f>
        <v>Jynx é um Pokémon do tipo gelo/psíquico introduzido na geração 1. É conhecido como Pokémon da forma humana.</v>
      </c>
      <c r="F33" s="2" t="str">
        <f ca="1">IFERROR(__xludf.DUMMYFUNCTION("GOOGLETRANSLATE(B33,""en"",""pt"")"),"Pokémon de forma humana")</f>
        <v>Pokémon de forma humana</v>
      </c>
    </row>
    <row r="34" spans="1:6" ht="15.75" customHeight="1" x14ac:dyDescent="0.25">
      <c r="A34" s="2" t="s">
        <v>118</v>
      </c>
      <c r="B34" s="2" t="s">
        <v>119</v>
      </c>
      <c r="C34" s="2" t="s">
        <v>120</v>
      </c>
      <c r="D34" s="2" t="s">
        <v>121</v>
      </c>
      <c r="E34" s="2" t="str">
        <f ca="1">IFERROR(__xludf.DUMMYFUNCTION("GOOGLETRANSLATE(D34,""en"",""pt"")"),"Electabuzz é um Pokémon do tipo elétrico introduzido na geração 1. É conhecido como Pokémon elétrico.")</f>
        <v>Electabuzz é um Pokémon do tipo elétrico introduzido na geração 1. É conhecido como Pokémon elétrico.</v>
      </c>
      <c r="F34" s="2" t="str">
        <f ca="1">IFERROR(__xludf.DUMMYFUNCTION("GOOGLETRANSLATE(B34,""en"",""pt"")"),"Pokémon elétrico")</f>
        <v>Pokémon elétrico</v>
      </c>
    </row>
    <row r="35" spans="1:6" ht="15.75" customHeight="1" x14ac:dyDescent="0.25">
      <c r="A35" s="2" t="s">
        <v>122</v>
      </c>
      <c r="B35" s="2" t="s">
        <v>123</v>
      </c>
      <c r="C35" s="2" t="s">
        <v>124</v>
      </c>
      <c r="D35" s="2" t="s">
        <v>125</v>
      </c>
      <c r="E35" s="2" t="str">
        <f ca="1">IFERROR(__xludf.DUMMYFUNCTION("GOOGLETRANSLATE(D35,""en"",""pt"")"),"Magmar é um Pokémon do tipo incêndio introduzido na geração 1. É conhecido como Pokémon Spitfire.")</f>
        <v>Magmar é um Pokémon do tipo incêndio introduzido na geração 1. É conhecido como Pokémon Spitfire.</v>
      </c>
      <c r="F35" s="2" t="str">
        <f ca="1">IFERROR(__xludf.DUMMYFUNCTION("GOOGLETRANSLATE(B35,""en"",""pt"")"),"Spitfire Pokémon")</f>
        <v>Spitfire Pokémon</v>
      </c>
    </row>
    <row r="36" spans="1:6" ht="15.75" customHeight="1" x14ac:dyDescent="0.25">
      <c r="A36" s="2" t="s">
        <v>126</v>
      </c>
      <c r="B36" s="2" t="s">
        <v>127</v>
      </c>
      <c r="C36" s="2" t="s">
        <v>128</v>
      </c>
      <c r="D36" s="2" t="s">
        <v>129</v>
      </c>
      <c r="E36" s="2" t="str">
        <f ca="1">IFERROR(__xludf.DUMMYFUNCTION("GOOGLETRANSLATE(D36,""en"",""pt"")"),"Pinsir é um Pokémon do tipo inseto introduzido na geração 1. É conhecido como Pokémon de Beetle Stag.
Pinsir tem uma mega evolução, disponível a partir de X &amp; Y.")</f>
        <v>Pinsir é um Pokémon do tipo inseto introduzido na geração 1. É conhecido como Pokémon de Beetle Stag.
Pinsir tem uma mega evolução, disponível a partir de X &amp; Y.</v>
      </c>
      <c r="F36" s="2" t="str">
        <f ca="1">IFERROR(__xludf.DUMMYFUNCTION("GOOGLETRANSLATE(B36,""en"",""pt"")"),"Pokémon de stag besouro")</f>
        <v>Pokémon de stag besouro</v>
      </c>
    </row>
    <row r="37" spans="1:6" ht="15.75" customHeight="1" x14ac:dyDescent="0.25">
      <c r="A37" s="2" t="s">
        <v>126</v>
      </c>
      <c r="B37" s="2" t="s">
        <v>127</v>
      </c>
      <c r="C37" s="2" t="s">
        <v>130</v>
      </c>
      <c r="D37" s="2" t="s">
        <v>129</v>
      </c>
      <c r="E37" s="2" t="str">
        <f ca="1">IFERROR(__xludf.DUMMYFUNCTION("GOOGLETRANSLATE(D37,""en"",""pt"")"),"Pinsir é um Pokémon do tipo inseto introduzido na geração 1. É conhecido como Pokémon de Beetle Stag.
Pinsir tem uma mega evolução, disponível a partir de X &amp; Y.")</f>
        <v>Pinsir é um Pokémon do tipo inseto introduzido na geração 1. É conhecido como Pokémon de Beetle Stag.
Pinsir tem uma mega evolução, disponível a partir de X &amp; Y.</v>
      </c>
      <c r="F37" s="2" t="str">
        <f ca="1">IFERROR(__xludf.DUMMYFUNCTION("GOOGLETRANSLATE(B37,""en"",""pt"")"),"Pokémon de stag besouro")</f>
        <v>Pokémon de stag besouro</v>
      </c>
    </row>
    <row r="38" spans="1:6" ht="15.75" customHeight="1" x14ac:dyDescent="0.25">
      <c r="A38" s="2" t="s">
        <v>131</v>
      </c>
      <c r="B38" s="2" t="s">
        <v>132</v>
      </c>
      <c r="C38" s="2" t="s">
        <v>133</v>
      </c>
      <c r="D38" s="2" t="s">
        <v>134</v>
      </c>
      <c r="E38" s="2" t="str">
        <f ca="1">IFERROR(__xludf.DUMMYFUNCTION("GOOGLETRANSLATE(D38,""en"",""pt"")"),"Tauros é um Pokémon do tipo normal introduzido na geração 1. É conhecido como Pokémon Bull Wild.")</f>
        <v>Tauros é um Pokémon do tipo normal introduzido na geração 1. É conhecido como Pokémon Bull Wild.</v>
      </c>
      <c r="F38" s="2" t="str">
        <f ca="1">IFERROR(__xludf.DUMMYFUNCTION("GOOGLETRANSLATE(B38,""en"",""pt"")"),"Pokémon de touro selvagem")</f>
        <v>Pokémon de touro selvagem</v>
      </c>
    </row>
    <row r="39" spans="1:6" ht="15.75" customHeight="1" x14ac:dyDescent="0.25">
      <c r="A39" s="2" t="s">
        <v>135</v>
      </c>
      <c r="B39" s="2" t="s">
        <v>136</v>
      </c>
      <c r="C39" s="2" t="s">
        <v>137</v>
      </c>
      <c r="D39" s="2" t="s">
        <v>138</v>
      </c>
      <c r="E39" s="2" t="str">
        <f ca="1">IFERROR(__xludf.DUMMYFUNCTION("GOOGLETRANSLATE(D39,""en"",""pt"")"),"Magikarp é um Pokémon do tipo água introduzido na geração 1. É conhecido como Pokémon de peixe.")</f>
        <v>Magikarp é um Pokémon do tipo água introduzido na geração 1. É conhecido como Pokémon de peixe.</v>
      </c>
      <c r="F39" s="2" t="str">
        <f ca="1">IFERROR(__xludf.DUMMYFUNCTION("GOOGLETRANSLATE(B39,""en"",""pt"")"),"Pokémon de peixe")</f>
        <v>Pokémon de peixe</v>
      </c>
    </row>
    <row r="40" spans="1:6" ht="15.75" customHeight="1" x14ac:dyDescent="0.25">
      <c r="A40" s="2" t="s">
        <v>139</v>
      </c>
      <c r="B40" s="2" t="s">
        <v>140</v>
      </c>
      <c r="C40" s="2" t="s">
        <v>141</v>
      </c>
      <c r="D40" s="2" t="s">
        <v>142</v>
      </c>
      <c r="E40" s="2" t="str">
        <f ca="1">IFERROR(__xludf.DUMMYFUNCTION("GOOGLETRANSLATE(D40,""en"",""pt"")"),"O Weedle é um Pokémon do tipo bug/veneno introduzido na geração 1. É conhecido como Pokémon Bug Bug Hairy.")</f>
        <v>O Weedle é um Pokémon do tipo bug/veneno introduzido na geração 1. É conhecido como Pokémon Bug Bug Hairy.</v>
      </c>
      <c r="F40" s="2" t="str">
        <f ca="1">IFERROR(__xludf.DUMMYFUNCTION("GOOGLETRANSLATE(B40,""en"",""pt"")"),"Pokémon de insetos peludos")</f>
        <v>Pokémon de insetos peludos</v>
      </c>
    </row>
    <row r="41" spans="1:6" ht="15.75" customHeight="1" x14ac:dyDescent="0.25">
      <c r="A41" s="2" t="s">
        <v>143</v>
      </c>
      <c r="B41" s="2" t="s">
        <v>144</v>
      </c>
      <c r="C41" s="2" t="s">
        <v>145</v>
      </c>
      <c r="D41" s="2" t="s">
        <v>146</v>
      </c>
      <c r="E41" s="2" t="str">
        <f ca="1">IFERROR(__xludf.DUMMYFUNCTION("GOOGLETRANSLATE(D41,""en"",""pt"")"),"Gyarados é um Pokémon do tipo água/voador introduzido na geração 1. É conhecido como Pokémon atroz.
Gyarados tem uma mega evolução, disponível a partir de X&amp;Y.")</f>
        <v>Gyarados é um Pokémon do tipo água/voador introduzido na geração 1. É conhecido como Pokémon atroz.
Gyarados tem uma mega evolução, disponível a partir de X&amp;Y.</v>
      </c>
      <c r="F41" s="2" t="str">
        <f ca="1">IFERROR(__xludf.DUMMYFUNCTION("GOOGLETRANSLATE(B41,""en"",""pt"")"),"Pokémon atroz")</f>
        <v>Pokémon atroz</v>
      </c>
    </row>
    <row r="42" spans="1:6" ht="15.75" customHeight="1" x14ac:dyDescent="0.25">
      <c r="A42" s="2" t="s">
        <v>143</v>
      </c>
      <c r="B42" s="2" t="s">
        <v>144</v>
      </c>
      <c r="C42" s="2" t="s">
        <v>147</v>
      </c>
      <c r="D42" s="2" t="s">
        <v>146</v>
      </c>
      <c r="E42" s="2" t="str">
        <f ca="1">IFERROR(__xludf.DUMMYFUNCTION("GOOGLETRANSLATE(D42,""en"",""pt"")"),"Gyarados é um Pokémon do tipo água/voador introduzido na geração 1. É conhecido como Pokémon atroz.
Gyarados tem uma mega evolução, disponível a partir de X&amp;Y.")</f>
        <v>Gyarados é um Pokémon do tipo água/voador introduzido na geração 1. É conhecido como Pokémon atroz.
Gyarados tem uma mega evolução, disponível a partir de X&amp;Y.</v>
      </c>
      <c r="F42" s="2" t="str">
        <f ca="1">IFERROR(__xludf.DUMMYFUNCTION("GOOGLETRANSLATE(B42,""en"",""pt"")"),"Pokémon atroz")</f>
        <v>Pokémon atroz</v>
      </c>
    </row>
    <row r="43" spans="1:6" ht="15.75" customHeight="1" x14ac:dyDescent="0.25">
      <c r="A43" s="2" t="s">
        <v>148</v>
      </c>
      <c r="B43" s="2" t="s">
        <v>149</v>
      </c>
      <c r="C43" s="2" t="s">
        <v>150</v>
      </c>
      <c r="D43" s="2" t="s">
        <v>151</v>
      </c>
      <c r="E43" s="2" t="str">
        <f ca="1">IFERROR(__xludf.DUMMYFUNCTION("GOOGLETRANSLATE(D43,""en"",""pt"")"),"Lapras é um Pokémon do tipo água/gelo introduzido na geração 1. É conhecido como Pokémon de transporte.")</f>
        <v>Lapras é um Pokémon do tipo água/gelo introduzido na geração 1. É conhecido como Pokémon de transporte.</v>
      </c>
      <c r="F43" s="2" t="str">
        <f ca="1">IFERROR(__xludf.DUMMYFUNCTION("GOOGLETRANSLATE(B43,""en"",""pt"")"),"Pokémon de transporte")</f>
        <v>Pokémon de transporte</v>
      </c>
    </row>
    <row r="44" spans="1:6" ht="15.75" customHeight="1" x14ac:dyDescent="0.25">
      <c r="A44" s="2" t="s">
        <v>152</v>
      </c>
      <c r="B44" s="2" t="s">
        <v>153</v>
      </c>
      <c r="C44" s="2" t="s">
        <v>154</v>
      </c>
      <c r="D44" s="2" t="s">
        <v>155</v>
      </c>
      <c r="E44" s="2" t="str">
        <f ca="1">IFERROR(__xludf.DUMMYFUNCTION("GOOGLETRANSLATE(D44,""en"",""pt"")"),"O idem é um Pokémon do tipo normal introduzido na geração 1. É conhecido como Pokémon de transformação.")</f>
        <v>O idem é um Pokémon do tipo normal introduzido na geração 1. É conhecido como Pokémon de transformação.</v>
      </c>
      <c r="F44" s="2" t="str">
        <f ca="1">IFERROR(__xludf.DUMMYFUNCTION("GOOGLETRANSLATE(B44,""en"",""pt"")"),"Transforme Pokémon")</f>
        <v>Transforme Pokémon</v>
      </c>
    </row>
    <row r="45" spans="1:6" ht="15.75" customHeight="1" x14ac:dyDescent="0.25">
      <c r="A45" s="2" t="s">
        <v>156</v>
      </c>
      <c r="B45" s="2" t="s">
        <v>157</v>
      </c>
      <c r="C45" s="2" t="s">
        <v>158</v>
      </c>
      <c r="D45" s="2" t="s">
        <v>159</v>
      </c>
      <c r="E45" s="2" t="str">
        <f ca="1">IFERROR(__xludf.DUMMYFUNCTION("GOOGLETRANSLATE(D45,""en"",""pt"")"),"Eevee é um Pokémon do tipo normal introduzido na geração 1. É conhecido como Pokémon da evolução.")</f>
        <v>Eevee é um Pokémon do tipo normal introduzido na geração 1. É conhecido como Pokémon da evolução.</v>
      </c>
      <c r="F45" s="2" t="str">
        <f ca="1">IFERROR(__xludf.DUMMYFUNCTION("GOOGLETRANSLATE(B45,""en"",""pt"")"),"Pokémon da evolução")</f>
        <v>Pokémon da evolução</v>
      </c>
    </row>
    <row r="46" spans="1:6" ht="15.75" customHeight="1" x14ac:dyDescent="0.25">
      <c r="A46" s="2" t="s">
        <v>156</v>
      </c>
      <c r="B46" s="2" t="s">
        <v>157</v>
      </c>
      <c r="C46" s="2" t="s">
        <v>160</v>
      </c>
      <c r="D46" s="2" t="s">
        <v>159</v>
      </c>
      <c r="E46" s="2" t="str">
        <f ca="1">IFERROR(__xludf.DUMMYFUNCTION("GOOGLETRANSLATE(D46,""en"",""pt"")"),"Eevee é um Pokémon do tipo normal introduzido na geração 1. É conhecido como Pokémon da evolução.")</f>
        <v>Eevee é um Pokémon do tipo normal introduzido na geração 1. É conhecido como Pokémon da evolução.</v>
      </c>
      <c r="F46" s="2" t="str">
        <f ca="1">IFERROR(__xludf.DUMMYFUNCTION("GOOGLETRANSLATE(B46,""en"",""pt"")"),"Pokémon da evolução")</f>
        <v>Pokémon da evolução</v>
      </c>
    </row>
    <row r="47" spans="1:6" ht="15.75" customHeight="1" x14ac:dyDescent="0.25">
      <c r="A47" s="2" t="s">
        <v>161</v>
      </c>
      <c r="B47" s="2" t="s">
        <v>162</v>
      </c>
      <c r="C47" s="2" t="s">
        <v>163</v>
      </c>
      <c r="D47" s="2" t="s">
        <v>164</v>
      </c>
      <c r="E47" s="2" t="str">
        <f ca="1">IFERROR(__xludf.DUMMYFUNCTION("GOOGLETRANSLATE(D47,""en"",""pt"")"),"O Vaporeon é um Pokémon do tipo água introduzido na geração 1. É conhecido como Pokémon de jato de bolha.")</f>
        <v>O Vaporeon é um Pokémon do tipo água introduzido na geração 1. É conhecido como Pokémon de jato de bolha.</v>
      </c>
      <c r="F47" s="2" t="str">
        <f ca="1">IFERROR(__xludf.DUMMYFUNCTION("GOOGLETRANSLATE(B47,""en"",""pt"")"),"Pokémon de jato de bolha")</f>
        <v>Pokémon de jato de bolha</v>
      </c>
    </row>
    <row r="48" spans="1:6" ht="15.75" customHeight="1" x14ac:dyDescent="0.25">
      <c r="A48" s="2" t="s">
        <v>165</v>
      </c>
      <c r="B48" s="2" t="s">
        <v>166</v>
      </c>
      <c r="C48" s="2" t="s">
        <v>167</v>
      </c>
      <c r="D48" s="2" t="s">
        <v>168</v>
      </c>
      <c r="E48" s="2" t="str">
        <f ca="1">IFERROR(__xludf.DUMMYFUNCTION("GOOGLETRANSLATE(D48,""en"",""pt"")"),"Jolteon é um Pokémon do tipo elétrico introduzido na geração 1. É conhecido como Pokémon Lightning.")</f>
        <v>Jolteon é um Pokémon do tipo elétrico introduzido na geração 1. É conhecido como Pokémon Lightning.</v>
      </c>
      <c r="F48" s="2" t="str">
        <f ca="1">IFERROR(__xludf.DUMMYFUNCTION("GOOGLETRANSLATE(B48,""en"",""pt"")"),"Lightning Pokémon")</f>
        <v>Lightning Pokémon</v>
      </c>
    </row>
    <row r="49" spans="1:6" ht="15.75" customHeight="1" x14ac:dyDescent="0.25">
      <c r="A49" s="2" t="s">
        <v>169</v>
      </c>
      <c r="B49" s="2" t="s">
        <v>170</v>
      </c>
      <c r="C49" s="2" t="s">
        <v>171</v>
      </c>
      <c r="D49" s="2" t="s">
        <v>172</v>
      </c>
      <c r="E49" s="2" t="str">
        <f ca="1">IFERROR(__xludf.DUMMYFUNCTION("GOOGLETRANSLATE(D49,""en"",""pt"")"),"Flareon é um Pokémon do tipo fogo introduzido na geração 1. É conhecido como Pokémon Flame.")</f>
        <v>Flareon é um Pokémon do tipo fogo introduzido na geração 1. É conhecido como Pokémon Flame.</v>
      </c>
      <c r="F49" s="2" t="str">
        <f ca="1">IFERROR(__xludf.DUMMYFUNCTION("GOOGLETRANSLATE(B49,""en"",""pt"")"),"Pokémon de chama")</f>
        <v>Pokémon de chama</v>
      </c>
    </row>
    <row r="50" spans="1:6" ht="15.75" customHeight="1" x14ac:dyDescent="0.25">
      <c r="A50" s="2" t="s">
        <v>173</v>
      </c>
      <c r="B50" s="2" t="s">
        <v>174</v>
      </c>
      <c r="C50" s="2" t="s">
        <v>175</v>
      </c>
      <c r="D50" s="2" t="s">
        <v>176</v>
      </c>
      <c r="E50" s="2" t="str">
        <f ca="1">IFERROR(__xludf.DUMMYFUNCTION("GOOGLETRANSLATE(D50,""en"",""pt"")"),"Porygon é um Pokémon do tipo normal introduzido na geração 1. É conhecido como Pokémon virtual.")</f>
        <v>Porygon é um Pokémon do tipo normal introduzido na geração 1. É conhecido como Pokémon virtual.</v>
      </c>
      <c r="F50" s="2" t="str">
        <f ca="1">IFERROR(__xludf.DUMMYFUNCTION("GOOGLETRANSLATE(B50,""en"",""pt"")"),"Pokémon virtual")</f>
        <v>Pokémon virtual</v>
      </c>
    </row>
    <row r="51" spans="1:6" ht="15.75" customHeight="1" x14ac:dyDescent="0.25">
      <c r="A51" s="2" t="s">
        <v>177</v>
      </c>
      <c r="B51" s="2" t="s">
        <v>178</v>
      </c>
      <c r="C51" s="2" t="s">
        <v>179</v>
      </c>
      <c r="D51" s="2" t="s">
        <v>180</v>
      </c>
      <c r="E51" s="2" t="str">
        <f ca="1">IFERROR(__xludf.DUMMYFUNCTION("GOOGLETRANSLATE(D51,""en"",""pt"")"),"Omanyte é um Pokémon do tipo rocha/água introduzido na geração 1. É conhecido como Pokémon em espiral.")</f>
        <v>Omanyte é um Pokémon do tipo rocha/água introduzido na geração 1. É conhecido como Pokémon em espiral.</v>
      </c>
      <c r="F51" s="2" t="str">
        <f ca="1">IFERROR(__xludf.DUMMYFUNCTION("GOOGLETRANSLATE(B51,""en"",""pt"")"),"Pokémon em espiral")</f>
        <v>Pokémon em espiral</v>
      </c>
    </row>
    <row r="52" spans="1:6" ht="15.75" customHeight="1" x14ac:dyDescent="0.25">
      <c r="A52" s="2" t="s">
        <v>181</v>
      </c>
      <c r="B52" s="2" t="s">
        <v>178</v>
      </c>
      <c r="C52" s="2" t="s">
        <v>182</v>
      </c>
      <c r="D52" s="2" t="s">
        <v>183</v>
      </c>
      <c r="E52" s="2" t="str">
        <f ca="1">IFERROR(__xludf.DUMMYFUNCTION("GOOGLETRANSLATE(D52,""en"",""pt"")"),"O OMASTAR é um Pokémon do tipo rocha/água introduzido na geração 1. É conhecido como Pokémon em espiral.")</f>
        <v>O OMASTAR é um Pokémon do tipo rocha/água introduzido na geração 1. É conhecido como Pokémon em espiral.</v>
      </c>
      <c r="F52" s="2" t="str">
        <f ca="1">IFERROR(__xludf.DUMMYFUNCTION("GOOGLETRANSLATE(B52,""en"",""pt"")"),"Pokémon em espiral")</f>
        <v>Pokémon em espiral</v>
      </c>
    </row>
    <row r="53" spans="1:6" ht="15.75" customHeight="1" x14ac:dyDescent="0.25">
      <c r="A53" s="2" t="s">
        <v>184</v>
      </c>
      <c r="B53" s="2" t="s">
        <v>54</v>
      </c>
      <c r="C53" s="2" t="s">
        <v>185</v>
      </c>
      <c r="D53" s="2" t="s">
        <v>186</v>
      </c>
      <c r="E53" s="2" t="str">
        <f ca="1">IFERROR(__xludf.DUMMYFUNCTION("GOOGLETRANSLATE(D53,""en"",""pt"")"),"Kakuna é um Pokémon do tipo inseto/veneno introduzido na geração 1. É conhecido como Pokémon Cocoon.")</f>
        <v>Kakuna é um Pokémon do tipo inseto/veneno introduzido na geração 1. É conhecido como Pokémon Cocoon.</v>
      </c>
      <c r="F53" s="2" t="str">
        <f ca="1">IFERROR(__xludf.DUMMYFUNCTION("GOOGLETRANSLATE(B53,""en"",""pt"")"),"Pokémon Cocoon")</f>
        <v>Pokémon Cocoon</v>
      </c>
    </row>
    <row r="54" spans="1:6" ht="15.75" customHeight="1" x14ac:dyDescent="0.25">
      <c r="A54" s="2" t="s">
        <v>187</v>
      </c>
      <c r="B54" s="2" t="s">
        <v>188</v>
      </c>
      <c r="C54" s="2" t="s">
        <v>189</v>
      </c>
      <c r="D54" s="2" t="s">
        <v>190</v>
      </c>
      <c r="E54" s="2" t="str">
        <f ca="1">IFERROR(__xludf.DUMMYFUNCTION("GOOGLETRANSLATE(D54,""en"",""pt"")"),"Kabuto é um Pokémon do tipo rocha/água introduzido na geração 1. É conhecido como Pokémon de moluscos.")</f>
        <v>Kabuto é um Pokémon do tipo rocha/água introduzido na geração 1. É conhecido como Pokémon de moluscos.</v>
      </c>
      <c r="F54" s="2" t="str">
        <f ca="1">IFERROR(__xludf.DUMMYFUNCTION("GOOGLETRANSLATE(B54,""en"",""pt"")"),"Pokémon de moluscos")</f>
        <v>Pokémon de moluscos</v>
      </c>
    </row>
    <row r="55" spans="1:6" ht="15.75" customHeight="1" x14ac:dyDescent="0.25">
      <c r="A55" s="2" t="s">
        <v>191</v>
      </c>
      <c r="B55" s="2" t="s">
        <v>188</v>
      </c>
      <c r="C55" s="2" t="s">
        <v>192</v>
      </c>
      <c r="D55" s="2" t="s">
        <v>193</v>
      </c>
      <c r="E55" s="2" t="str">
        <f ca="1">IFERROR(__xludf.DUMMYFUNCTION("GOOGLETRANSLATE(D55,""en"",""pt"")"),"Kabutops é um Pokémon do tipo rocha/água introduzido na geração 1. É conhecido como Pokémon de moluscos.")</f>
        <v>Kabutops é um Pokémon do tipo rocha/água introduzido na geração 1. É conhecido como Pokémon de moluscos.</v>
      </c>
      <c r="F55" s="2" t="str">
        <f ca="1">IFERROR(__xludf.DUMMYFUNCTION("GOOGLETRANSLATE(B55,""en"",""pt"")"),"Pokémon de moluscos")</f>
        <v>Pokémon de moluscos</v>
      </c>
    </row>
    <row r="56" spans="1:6" ht="15.75" customHeight="1" x14ac:dyDescent="0.25">
      <c r="A56" s="2" t="s">
        <v>194</v>
      </c>
      <c r="B56" s="2" t="s">
        <v>195</v>
      </c>
      <c r="C56" s="2" t="s">
        <v>196</v>
      </c>
      <c r="D56" s="2" t="s">
        <v>197</v>
      </c>
      <c r="E56" s="2" t="str">
        <f ca="1">IFERROR(__xludf.DUMMYFUNCTION("GOOGLETRANSLATE(D56,""en"",""pt"")"),"Aerodactyl é um Pokémon do tipo rocha/voador introduzido na geração 1. É conhecido como Pokémon fóssil.
O Aerodactyl tem uma mega evolução, disponível a partir de X&amp;Y.")</f>
        <v>Aerodactyl é um Pokémon do tipo rocha/voador introduzido na geração 1. É conhecido como Pokémon fóssil.
O Aerodactyl tem uma mega evolução, disponível a partir de X&amp;Y.</v>
      </c>
      <c r="F56" s="2" t="str">
        <f ca="1">IFERROR(__xludf.DUMMYFUNCTION("GOOGLETRANSLATE(B56,""en"",""pt"")"),"Pokémon fóssil")</f>
        <v>Pokémon fóssil</v>
      </c>
    </row>
    <row r="57" spans="1:6" ht="15.75" customHeight="1" x14ac:dyDescent="0.25">
      <c r="A57" s="2" t="s">
        <v>194</v>
      </c>
      <c r="B57" s="2" t="s">
        <v>195</v>
      </c>
      <c r="C57" s="2" t="s">
        <v>198</v>
      </c>
      <c r="D57" s="2" t="s">
        <v>197</v>
      </c>
      <c r="E57" s="2" t="str">
        <f ca="1">IFERROR(__xludf.DUMMYFUNCTION("GOOGLETRANSLATE(D57,""en"",""pt"")"),"Aerodactyl é um Pokémon do tipo rocha/voador introduzido na geração 1. É conhecido como Pokémon fóssil.
O Aerodactyl tem uma mega evolução, disponível a partir de X&amp;Y.")</f>
        <v>Aerodactyl é um Pokémon do tipo rocha/voador introduzido na geração 1. É conhecido como Pokémon fóssil.
O Aerodactyl tem uma mega evolução, disponível a partir de X&amp;Y.</v>
      </c>
      <c r="F57" s="2" t="str">
        <f ca="1">IFERROR(__xludf.DUMMYFUNCTION("GOOGLETRANSLATE(B57,""en"",""pt"")"),"Pokémon fóssil")</f>
        <v>Pokémon fóssil</v>
      </c>
    </row>
    <row r="58" spans="1:6" ht="15.75" customHeight="1" x14ac:dyDescent="0.25">
      <c r="A58" s="2" t="s">
        <v>199</v>
      </c>
      <c r="B58" s="2" t="s">
        <v>200</v>
      </c>
      <c r="C58" s="2" t="s">
        <v>201</v>
      </c>
      <c r="D58" s="2" t="s">
        <v>202</v>
      </c>
      <c r="E58" s="2" t="str">
        <f ca="1">IFERROR(__xludf.DUMMYFUNCTION("GOOGLETRANSLATE(D58,""en"",""pt"")"),"O Snorlax é um Pokémon do tipo normal introduzido na geração 1. É conhecido como Pokémon Sleeping.")</f>
        <v>O Snorlax é um Pokémon do tipo normal introduzido na geração 1. É conhecido como Pokémon Sleeping.</v>
      </c>
      <c r="F58" s="2" t="str">
        <f ca="1">IFERROR(__xludf.DUMMYFUNCTION("GOOGLETRANSLATE(B58,""en"",""pt"")"),"Pokémon dormindo")</f>
        <v>Pokémon dormindo</v>
      </c>
    </row>
    <row r="59" spans="1:6" ht="15.75" customHeight="1" x14ac:dyDescent="0.25">
      <c r="A59" s="2" t="s">
        <v>203</v>
      </c>
      <c r="B59" s="2" t="s">
        <v>204</v>
      </c>
      <c r="C59" s="2" t="s">
        <v>205</v>
      </c>
      <c r="D59" s="2" t="s">
        <v>206</v>
      </c>
      <c r="E59" s="2" t="str">
        <f ca="1">IFERROR(__xludf.DUMMYFUNCTION("GOOGLETRANSLATE(D59,""en"",""pt"")"),"Articuno é um Pokémon do tipo gelo/voador introduzido na geração 1. É conhecido como Pokémon Freeze.")</f>
        <v>Articuno é um Pokémon do tipo gelo/voador introduzido na geração 1. É conhecido como Pokémon Freeze.</v>
      </c>
      <c r="F59" s="2" t="str">
        <f ca="1">IFERROR(__xludf.DUMMYFUNCTION("GOOGLETRANSLATE(B59,""en"",""pt"")"),"Congelar Pokémon")</f>
        <v>Congelar Pokémon</v>
      </c>
    </row>
    <row r="60" spans="1:6" ht="15.75" customHeight="1" x14ac:dyDescent="0.25">
      <c r="A60" s="2" t="s">
        <v>207</v>
      </c>
      <c r="B60" s="2" t="s">
        <v>119</v>
      </c>
      <c r="C60" s="2" t="s">
        <v>208</v>
      </c>
      <c r="D60" s="2" t="s">
        <v>209</v>
      </c>
      <c r="E60" s="2" t="str">
        <f ca="1">IFERROR(__xludf.DUMMYFUNCTION("GOOGLETRANSLATE(D60,""en"",""pt"")"),"O Zapdos é um Pokémon elétrico/voador introduzido na geração 1. É conhecido como Pokémon elétrico.")</f>
        <v>O Zapdos é um Pokémon elétrico/voador introduzido na geração 1. É conhecido como Pokémon elétrico.</v>
      </c>
      <c r="F60" s="2" t="str">
        <f ca="1">IFERROR(__xludf.DUMMYFUNCTION("GOOGLETRANSLATE(B60,""en"",""pt"")"),"Pokémon elétrico")</f>
        <v>Pokémon elétrico</v>
      </c>
    </row>
    <row r="61" spans="1:6" ht="15.75" customHeight="1" x14ac:dyDescent="0.25">
      <c r="A61" s="2" t="s">
        <v>210</v>
      </c>
      <c r="B61" s="2" t="s">
        <v>170</v>
      </c>
      <c r="C61" s="2" t="s">
        <v>211</v>
      </c>
      <c r="D61" s="2" t="s">
        <v>212</v>
      </c>
      <c r="E61" s="2" t="str">
        <f ca="1">IFERROR(__xludf.DUMMYFUNCTION("GOOGLETRANSLATE(D61,""en"",""pt"")"),"Moltres é um Pokémon de Fogo/Vôo Introduzido na Geração 1. É conhecido como Pokémon Flame.")</f>
        <v>Moltres é um Pokémon de Fogo/Vôo Introduzido na Geração 1. É conhecido como Pokémon Flame.</v>
      </c>
      <c r="F61" s="2" t="str">
        <f ca="1">IFERROR(__xludf.DUMMYFUNCTION("GOOGLETRANSLATE(B61,""en"",""pt"")"),"Pokémon de chama")</f>
        <v>Pokémon de chama</v>
      </c>
    </row>
    <row r="62" spans="1:6" ht="15.75" customHeight="1" x14ac:dyDescent="0.25">
      <c r="A62" s="2" t="s">
        <v>213</v>
      </c>
      <c r="B62" s="2" t="s">
        <v>81</v>
      </c>
      <c r="C62" s="2" t="s">
        <v>214</v>
      </c>
      <c r="D62" s="2" t="s">
        <v>215</v>
      </c>
      <c r="E62" s="2" t="str">
        <f ca="1">IFERROR(__xludf.DUMMYFUNCTION("GOOGLETRANSLATE(D62,""en"",""pt"")"),"Dratini é um Pokémon do tipo dragão introduzido na geração 1. É conhecido como Pokémon Dragon.")</f>
        <v>Dratini é um Pokémon do tipo dragão introduzido na geração 1. É conhecido como Pokémon Dragon.</v>
      </c>
      <c r="F62" s="2" t="str">
        <f ca="1">IFERROR(__xludf.DUMMYFUNCTION("GOOGLETRANSLATE(B62,""en"",""pt"")"),"Dragão Pokémon")</f>
        <v>Dragão Pokémon</v>
      </c>
    </row>
    <row r="63" spans="1:6" ht="15.75" customHeight="1" x14ac:dyDescent="0.25">
      <c r="A63" s="2" t="s">
        <v>216</v>
      </c>
      <c r="B63" s="2" t="s">
        <v>81</v>
      </c>
      <c r="C63" s="2" t="s">
        <v>217</v>
      </c>
      <c r="D63" s="2" t="s">
        <v>218</v>
      </c>
      <c r="E63" s="2" t="str">
        <f ca="1">IFERROR(__xludf.DUMMYFUNCTION("GOOGLETRANSLATE(D63,""en"",""pt"")"),"Dragonair é um Pokémon do tipo dragão introduzido na geração 1. É conhecido como Pokémon Dragon.")</f>
        <v>Dragonair é um Pokémon do tipo dragão introduzido na geração 1. É conhecido como Pokémon Dragon.</v>
      </c>
      <c r="F63" s="2" t="str">
        <f ca="1">IFERROR(__xludf.DUMMYFUNCTION("GOOGLETRANSLATE(B63,""en"",""pt"")"),"Dragão Pokémon")</f>
        <v>Dragão Pokémon</v>
      </c>
    </row>
    <row r="64" spans="1:6" ht="15.75" customHeight="1" x14ac:dyDescent="0.25">
      <c r="A64" s="2" t="s">
        <v>219</v>
      </c>
      <c r="B64" s="2" t="s">
        <v>81</v>
      </c>
      <c r="C64" s="2" t="s">
        <v>220</v>
      </c>
      <c r="D64" s="2" t="s">
        <v>221</v>
      </c>
      <c r="E64" s="2" t="str">
        <f ca="1">IFERROR(__xludf.DUMMYFUNCTION("GOOGLETRANSLATE(D64,""en"",""pt"")"),"Dragonite é um Pokémon Dragon/Flying Type Introduzido na Geração 1. É conhecido como Pokémon Dragon.")</f>
        <v>Dragonite é um Pokémon Dragon/Flying Type Introduzido na Geração 1. É conhecido como Pokémon Dragon.</v>
      </c>
      <c r="F64" s="2" t="str">
        <f ca="1">IFERROR(__xludf.DUMMYFUNCTION("GOOGLETRANSLATE(B64,""en"",""pt"")"),"Dragão Pokémon")</f>
        <v>Dragão Pokémon</v>
      </c>
    </row>
    <row r="65" spans="1:6" ht="15.75" customHeight="1" x14ac:dyDescent="0.25">
      <c r="A65" s="2" t="s">
        <v>222</v>
      </c>
      <c r="B65" s="2" t="s">
        <v>223</v>
      </c>
      <c r="C65" s="2" t="s">
        <v>224</v>
      </c>
      <c r="D65" s="2" t="s">
        <v>225</v>
      </c>
      <c r="E65" s="2" t="str">
        <f ca="1">IFERROR(__xludf.DUMMYFUNCTION("GOOGLETRANSLATE(D65,""en"",""pt"")"),"Beedrill é um Pokémon do tipo bug/veneno introduzido na geração 1. É conhecido como Pokémon Poison Bee.
Beedrill tem uma mega evolução, disponível na Omega Ruby &amp; Alpha Sapphire.")</f>
        <v>Beedrill é um Pokémon do tipo bug/veneno introduzido na geração 1. É conhecido como Pokémon Poison Bee.
Beedrill tem uma mega evolução, disponível na Omega Ruby &amp; Alpha Sapphire.</v>
      </c>
      <c r="F65" s="2" t="str">
        <f ca="1">IFERROR(__xludf.DUMMYFUNCTION("GOOGLETRANSLATE(B65,""en"",""pt"")"),"Pokémon de abelha venenosa")</f>
        <v>Pokémon de abelha venenosa</v>
      </c>
    </row>
    <row r="66" spans="1:6" ht="15.75" customHeight="1" x14ac:dyDescent="0.25">
      <c r="A66" s="2" t="s">
        <v>222</v>
      </c>
      <c r="B66" s="2" t="s">
        <v>223</v>
      </c>
      <c r="C66" s="2" t="s">
        <v>226</v>
      </c>
      <c r="D66" s="2" t="s">
        <v>225</v>
      </c>
      <c r="E66" s="2" t="str">
        <f ca="1">IFERROR(__xludf.DUMMYFUNCTION("GOOGLETRANSLATE(D66,""en"",""pt"")"),"Beedrill é um Pokémon do tipo bug/veneno introduzido na geração 1. É conhecido como Pokémon Poison Bee.
Beedrill tem uma mega evolução, disponível na Omega Ruby &amp; Alpha Sapphire.")</f>
        <v>Beedrill é um Pokémon do tipo bug/veneno introduzido na geração 1. É conhecido como Pokémon Poison Bee.
Beedrill tem uma mega evolução, disponível na Omega Ruby &amp; Alpha Sapphire.</v>
      </c>
      <c r="F66" s="2" t="str">
        <f ca="1">IFERROR(__xludf.DUMMYFUNCTION("GOOGLETRANSLATE(B66,""en"",""pt"")"),"Pokémon de abelha venenosa")</f>
        <v>Pokémon de abelha venenosa</v>
      </c>
    </row>
    <row r="67" spans="1:6" ht="15.75" customHeight="1" x14ac:dyDescent="0.25">
      <c r="A67" s="2" t="s">
        <v>227</v>
      </c>
      <c r="B67" s="2" t="s">
        <v>228</v>
      </c>
      <c r="C67" s="2" t="s">
        <v>229</v>
      </c>
      <c r="D67" s="2" t="s">
        <v>230</v>
      </c>
      <c r="E67" s="2" t="str">
        <f ca="1">IFERROR(__xludf.DUMMYFUNCTION("GOOGLETRANSLATE(D67,""en"",""pt"")"),"Mewtwo é um Pokémon do tipo psíquico introduzido na geração 1. É conhecido como Pokémon genético.
Mewtwo tem duas mega evoluções, disponíveis a partir de X&amp;Y. Eles podem ser ativados em batalha ao segurar as mega pedras, Mewtwonite X e Mewtwonite Y, respe"&amp;"ctivamente.")</f>
        <v>Mewtwo é um Pokémon do tipo psíquico introduzido na geração 1. É conhecido como Pokémon genético.
Mewtwo tem duas mega evoluções, disponíveis a partir de X&amp;Y. Eles podem ser ativados em batalha ao segurar as mega pedras, Mewtwonite X e Mewtwonite Y, respectivamente.</v>
      </c>
      <c r="F67" s="2" t="str">
        <f ca="1">IFERROR(__xludf.DUMMYFUNCTION("GOOGLETRANSLATE(B67,""en"",""pt"")"),"Pokémon genético")</f>
        <v>Pokémon genético</v>
      </c>
    </row>
    <row r="68" spans="1:6" ht="15.75" customHeight="1" x14ac:dyDescent="0.25">
      <c r="A68" s="2" t="s">
        <v>227</v>
      </c>
      <c r="B68" s="2" t="s">
        <v>228</v>
      </c>
      <c r="C68" s="2" t="s">
        <v>231</v>
      </c>
      <c r="D68" s="2" t="s">
        <v>230</v>
      </c>
      <c r="E68" s="2" t="str">
        <f ca="1">IFERROR(__xludf.DUMMYFUNCTION("GOOGLETRANSLATE(D68,""en"",""pt"")"),"Mewtwo é um Pokémon do tipo psíquico introduzido na geração 1. É conhecido como Pokémon genético.
Mewtwo tem duas mega evoluções, disponíveis a partir de X&amp;Y. Eles podem ser ativados em batalha ao segurar as mega pedras, Mewtwonite X e Mewtwonite Y, respe"&amp;"ctivamente.")</f>
        <v>Mewtwo é um Pokémon do tipo psíquico introduzido na geração 1. É conhecido como Pokémon genético.
Mewtwo tem duas mega evoluções, disponíveis a partir de X&amp;Y. Eles podem ser ativados em batalha ao segurar as mega pedras, Mewtwonite X e Mewtwonite Y, respectivamente.</v>
      </c>
      <c r="F68" s="2" t="str">
        <f ca="1">IFERROR(__xludf.DUMMYFUNCTION("GOOGLETRANSLATE(B68,""en"",""pt"")"),"Pokémon genético")</f>
        <v>Pokémon genético</v>
      </c>
    </row>
    <row r="69" spans="1:6" ht="15.75" customHeight="1" x14ac:dyDescent="0.25">
      <c r="A69" s="2" t="s">
        <v>227</v>
      </c>
      <c r="B69" s="2" t="s">
        <v>228</v>
      </c>
      <c r="C69" s="2" t="s">
        <v>232</v>
      </c>
      <c r="D69" s="2" t="s">
        <v>230</v>
      </c>
      <c r="E69" s="2" t="str">
        <f ca="1">IFERROR(__xludf.DUMMYFUNCTION("GOOGLETRANSLATE(D69,""en"",""pt"")"),"Mewtwo é um Pokémon do tipo psíquico introduzido na geração 1. É conhecido como Pokémon genético.
Mewtwo tem duas mega evoluções, disponíveis a partir de X&amp;Y. Eles podem ser ativados em batalha ao segurar as mega pedras, Mewtwonite X e Mewtwonite Y, respe"&amp;"ctivamente.")</f>
        <v>Mewtwo é um Pokémon do tipo psíquico introduzido na geração 1. É conhecido como Pokémon genético.
Mewtwo tem duas mega evoluções, disponíveis a partir de X&amp;Y. Eles podem ser ativados em batalha ao segurar as mega pedras, Mewtwonite X e Mewtwonite Y, respectivamente.</v>
      </c>
      <c r="F69" s="2" t="str">
        <f ca="1">IFERROR(__xludf.DUMMYFUNCTION("GOOGLETRANSLATE(B69,""en"",""pt"")"),"Pokémon genético")</f>
        <v>Pokémon genético</v>
      </c>
    </row>
    <row r="70" spans="1:6" ht="15.75" customHeight="1" x14ac:dyDescent="0.25">
      <c r="A70" s="2" t="s">
        <v>233</v>
      </c>
      <c r="B70" s="2" t="s">
        <v>234</v>
      </c>
      <c r="C70" s="2" t="s">
        <v>235</v>
      </c>
      <c r="D70" s="2" t="s">
        <v>236</v>
      </c>
      <c r="E70" s="2" t="str">
        <f ca="1">IFERROR(__xludf.DUMMYFUNCTION("GOOGLETRANSLATE(D70,""en"",""pt"")"),"Mew é um Pokémon do tipo psíquico introduzido na geração 1. É conhecido como o novo Pokémon de espécies.")</f>
        <v>Mew é um Pokémon do tipo psíquico introduzido na geração 1. É conhecido como o novo Pokémon de espécies.</v>
      </c>
      <c r="F70" s="2" t="str">
        <f ca="1">IFERROR(__xludf.DUMMYFUNCTION("GOOGLETRANSLATE(B70,""en"",""pt"")"),"Novas espécies Pokémon")</f>
        <v>Novas espécies Pokémon</v>
      </c>
    </row>
    <row r="71" spans="1:6" ht="15.75" customHeight="1" x14ac:dyDescent="0.25">
      <c r="A71" s="2" t="s">
        <v>237</v>
      </c>
      <c r="B71" s="2" t="s">
        <v>238</v>
      </c>
      <c r="C71" s="2" t="s">
        <v>239</v>
      </c>
      <c r="D71" s="2" t="s">
        <v>240</v>
      </c>
      <c r="E71" s="2" t="str">
        <f ca="1">IFERROR(__xludf.DUMMYFUNCTION("GOOGLETRANSLATE(D71,""en"",""pt"")"),"Chikorita é um Pokémon do tipo grama introduzido na geração 2. É conhecido como Pokémon Leaf.")</f>
        <v>Chikorita é um Pokémon do tipo grama introduzido na geração 2. É conhecido como Pokémon Leaf.</v>
      </c>
      <c r="F71" s="2" t="str">
        <f ca="1">IFERROR(__xludf.DUMMYFUNCTION("GOOGLETRANSLATE(B71,""en"",""pt"")"),"Pokémon da folha")</f>
        <v>Pokémon da folha</v>
      </c>
    </row>
    <row r="72" spans="1:6" ht="15.75" customHeight="1" x14ac:dyDescent="0.25">
      <c r="A72" s="2" t="s">
        <v>241</v>
      </c>
      <c r="B72" s="2" t="s">
        <v>238</v>
      </c>
      <c r="C72" s="2" t="s">
        <v>242</v>
      </c>
      <c r="D72" s="2" t="s">
        <v>243</v>
      </c>
      <c r="E72" s="2" t="str">
        <f ca="1">IFERROR(__xludf.DUMMYFUNCTION("GOOGLETRANSLATE(D72,""en"",""pt"")"),"Bayleef é um Pokémon do tipo grama introduzido na geração 2. É conhecido como Pokémon Leaf.")</f>
        <v>Bayleef é um Pokémon do tipo grama introduzido na geração 2. É conhecido como Pokémon Leaf.</v>
      </c>
      <c r="F72" s="2" t="str">
        <f ca="1">IFERROR(__xludf.DUMMYFUNCTION("GOOGLETRANSLATE(B72,""en"",""pt"")"),"Pokémon da folha")</f>
        <v>Pokémon da folha</v>
      </c>
    </row>
    <row r="73" spans="1:6" ht="15.75" customHeight="1" x14ac:dyDescent="0.25">
      <c r="A73" s="2" t="s">
        <v>244</v>
      </c>
      <c r="B73" s="2" t="s">
        <v>245</v>
      </c>
      <c r="C73" s="2" t="s">
        <v>246</v>
      </c>
      <c r="D73" s="2" t="s">
        <v>247</v>
      </c>
      <c r="E73" s="2" t="str">
        <f ca="1">IFERROR(__xludf.DUMMYFUNCTION("GOOGLETRANSLATE(D73,""en"",""pt"")"),"Meganium é um Pokémon do tipo grama introduzido na geração 2. É conhecido como Pokémon Herb.")</f>
        <v>Meganium é um Pokémon do tipo grama introduzido na geração 2. É conhecido como Pokémon Herb.</v>
      </c>
      <c r="F73" s="2" t="str">
        <f ca="1">IFERROR(__xludf.DUMMYFUNCTION("GOOGLETRANSLATE(B73,""en"",""pt"")"),"Herb Pokémon")</f>
        <v>Herb Pokémon</v>
      </c>
    </row>
    <row r="74" spans="1:6" ht="15.75" customHeight="1" x14ac:dyDescent="0.25">
      <c r="A74" s="2" t="s">
        <v>248</v>
      </c>
      <c r="B74" s="2" t="s">
        <v>249</v>
      </c>
      <c r="C74" s="2" t="s">
        <v>250</v>
      </c>
      <c r="D74" s="2" t="s">
        <v>251</v>
      </c>
      <c r="E74" s="2" t="str">
        <f ca="1">IFERROR(__xludf.DUMMYFUNCTION("GOOGLETRANSLATE(D74,""en"",""pt"")"),"Cyndaquil é um Pokémon do tipo incêndio introduzido na geração 2. É conhecido como Pokémon do Mouse Fire.")</f>
        <v>Cyndaquil é um Pokémon do tipo incêndio introduzido na geração 2. É conhecido como Pokémon do Mouse Fire.</v>
      </c>
      <c r="F74" s="2" t="str">
        <f ca="1">IFERROR(__xludf.DUMMYFUNCTION("GOOGLETRANSLATE(B74,""en"",""pt"")"),"Pokémon do Mouse de Fire")</f>
        <v>Pokémon do Mouse de Fire</v>
      </c>
    </row>
    <row r="75" spans="1:6" ht="15.75" customHeight="1" x14ac:dyDescent="0.25">
      <c r="A75" s="2" t="s">
        <v>252</v>
      </c>
      <c r="B75" s="2" t="s">
        <v>253</v>
      </c>
      <c r="C75" s="2" t="s">
        <v>254</v>
      </c>
      <c r="D75" s="2" t="s">
        <v>255</v>
      </c>
      <c r="E75" s="2" t="str">
        <f ca="1">IFERROR(__xludf.DUMMYFUNCTION("GOOGLETRANSLATE(D75,""en"",""pt"")"),"O quilava é um Pokémon do tipo incêndio introduzido na geração 2. É conhecido como Pokémon Vulcão.")</f>
        <v>O quilava é um Pokémon do tipo incêndio introduzido na geração 2. É conhecido como Pokémon Vulcão.</v>
      </c>
      <c r="F75" s="2" t="str">
        <f ca="1">IFERROR(__xludf.DUMMYFUNCTION("GOOGLETRANSLATE(B75,""en"",""pt"")"),"Vulcão Pokémon")</f>
        <v>Vulcão Pokémon</v>
      </c>
    </row>
    <row r="76" spans="1:6" ht="15.75" customHeight="1" x14ac:dyDescent="0.25">
      <c r="A76" s="2" t="s">
        <v>256</v>
      </c>
      <c r="B76" s="2" t="s">
        <v>253</v>
      </c>
      <c r="C76" s="2" t="s">
        <v>257</v>
      </c>
      <c r="D76" s="2" t="s">
        <v>258</v>
      </c>
      <c r="E76" s="2" t="str">
        <f ca="1">IFERROR(__xludf.DUMMYFUNCTION("GOOGLETRANSLATE(D76,""en"",""pt"")"),"A Typhlosion é um Pokémon do tipo incêndio introduzido na geração 2. É conhecido como Pokémon Vulcão.")</f>
        <v>A Typhlosion é um Pokémon do tipo incêndio introduzido na geração 2. É conhecido como Pokémon Vulcão.</v>
      </c>
      <c r="F76" s="2" t="str">
        <f ca="1">IFERROR(__xludf.DUMMYFUNCTION("GOOGLETRANSLATE(B76,""en"",""pt"")"),"Vulcão Pokémon")</f>
        <v>Vulcão Pokémon</v>
      </c>
    </row>
    <row r="77" spans="1:6" ht="15.75" customHeight="1" x14ac:dyDescent="0.25">
      <c r="A77" s="2" t="s">
        <v>259</v>
      </c>
      <c r="B77" s="2" t="s">
        <v>260</v>
      </c>
      <c r="C77" s="2" t="s">
        <v>261</v>
      </c>
      <c r="D77" s="2" t="s">
        <v>262</v>
      </c>
      <c r="E77" s="2" t="str">
        <f ca="1">IFERROR(__xludf.DUMMYFUNCTION("GOOGLETRANSLATE(D77,""en"",""pt"")"),"Totodile é um Pokémon do tipo água introduzido na geração 2. É conhecido como Pokémon Big Jaw.")</f>
        <v>Totodile é um Pokémon do tipo água introduzido na geração 2. É conhecido como Pokémon Big Jaw.</v>
      </c>
      <c r="F77" s="2" t="str">
        <f ca="1">IFERROR(__xludf.DUMMYFUNCTION("GOOGLETRANSLATE(B77,""en"",""pt"")"),"Pokémon grande da mandíbula")</f>
        <v>Pokémon grande da mandíbula</v>
      </c>
    </row>
    <row r="78" spans="1:6" ht="15.75" customHeight="1" x14ac:dyDescent="0.25">
      <c r="A78" s="2" t="s">
        <v>263</v>
      </c>
      <c r="B78" s="2" t="s">
        <v>260</v>
      </c>
      <c r="C78" s="2" t="s">
        <v>264</v>
      </c>
      <c r="D78" s="2" t="s">
        <v>265</v>
      </c>
      <c r="E78" s="2" t="str">
        <f ca="1">IFERROR(__xludf.DUMMYFUNCTION("GOOGLETRANSLATE(D78,""en"",""pt"")"),"Croconaw é um Pokémon do tipo água introduzido na geração 2. É conhecido como o grande Pokémon da mandíbula.")</f>
        <v>Croconaw é um Pokémon do tipo água introduzido na geração 2. É conhecido como o grande Pokémon da mandíbula.</v>
      </c>
      <c r="F78" s="2" t="str">
        <f ca="1">IFERROR(__xludf.DUMMYFUNCTION("GOOGLETRANSLATE(B78,""en"",""pt"")"),"Pokémon grande da mandíbula")</f>
        <v>Pokémon grande da mandíbula</v>
      </c>
    </row>
    <row r="79" spans="1:6" ht="15.75" customHeight="1" x14ac:dyDescent="0.25">
      <c r="A79" s="2" t="s">
        <v>266</v>
      </c>
      <c r="B79" s="2" t="s">
        <v>267</v>
      </c>
      <c r="C79" s="2" t="s">
        <v>268</v>
      </c>
      <c r="D79" s="2" t="s">
        <v>269</v>
      </c>
      <c r="E79" s="2" t="str">
        <f ca="1">IFERROR(__xludf.DUMMYFUNCTION("GOOGLETRANSLATE(D79,""en"",""pt"")"),"Pidgey é um Pokémon Normal/Voador Introduzido na Geração 1. É conhecido como Pokémon de Pássaro Tiny.")</f>
        <v>Pidgey é um Pokémon Normal/Voador Introduzido na Geração 1. É conhecido como Pokémon de Pássaro Tiny.</v>
      </c>
      <c r="F79" s="2" t="str">
        <f ca="1">IFERROR(__xludf.DUMMYFUNCTION("GOOGLETRANSLATE(B79,""en"",""pt"")"),"Pokémon pequeno de pássaro")</f>
        <v>Pokémon pequeno de pássaro</v>
      </c>
    </row>
    <row r="80" spans="1:6" ht="15.75" customHeight="1" x14ac:dyDescent="0.25">
      <c r="A80" s="2" t="s">
        <v>270</v>
      </c>
      <c r="B80" s="2" t="s">
        <v>260</v>
      </c>
      <c r="C80" s="2" t="s">
        <v>271</v>
      </c>
      <c r="D80" s="2" t="s">
        <v>272</v>
      </c>
      <c r="E80" s="2" t="str">
        <f ca="1">IFERROR(__xludf.DUMMYFUNCTION("GOOGLETRANSLATE(D80,""en"",""pt"")"),"Feraligatr é um Pokémon do tipo água introduzido na geração 2. É conhecido como Pokémon Big Jaw.")</f>
        <v>Feraligatr é um Pokémon do tipo água introduzido na geração 2. É conhecido como Pokémon Big Jaw.</v>
      </c>
      <c r="F80" s="2" t="str">
        <f ca="1">IFERROR(__xludf.DUMMYFUNCTION("GOOGLETRANSLATE(B80,""en"",""pt"")"),"Pokémon grande da mandíbula")</f>
        <v>Pokémon grande da mandíbula</v>
      </c>
    </row>
    <row r="81" spans="1:6" ht="15.75" customHeight="1" x14ac:dyDescent="0.25">
      <c r="A81" s="2" t="s">
        <v>273</v>
      </c>
      <c r="B81" s="2" t="s">
        <v>274</v>
      </c>
      <c r="C81" s="2" t="s">
        <v>275</v>
      </c>
      <c r="D81" s="2" t="s">
        <v>276</v>
      </c>
      <c r="E81" s="2" t="str">
        <f ca="1">IFERROR(__xludf.DUMMYFUNCTION("GOOGLETRANSLATE(D81,""en"",""pt"")"),"O Sentret é um Pokémon do tipo normal introduzido na geração 2. É conhecido como Pokémon Scout.")</f>
        <v>O Sentret é um Pokémon do tipo normal introduzido na geração 2. É conhecido como Pokémon Scout.</v>
      </c>
      <c r="F81" s="2" t="str">
        <f ca="1">IFERROR(__xludf.DUMMYFUNCTION("GOOGLETRANSLATE(B81,""en"",""pt"")"),"Scout Pokémon")</f>
        <v>Scout Pokémon</v>
      </c>
    </row>
    <row r="82" spans="1:6" ht="15.75" customHeight="1" x14ac:dyDescent="0.25">
      <c r="A82" s="2" t="s">
        <v>277</v>
      </c>
      <c r="B82" s="2" t="s">
        <v>278</v>
      </c>
      <c r="C82" s="2" t="s">
        <v>279</v>
      </c>
      <c r="D82" s="2" t="s">
        <v>280</v>
      </c>
      <c r="E82" s="2" t="str">
        <f ca="1">IFERROR(__xludf.DUMMYFUNCTION("GOOGLETRANSLATE(D82,""en"",""pt"")"),"Furret é um Pokémon do tipo normal introduzido na geração 2. É conhecido como Pokémon do corpo longo.")</f>
        <v>Furret é um Pokémon do tipo normal introduzido na geração 2. É conhecido como Pokémon do corpo longo.</v>
      </c>
      <c r="F82" s="2" t="str">
        <f ca="1">IFERROR(__xludf.DUMMYFUNCTION("GOOGLETRANSLATE(B82,""en"",""pt"")"),"Pokémon corpo longo")</f>
        <v>Pokémon corpo longo</v>
      </c>
    </row>
    <row r="83" spans="1:6" ht="15.75" customHeight="1" x14ac:dyDescent="0.25">
      <c r="A83" s="2" t="s">
        <v>281</v>
      </c>
      <c r="B83" s="2" t="s">
        <v>282</v>
      </c>
      <c r="C83" s="2" t="s">
        <v>283</v>
      </c>
      <c r="D83" s="2" t="s">
        <v>284</v>
      </c>
      <c r="E83" s="2" t="str">
        <f ca="1">IFERROR(__xludf.DUMMYFUNCTION("GOOGLETRANSLATE(D83,""en"",""pt"")"),"Hoothoot é um Pokémon Normal/Flying do tipo voador introduzido na geração 2. É conhecido como Pokémon Owl.")</f>
        <v>Hoothoot é um Pokémon Normal/Flying do tipo voador introduzido na geração 2. É conhecido como Pokémon Owl.</v>
      </c>
      <c r="F83" s="2" t="str">
        <f ca="1">IFERROR(__xludf.DUMMYFUNCTION("GOOGLETRANSLATE(B83,""en"",""pt"")"),"Owl Pokémon")</f>
        <v>Owl Pokémon</v>
      </c>
    </row>
    <row r="84" spans="1:6" ht="15.75" customHeight="1" x14ac:dyDescent="0.25">
      <c r="A84" s="2" t="s">
        <v>285</v>
      </c>
      <c r="B84" s="2" t="s">
        <v>282</v>
      </c>
      <c r="C84" s="2" t="s">
        <v>286</v>
      </c>
      <c r="D84" s="2" t="s">
        <v>287</v>
      </c>
      <c r="E84" s="2" t="str">
        <f ca="1">IFERROR(__xludf.DUMMYFUNCTION("GOOGLETRANSLATE(D84,""en"",""pt"")"),"Noctowl é um Pokémon normal/voador introduzido na geração 2. É conhecido como Pokémon da Owl.")</f>
        <v>Noctowl é um Pokémon normal/voador introduzido na geração 2. É conhecido como Pokémon da Owl.</v>
      </c>
      <c r="F84" s="2" t="str">
        <f ca="1">IFERROR(__xludf.DUMMYFUNCTION("GOOGLETRANSLATE(B84,""en"",""pt"")"),"Owl Pokémon")</f>
        <v>Owl Pokémon</v>
      </c>
    </row>
    <row r="85" spans="1:6" ht="15.75" customHeight="1" x14ac:dyDescent="0.25">
      <c r="A85" s="2" t="s">
        <v>288</v>
      </c>
      <c r="B85" s="2" t="s">
        <v>289</v>
      </c>
      <c r="C85" s="2" t="s">
        <v>290</v>
      </c>
      <c r="D85" s="2" t="s">
        <v>291</v>
      </c>
      <c r="E85" s="2" t="str">
        <f ca="1">IFERROR(__xludf.DUMMYFUNCTION("GOOGLETRANSLATE(D85,""en"",""pt"")"),"Ledyba é um Pokémon do tipo bug/voador introduzido na geração 2. É conhecido como o Pokémon de cinco estrelas.")</f>
        <v>Ledyba é um Pokémon do tipo bug/voador introduzido na geração 2. É conhecido como o Pokémon de cinco estrelas.</v>
      </c>
      <c r="F85" s="2" t="str">
        <f ca="1">IFERROR(__xludf.DUMMYFUNCTION("GOOGLETRANSLATE(B85,""en"",""pt"")"),"Pokémon cinco estrelas")</f>
        <v>Pokémon cinco estrelas</v>
      </c>
    </row>
    <row r="86" spans="1:6" ht="15.75" customHeight="1" x14ac:dyDescent="0.25">
      <c r="A86" s="2" t="s">
        <v>292</v>
      </c>
      <c r="B86" s="2" t="s">
        <v>289</v>
      </c>
      <c r="C86" s="2" t="s">
        <v>293</v>
      </c>
      <c r="D86" s="2" t="s">
        <v>294</v>
      </c>
      <c r="E86" s="2" t="str">
        <f ca="1">IFERROR(__xludf.DUMMYFUNCTION("GOOGLETRANSLATE(D86,""en"",""pt"")"),"O LEDIAN é um Pokémon do tipo bug/voador introduzido na geração 2. É conhecido como o Pokémon de cinco estrelas.")</f>
        <v>O LEDIAN é um Pokémon do tipo bug/voador introduzido na geração 2. É conhecido como o Pokémon de cinco estrelas.</v>
      </c>
      <c r="F86" s="2" t="str">
        <f ca="1">IFERROR(__xludf.DUMMYFUNCTION("GOOGLETRANSLATE(B86,""en"",""pt"")"),"Pokémon cinco estrelas")</f>
        <v>Pokémon cinco estrelas</v>
      </c>
    </row>
    <row r="87" spans="1:6" ht="15.75" customHeight="1" x14ac:dyDescent="0.25">
      <c r="A87" s="2" t="s">
        <v>295</v>
      </c>
      <c r="B87" s="2" t="s">
        <v>296</v>
      </c>
      <c r="C87" s="2" t="s">
        <v>297</v>
      </c>
      <c r="D87" s="2" t="s">
        <v>298</v>
      </c>
      <c r="E87" s="2" t="str">
        <f ca="1">IFERROR(__xludf.DUMMYFUNCTION("GOOGLETRANSLATE(D87,""en"",""pt"")"),"Spinarak é um Pokémon do tipo de bug/veneno introduzido na geração 2. É conhecido como Pokémon Cuspa de String.")</f>
        <v>Spinarak é um Pokémon do tipo de bug/veneno introduzido na geração 2. É conhecido como Pokémon Cuspa de String.</v>
      </c>
      <c r="F87" s="2" t="str">
        <f ca="1">IFERROR(__xludf.DUMMYFUNCTION("GOOGLETRANSLATE(B87,""en"",""pt"")"),"Pokémon cuspe de corda")</f>
        <v>Pokémon cuspe de corda</v>
      </c>
    </row>
    <row r="88" spans="1:6" ht="15.75" customHeight="1" x14ac:dyDescent="0.25">
      <c r="A88" s="2" t="s">
        <v>299</v>
      </c>
      <c r="B88" s="2" t="s">
        <v>300</v>
      </c>
      <c r="C88" s="2" t="s">
        <v>301</v>
      </c>
      <c r="D88" s="2" t="s">
        <v>302</v>
      </c>
      <c r="E88" s="2" t="str">
        <f ca="1">IFERROR(__xludf.DUMMYFUNCTION("GOOGLETRANSLATE(D88,""en"",""pt"")"),"Ariados é um Pokémon do tipo bug/veneno introduzido na geração 2. É conhecido como Pokémon de perna longa.")</f>
        <v>Ariados é um Pokémon do tipo bug/veneno introduzido na geração 2. É conhecido como Pokémon de perna longa.</v>
      </c>
      <c r="F88" s="2" t="str">
        <f ca="1">IFERROR(__xludf.DUMMYFUNCTION("GOOGLETRANSLATE(B88,""en"",""pt"")"),"Pokémon de perna longa")</f>
        <v>Pokémon de perna longa</v>
      </c>
    </row>
    <row r="89" spans="1:6" ht="15.75" customHeight="1" x14ac:dyDescent="0.25">
      <c r="A89" s="2" t="s">
        <v>303</v>
      </c>
      <c r="B89" s="2" t="s">
        <v>304</v>
      </c>
      <c r="C89" s="2" t="s">
        <v>305</v>
      </c>
      <c r="D89" s="2" t="s">
        <v>306</v>
      </c>
      <c r="E89" s="2" t="str">
        <f ca="1">IFERROR(__xludf.DUMMYFUNCTION("GOOGLETRANSLATE(D89,""en"",""pt"")"),"Crobat é um Pokémon de veneno/voador introduzido na geração 2. É conhecido como Pokémon Bat.")</f>
        <v>Crobat é um Pokémon de veneno/voador introduzido na geração 2. É conhecido como Pokémon Bat.</v>
      </c>
      <c r="F89" s="2" t="str">
        <f ca="1">IFERROR(__xludf.DUMMYFUNCTION("GOOGLETRANSLATE(B89,""en"",""pt"")"),"Pokémon de morcego")</f>
        <v>Pokémon de morcego</v>
      </c>
    </row>
    <row r="90" spans="1:6" ht="15.75" customHeight="1" x14ac:dyDescent="0.25">
      <c r="A90" s="2" t="s">
        <v>307</v>
      </c>
      <c r="B90" s="2" t="s">
        <v>308</v>
      </c>
      <c r="C90" s="2" t="s">
        <v>309</v>
      </c>
      <c r="D90" s="2" t="s">
        <v>310</v>
      </c>
      <c r="E90" s="2" t="str">
        <f ca="1">IFERROR(__xludf.DUMMYFUNCTION("GOOGLETRANSLATE(D90,""en"",""pt"")"),"Pidgeotto é um Pokémon normal/voador introduzido na geração 1. É conhecido como Pokémon Bird.")</f>
        <v>Pidgeotto é um Pokémon normal/voador introduzido na geração 1. É conhecido como Pokémon Bird.</v>
      </c>
      <c r="F90" s="2" t="str">
        <f ca="1">IFERROR(__xludf.DUMMYFUNCTION("GOOGLETRANSLATE(B90,""en"",""pt"")"),"Pokémon de pássaro")</f>
        <v>Pokémon de pássaro</v>
      </c>
    </row>
    <row r="91" spans="1:6" ht="15.75" customHeight="1" x14ac:dyDescent="0.25">
      <c r="A91" s="2" t="s">
        <v>311</v>
      </c>
      <c r="B91" s="2" t="s">
        <v>312</v>
      </c>
      <c r="C91" s="2" t="s">
        <v>313</v>
      </c>
      <c r="D91" s="2" t="s">
        <v>314</v>
      </c>
      <c r="E91" s="2" t="str">
        <f ca="1">IFERROR(__xludf.DUMMYFUNCTION("GOOGLETRANSLATE(D91,""en"",""pt"")"),"Chinchou é um Pokémon do tipo água/elétrico introduzido na geração 2. É conhecido como Pokémon do Angler.")</f>
        <v>Chinchou é um Pokémon do tipo água/elétrico introduzido na geração 2. É conhecido como Pokémon do Angler.</v>
      </c>
      <c r="F91" s="2" t="str">
        <f ca="1">IFERROR(__xludf.DUMMYFUNCTION("GOOGLETRANSLATE(B91,""en"",""pt"")"),"Pokémon do pescador")</f>
        <v>Pokémon do pescador</v>
      </c>
    </row>
    <row r="92" spans="1:6" ht="15.75" customHeight="1" x14ac:dyDescent="0.25">
      <c r="A92" s="2" t="s">
        <v>315</v>
      </c>
      <c r="B92" s="2" t="s">
        <v>316</v>
      </c>
      <c r="C92" s="2" t="s">
        <v>317</v>
      </c>
      <c r="D92" s="2" t="s">
        <v>318</v>
      </c>
      <c r="E92" s="2" t="str">
        <f ca="1">IFERROR(__xludf.DUMMYFUNCTION("GOOGLETRANSLATE(D92,""en"",""pt"")"),"Lanturn é um Pokémon do tipo água/elétrico introduzido na geração 2. É conhecido como Pokémon leve.")</f>
        <v>Lanturn é um Pokémon do tipo água/elétrico introduzido na geração 2. É conhecido como Pokémon leve.</v>
      </c>
      <c r="F92" s="2" t="str">
        <f ca="1">IFERROR(__xludf.DUMMYFUNCTION("GOOGLETRANSLATE(B92,""en"",""pt"")"),"Pokémon leve")</f>
        <v>Pokémon leve</v>
      </c>
    </row>
    <row r="93" spans="1:6" ht="15.75" customHeight="1" x14ac:dyDescent="0.25">
      <c r="A93" s="2" t="s">
        <v>319</v>
      </c>
      <c r="B93" s="2" t="s">
        <v>320</v>
      </c>
      <c r="C93" s="2" t="s">
        <v>321</v>
      </c>
      <c r="D93" s="2" t="s">
        <v>322</v>
      </c>
      <c r="E93" s="2" t="str">
        <f ca="1">IFERROR(__xludf.DUMMYFUNCTION("GOOGLETRANSLATE(D93,""en"",""pt"")"),"Pichu é um Pokémon do tipo elétrico introduzido na geração 2. É conhecido como o pequeno Pokémon de rato.")</f>
        <v>Pichu é um Pokémon do tipo elétrico introduzido na geração 2. É conhecido como o pequeno Pokémon de rato.</v>
      </c>
      <c r="F93" s="2" t="str">
        <f ca="1">IFERROR(__xludf.DUMMYFUNCTION("GOOGLETRANSLATE(B93,""en"",""pt"")"),"Pokémon de mouse minúsculo")</f>
        <v>Pokémon de mouse minúsculo</v>
      </c>
    </row>
    <row r="94" spans="1:6" ht="15.75" customHeight="1" x14ac:dyDescent="0.25">
      <c r="A94" s="2" t="s">
        <v>323</v>
      </c>
      <c r="B94" s="2" t="s">
        <v>99</v>
      </c>
      <c r="C94" s="2" t="s">
        <v>324</v>
      </c>
      <c r="D94" s="2" t="s">
        <v>325</v>
      </c>
      <c r="E94" s="2" t="str">
        <f ca="1">IFERROR(__xludf.DUMMYFUNCTION("GOOGLETRANSLATE(D94,""en"",""pt"")"),"Cleffa é um Pokémon do tipo fada introduzido na geração 2. É conhecido como Pokémon Star Shape.")</f>
        <v>Cleffa é um Pokémon do tipo fada introduzido na geração 2. É conhecido como Pokémon Star Shape.</v>
      </c>
      <c r="F94" s="2" t="str">
        <f ca="1">IFERROR(__xludf.DUMMYFUNCTION("GOOGLETRANSLATE(B94,""en"",""pt"")"),"Pokémon em forma de estrela")</f>
        <v>Pokémon em forma de estrela</v>
      </c>
    </row>
    <row r="95" spans="1:6" ht="15.75" customHeight="1" x14ac:dyDescent="0.25">
      <c r="A95" s="2" t="s">
        <v>326</v>
      </c>
      <c r="B95" s="2" t="s">
        <v>327</v>
      </c>
      <c r="C95" s="2" t="s">
        <v>328</v>
      </c>
      <c r="D95" s="2" t="s">
        <v>329</v>
      </c>
      <c r="E95" s="2" t="str">
        <f ca="1">IFERROR(__xludf.DUMMYFUNCTION("GOOGLETRANSLATE(D95,""en"",""pt"")"),"O IgglyBuff é um Pokémon normal/do tipo fada introduzido na geração 2. É conhecido como Pokémon de balão.")</f>
        <v>O IgglyBuff é um Pokémon normal/do tipo fada introduzido na geração 2. É conhecido como Pokémon de balão.</v>
      </c>
      <c r="F95" s="2" t="str">
        <f ca="1">IFERROR(__xludf.DUMMYFUNCTION("GOOGLETRANSLATE(B95,""en"",""pt"")"),"Pokémon de balão")</f>
        <v>Pokémon de balão</v>
      </c>
    </row>
    <row r="96" spans="1:6" ht="15.75" customHeight="1" x14ac:dyDescent="0.25">
      <c r="A96" s="2" t="s">
        <v>330</v>
      </c>
      <c r="B96" s="2" t="s">
        <v>331</v>
      </c>
      <c r="C96" s="2" t="s">
        <v>332</v>
      </c>
      <c r="D96" s="2" t="s">
        <v>333</v>
      </c>
      <c r="E96" s="2" t="str">
        <f ca="1">IFERROR(__xludf.DUMMYFUNCTION("GOOGLETRANSLATE(D96,""en"",""pt"")"),"O TOGEPI é um Pokémon do tipo fada introduzido na geração 2. É conhecido como Pokémon de Ball Spike.")</f>
        <v>O TOGEPI é um Pokémon do tipo fada introduzido na geração 2. É conhecido como Pokémon de Ball Spike.</v>
      </c>
      <c r="F96" s="2" t="str">
        <f ca="1">IFERROR(__xludf.DUMMYFUNCTION("GOOGLETRANSLATE(B96,""en"",""pt"")"),"Spike Ball Pokémon")</f>
        <v>Spike Ball Pokémon</v>
      </c>
    </row>
    <row r="97" spans="1:6" ht="15.75" customHeight="1" x14ac:dyDescent="0.25">
      <c r="A97" s="2" t="s">
        <v>334</v>
      </c>
      <c r="B97" s="2" t="s">
        <v>335</v>
      </c>
      <c r="C97" s="2" t="s">
        <v>336</v>
      </c>
      <c r="D97" s="2" t="s">
        <v>337</v>
      </c>
      <c r="E97" s="2" t="str">
        <f ca="1">IFERROR(__xludf.DUMMYFUNCTION("GOOGLETRANSLATE(D97,""en"",""pt"")"),"TOGETIC é um Pokémon do tipo de fada/voador introduzido na geração 2. É conhecido como Pokémon da Felicidade.")</f>
        <v>TOGETIC é um Pokémon do tipo de fada/voador introduzido na geração 2. É conhecido como Pokémon da Felicidade.</v>
      </c>
      <c r="F97" s="2" t="str">
        <f ca="1">IFERROR(__xludf.DUMMYFUNCTION("GOOGLETRANSLATE(B97,""en"",""pt"")"),"Pokémon de felicidade")</f>
        <v>Pokémon de felicidade</v>
      </c>
    </row>
    <row r="98" spans="1:6" ht="15.75" customHeight="1" x14ac:dyDescent="0.25">
      <c r="A98" s="2" t="s">
        <v>338</v>
      </c>
      <c r="B98" s="2" t="s">
        <v>267</v>
      </c>
      <c r="C98" s="2" t="s">
        <v>339</v>
      </c>
      <c r="D98" s="2" t="s">
        <v>340</v>
      </c>
      <c r="E98" s="2" t="str">
        <f ca="1">IFERROR(__xludf.DUMMYFUNCTION("GOOGLETRANSLATE(D98,""en"",""pt"")"),"A Natu é um Pokémon Psychic/Flying Type introduzido na geração 2. É conhecido como o pequeno Pokémon de pássaro.")</f>
        <v>A Natu é um Pokémon Psychic/Flying Type introduzido na geração 2. É conhecido como o pequeno Pokémon de pássaro.</v>
      </c>
      <c r="F98" s="2" t="str">
        <f ca="1">IFERROR(__xludf.DUMMYFUNCTION("GOOGLETRANSLATE(B98,""en"",""pt"")"),"Pokémon pequeno de pássaro")</f>
        <v>Pokémon pequeno de pássaro</v>
      </c>
    </row>
    <row r="99" spans="1:6" ht="15.75" customHeight="1" x14ac:dyDescent="0.25">
      <c r="A99" s="2" t="s">
        <v>341</v>
      </c>
      <c r="B99" s="2" t="s">
        <v>342</v>
      </c>
      <c r="C99" s="2" t="s">
        <v>343</v>
      </c>
      <c r="D99" s="2" t="s">
        <v>344</v>
      </c>
      <c r="E99" s="2" t="str">
        <f ca="1">IFERROR(__xludf.DUMMYFUNCTION("GOOGLETRANSLATE(D99,""en"",""pt"")"),"Xatu é um Pokémon psíquico/voador introduzido na geração 2. É conhecido como Pokémon Mystic.")</f>
        <v>Xatu é um Pokémon psíquico/voador introduzido na geração 2. É conhecido como Pokémon Mystic.</v>
      </c>
      <c r="F99" s="2" t="str">
        <f ca="1">IFERROR(__xludf.DUMMYFUNCTION("GOOGLETRANSLATE(B99,""en"",""pt"")"),"Pokémon místico")</f>
        <v>Pokémon místico</v>
      </c>
    </row>
    <row r="100" spans="1:6" ht="15.75" customHeight="1" x14ac:dyDescent="0.25">
      <c r="A100" s="2" t="s">
        <v>345</v>
      </c>
      <c r="B100" s="2" t="s">
        <v>346</v>
      </c>
      <c r="C100" s="2" t="s">
        <v>347</v>
      </c>
      <c r="D100" s="2" t="s">
        <v>348</v>
      </c>
      <c r="E100" s="2" t="str">
        <f ca="1">IFERROR(__xludf.DUMMYFUNCTION("GOOGLETRANSLATE(D100,""en"",""pt"")"),"Mareep é um Pokémon do tipo elétrico introduzido na geração 2. É conhecido como Pokémon de lã.")</f>
        <v>Mareep é um Pokémon do tipo elétrico introduzido na geração 2. É conhecido como Pokémon de lã.</v>
      </c>
      <c r="F100" s="2" t="str">
        <f ca="1">IFERROR(__xludf.DUMMYFUNCTION("GOOGLETRANSLATE(B100,""en"",""pt"")"),"Pokémon de lã")</f>
        <v>Pokémon de lã</v>
      </c>
    </row>
    <row r="101" spans="1:6" ht="15.75" customHeight="1" x14ac:dyDescent="0.25">
      <c r="A101" s="2" t="s">
        <v>349</v>
      </c>
      <c r="B101" s="2" t="s">
        <v>308</v>
      </c>
      <c r="C101" s="2" t="s">
        <v>350</v>
      </c>
      <c r="D101" s="2" t="s">
        <v>351</v>
      </c>
      <c r="E101" s="2" t="str">
        <f ca="1">IFERROR(__xludf.DUMMYFUNCTION("GOOGLETRANSLATE(D101,""en"",""pt"")"),"O PIDGEOT é um Pokémon normal/voador introduzido na geração 1. É conhecido como Pokémon Bird.
Pidgeot tem uma mega evolução, disponível na Omega Ruby &amp; Alpha Sapphire em diante.")</f>
        <v>O PIDGEOT é um Pokémon normal/voador introduzido na geração 1. É conhecido como Pokémon Bird.
Pidgeot tem uma mega evolução, disponível na Omega Ruby &amp; Alpha Sapphire em diante.</v>
      </c>
      <c r="F101" s="2" t="str">
        <f ca="1">IFERROR(__xludf.DUMMYFUNCTION("GOOGLETRANSLATE(B101,""en"",""pt"")"),"Pokémon de pássaro")</f>
        <v>Pokémon de pássaro</v>
      </c>
    </row>
    <row r="102" spans="1:6" ht="15.75" customHeight="1" x14ac:dyDescent="0.25">
      <c r="A102" s="2" t="s">
        <v>349</v>
      </c>
      <c r="B102" s="2" t="s">
        <v>308</v>
      </c>
      <c r="C102" s="2" t="s">
        <v>352</v>
      </c>
      <c r="D102" s="2" t="s">
        <v>351</v>
      </c>
      <c r="E102" s="2" t="str">
        <f ca="1">IFERROR(__xludf.DUMMYFUNCTION("GOOGLETRANSLATE(D102,""en"",""pt"")"),"O PIDGEOT é um Pokémon normal/voador introduzido na geração 1. É conhecido como Pokémon Bird.
Pidgeot tem uma mega evolução, disponível na Omega Ruby &amp; Alpha Sapphire em diante.")</f>
        <v>O PIDGEOT é um Pokémon normal/voador introduzido na geração 1. É conhecido como Pokémon Bird.
Pidgeot tem uma mega evolução, disponível na Omega Ruby &amp; Alpha Sapphire em diante.</v>
      </c>
      <c r="F102" s="2" t="str">
        <f ca="1">IFERROR(__xludf.DUMMYFUNCTION("GOOGLETRANSLATE(B102,""en"",""pt"")"),"Pokémon de pássaro")</f>
        <v>Pokémon de pássaro</v>
      </c>
    </row>
    <row r="103" spans="1:6" ht="15.75" customHeight="1" x14ac:dyDescent="0.25">
      <c r="A103" s="2" t="s">
        <v>353</v>
      </c>
      <c r="B103" s="2" t="s">
        <v>346</v>
      </c>
      <c r="C103" s="2" t="s">
        <v>354</v>
      </c>
      <c r="D103" s="2" t="s">
        <v>355</v>
      </c>
      <c r="E103" s="2" t="str">
        <f ca="1">IFERROR(__xludf.DUMMYFUNCTION("GOOGLETRANSLATE(D103,""en"",""pt"")"),"Flaaffy é um Pokémon do tipo elétrico introduzido na geração 2. É conhecido como Pokémon de lã.")</f>
        <v>Flaaffy é um Pokémon do tipo elétrico introduzido na geração 2. É conhecido como Pokémon de lã.</v>
      </c>
      <c r="F103" s="2" t="str">
        <f ca="1">IFERROR(__xludf.DUMMYFUNCTION("GOOGLETRANSLATE(B103,""en"",""pt"")"),"Pokémon de lã")</f>
        <v>Pokémon de lã</v>
      </c>
    </row>
    <row r="104" spans="1:6" ht="15.75" customHeight="1" x14ac:dyDescent="0.25">
      <c r="A104" s="2" t="s">
        <v>356</v>
      </c>
      <c r="B104" s="2" t="s">
        <v>316</v>
      </c>
      <c r="C104" s="2" t="s">
        <v>357</v>
      </c>
      <c r="D104" s="2" t="s">
        <v>358</v>
      </c>
      <c r="E104" s="2" t="str">
        <f ca="1">IFERROR(__xludf.DUMMYFUNCTION("GOOGLETRANSLATE(D104,""en"",""pt"")"),"O Ampharos é um Pokémon do tipo elétrico introduzido na geração 2. É conhecido como Pokémon leve.")</f>
        <v>O Ampharos é um Pokémon do tipo elétrico introduzido na geração 2. É conhecido como Pokémon leve.</v>
      </c>
      <c r="F104" s="2" t="str">
        <f ca="1">IFERROR(__xludf.DUMMYFUNCTION("GOOGLETRANSLATE(B104,""en"",""pt"")"),"Pokémon leve")</f>
        <v>Pokémon leve</v>
      </c>
    </row>
    <row r="105" spans="1:6" ht="15.75" customHeight="1" x14ac:dyDescent="0.25">
      <c r="A105" s="2" t="s">
        <v>356</v>
      </c>
      <c r="B105" s="2" t="s">
        <v>316</v>
      </c>
      <c r="C105" s="2" t="s">
        <v>359</v>
      </c>
      <c r="D105" s="2" t="s">
        <v>358</v>
      </c>
      <c r="E105" s="2" t="str">
        <f ca="1">IFERROR(__xludf.DUMMYFUNCTION("GOOGLETRANSLATE(D105,""en"",""pt"")"),"O Ampharos é um Pokémon do tipo elétrico introduzido na geração 2. É conhecido como Pokémon leve.")</f>
        <v>O Ampharos é um Pokémon do tipo elétrico introduzido na geração 2. É conhecido como Pokémon leve.</v>
      </c>
      <c r="F105" s="2" t="str">
        <f ca="1">IFERROR(__xludf.DUMMYFUNCTION("GOOGLETRANSLATE(B105,""en"",""pt"")"),"Pokémon leve")</f>
        <v>Pokémon leve</v>
      </c>
    </row>
    <row r="106" spans="1:6" ht="15.75" customHeight="1" x14ac:dyDescent="0.25">
      <c r="A106" s="2" t="s">
        <v>360</v>
      </c>
      <c r="B106" s="2" t="s">
        <v>361</v>
      </c>
      <c r="C106" s="2" t="s">
        <v>362</v>
      </c>
      <c r="D106" s="2" t="s">
        <v>363</v>
      </c>
      <c r="E106" s="2" t="str">
        <f ca="1">IFERROR(__xludf.DUMMYFUNCTION("GOOGLETRANSLATE(D106,""en"",""pt"")"),"Bellossom é um Pokémon do tipo grama introduzido na geração 2. É conhecido como Pokémon Flower.")</f>
        <v>Bellossom é um Pokémon do tipo grama introduzido na geração 2. É conhecido como Pokémon Flower.</v>
      </c>
      <c r="F106" s="2" t="str">
        <f ca="1">IFERROR(__xludf.DUMMYFUNCTION("GOOGLETRANSLATE(B106,""en"",""pt"")"),"Pokémon de flor")</f>
        <v>Pokémon de flor</v>
      </c>
    </row>
    <row r="107" spans="1:6" ht="15.75" customHeight="1" x14ac:dyDescent="0.25">
      <c r="A107" s="2" t="s">
        <v>364</v>
      </c>
      <c r="B107" s="2" t="s">
        <v>365</v>
      </c>
      <c r="C107" s="2" t="s">
        <v>366</v>
      </c>
      <c r="D107" s="2" t="s">
        <v>367</v>
      </c>
      <c r="E107" s="2" t="str">
        <f ca="1">IFERROR(__xludf.DUMMYFUNCTION("GOOGLETRANSLATE(D107,""en"",""pt"")"),"Marill é um Pokémon do tipo água/fada introduzido na geração 2. É conhecido como Pokémon Aqua Mouse.")</f>
        <v>Marill é um Pokémon do tipo água/fada introduzido na geração 2. É conhecido como Pokémon Aqua Mouse.</v>
      </c>
      <c r="F107" s="2" t="str">
        <f ca="1">IFERROR(__xludf.DUMMYFUNCTION("GOOGLETRANSLATE(B107,""en"",""pt"")"),"Pokémon Aqua Mouse")</f>
        <v>Pokémon Aqua Mouse</v>
      </c>
    </row>
    <row r="108" spans="1:6" ht="15.75" customHeight="1" x14ac:dyDescent="0.25">
      <c r="A108" s="2" t="s">
        <v>368</v>
      </c>
      <c r="B108" s="2" t="s">
        <v>369</v>
      </c>
      <c r="C108" s="2" t="s">
        <v>370</v>
      </c>
      <c r="D108" s="2" t="s">
        <v>371</v>
      </c>
      <c r="E108" s="2" t="str">
        <f ca="1">IFERROR(__xludf.DUMMYFUNCTION("GOOGLETRANSLATE(D108,""en"",""pt"")"),"Azumarill é um Pokémon do tipo água/fada introduzido na geração 2. É conhecido como Pokémon Aqua Rabbit.")</f>
        <v>Azumarill é um Pokémon do tipo água/fada introduzido na geração 2. É conhecido como Pokémon Aqua Rabbit.</v>
      </c>
      <c r="F108" s="2" t="str">
        <f ca="1">IFERROR(__xludf.DUMMYFUNCTION("GOOGLETRANSLATE(B108,""en"",""pt"")"),"Aqua Rabbit Pokémon")</f>
        <v>Aqua Rabbit Pokémon</v>
      </c>
    </row>
    <row r="109" spans="1:6" ht="15.75" customHeight="1" x14ac:dyDescent="0.25">
      <c r="A109" s="2" t="s">
        <v>372</v>
      </c>
      <c r="B109" s="2" t="s">
        <v>373</v>
      </c>
      <c r="C109" s="2" t="s">
        <v>374</v>
      </c>
      <c r="D109" s="2" t="s">
        <v>375</v>
      </c>
      <c r="E109" s="2" t="str">
        <f ca="1">IFERROR(__xludf.DUMMYFUNCTION("GOOGLETRANSLATE(D109,""en"",""pt"")"),"Sudowoodo é um Pokémon do tipo rock introduzido na geração 2. É conhecido como Pokémon de imitação.")</f>
        <v>Sudowoodo é um Pokémon do tipo rock introduzido na geração 2. É conhecido como Pokémon de imitação.</v>
      </c>
      <c r="F109" s="2" t="str">
        <f ca="1">IFERROR(__xludf.DUMMYFUNCTION("GOOGLETRANSLATE(B109,""en"",""pt"")"),"Imitação Pokémon")</f>
        <v>Imitação Pokémon</v>
      </c>
    </row>
    <row r="110" spans="1:6" ht="15.75" customHeight="1" x14ac:dyDescent="0.25">
      <c r="A110" s="2" t="s">
        <v>376</v>
      </c>
      <c r="B110" s="2" t="s">
        <v>377</v>
      </c>
      <c r="C110" s="2" t="s">
        <v>378</v>
      </c>
      <c r="D110" s="2" t="s">
        <v>379</v>
      </c>
      <c r="E110" s="2" t="str">
        <f ca="1">IFERROR(__xludf.DUMMYFUNCTION("GOOGLETRANSLATE(D110,""en"",""pt"")"),"O PolitOed é um Pokémon do tipo água introduzido na geração 2. É conhecido como o Pokémon do sapo.")</f>
        <v>O PolitOed é um Pokémon do tipo água introduzido na geração 2. É conhecido como o Pokémon do sapo.</v>
      </c>
      <c r="F110" s="2" t="str">
        <f ca="1">IFERROR(__xludf.DUMMYFUNCTION("GOOGLETRANSLATE(B110,""en"",""pt"")"),"Pokémon de sapo")</f>
        <v>Pokémon de sapo</v>
      </c>
    </row>
    <row r="111" spans="1:6" ht="15.75" customHeight="1" x14ac:dyDescent="0.25">
      <c r="A111" s="2" t="s">
        <v>380</v>
      </c>
      <c r="B111" s="2" t="s">
        <v>381</v>
      </c>
      <c r="C111" s="2" t="s">
        <v>382</v>
      </c>
      <c r="D111" s="2" t="s">
        <v>383</v>
      </c>
      <c r="E111" s="2" t="str">
        <f ca="1">IFERROR(__xludf.DUMMYFUNCTION("GOOGLETRANSLATE(D111,""en"",""pt"")"),"Hoppip é um Pokémon do tipo grama/voador introduzido na geração 2. É conhecido como Pokémon de Cottonweed.")</f>
        <v>Hoppip é um Pokémon do tipo grama/voador introduzido na geração 2. É conhecido como Pokémon de Cottonweed.</v>
      </c>
      <c r="F111" s="2" t="str">
        <f ca="1">IFERROR(__xludf.DUMMYFUNCTION("GOOGLETRANSLATE(B111,""en"",""pt"")"),"Cottonweed Pokémon")</f>
        <v>Cottonweed Pokémon</v>
      </c>
    </row>
    <row r="112" spans="1:6" ht="15.75" customHeight="1" x14ac:dyDescent="0.25">
      <c r="A112" s="2" t="s">
        <v>384</v>
      </c>
      <c r="B112" s="2" t="s">
        <v>381</v>
      </c>
      <c r="C112" s="2" t="s">
        <v>385</v>
      </c>
      <c r="D112" s="2" t="s">
        <v>386</v>
      </c>
      <c r="E112" s="2" t="str">
        <f ca="1">IFERROR(__xludf.DUMMYFUNCTION("GOOGLETRANSLATE(D112,""en"",""pt"")"),"Skiploom é um Pokémon do tipo grama/voador introduzido na geração 2. É conhecido como Pokémon de Cottonweed.")</f>
        <v>Skiploom é um Pokémon do tipo grama/voador introduzido na geração 2. É conhecido como Pokémon de Cottonweed.</v>
      </c>
      <c r="F112" s="2" t="str">
        <f ca="1">IFERROR(__xludf.DUMMYFUNCTION("GOOGLETRANSLATE(B112,""en"",""pt"")"),"Cottonweed Pokémon")</f>
        <v>Cottonweed Pokémon</v>
      </c>
    </row>
    <row r="113" spans="1:6" ht="15.75" customHeight="1" x14ac:dyDescent="0.25">
      <c r="A113" s="2" t="s">
        <v>387</v>
      </c>
      <c r="B113" s="2" t="s">
        <v>381</v>
      </c>
      <c r="C113" s="2" t="s">
        <v>388</v>
      </c>
      <c r="D113" s="2" t="s">
        <v>389</v>
      </c>
      <c r="E113" s="2" t="str">
        <f ca="1">IFERROR(__xludf.DUMMYFUNCTION("GOOGLETRANSLATE(D113,""en"",""pt"")"),"O JumPluff é um Pokémon do tipo grama/voador introduzido na geração 2. É conhecido como Pokémon de Cottonweed.")</f>
        <v>O JumPluff é um Pokémon do tipo grama/voador introduzido na geração 2. É conhecido como Pokémon de Cottonweed.</v>
      </c>
      <c r="F113" s="2" t="str">
        <f ca="1">IFERROR(__xludf.DUMMYFUNCTION("GOOGLETRANSLATE(B113,""en"",""pt"")"),"Cottonweed Pokémon")</f>
        <v>Cottonweed Pokémon</v>
      </c>
    </row>
    <row r="114" spans="1:6" ht="15.75" customHeight="1" x14ac:dyDescent="0.25">
      <c r="A114" s="2" t="s">
        <v>390</v>
      </c>
      <c r="B114" s="2" t="s">
        <v>391</v>
      </c>
      <c r="C114" s="2" t="s">
        <v>392</v>
      </c>
      <c r="D114" s="2" t="s">
        <v>393</v>
      </c>
      <c r="E114" s="2" t="str">
        <f ca="1">IFERROR(__xludf.DUMMYFUNCTION("GOOGLETRANSLATE(D114,""en"",""pt"")"),"Rattata é um Pokémon do tipo normal introduzido na geração 1. É conhecido como Pokémon de Mouse.
Rattata tem uma nova forma Alolan introduzida em Pokémon Sun/Moon.")</f>
        <v>Rattata é um Pokémon do tipo normal introduzido na geração 1. É conhecido como Pokémon de Mouse.
Rattata tem uma nova forma Alolan introduzida em Pokémon Sun/Moon.</v>
      </c>
      <c r="F114" s="2" t="str">
        <f ca="1">IFERROR(__xludf.DUMMYFUNCTION("GOOGLETRANSLATE(B114,""en"",""pt"")"),"Pokémon de mouse")</f>
        <v>Pokémon de mouse</v>
      </c>
    </row>
    <row r="115" spans="1:6" ht="15.75" customHeight="1" x14ac:dyDescent="0.25">
      <c r="A115" s="2" t="s">
        <v>390</v>
      </c>
      <c r="B115" s="2" t="s">
        <v>391</v>
      </c>
      <c r="C115" s="2" t="s">
        <v>394</v>
      </c>
      <c r="D115" s="2" t="s">
        <v>393</v>
      </c>
      <c r="E115" s="2" t="str">
        <f ca="1">IFERROR(__xludf.DUMMYFUNCTION("GOOGLETRANSLATE(D115,""en"",""pt"")"),"Rattata é um Pokémon do tipo normal introduzido na geração 1. É conhecido como Pokémon de Mouse.
Rattata tem uma nova forma Alolan introduzida em Pokémon Sun/Moon.")</f>
        <v>Rattata é um Pokémon do tipo normal introduzido na geração 1. É conhecido como Pokémon de Mouse.
Rattata tem uma nova forma Alolan introduzida em Pokémon Sun/Moon.</v>
      </c>
      <c r="F115" s="2" t="str">
        <f ca="1">IFERROR(__xludf.DUMMYFUNCTION("GOOGLETRANSLATE(B115,""en"",""pt"")"),"Pokémon de mouse")</f>
        <v>Pokémon de mouse</v>
      </c>
    </row>
    <row r="116" spans="1:6" ht="15.75" customHeight="1" x14ac:dyDescent="0.25">
      <c r="A116" s="2" t="s">
        <v>395</v>
      </c>
      <c r="B116" s="2" t="s">
        <v>396</v>
      </c>
      <c r="C116" s="2" t="s">
        <v>397</v>
      </c>
      <c r="D116" s="2" t="s">
        <v>398</v>
      </c>
      <c r="E116" s="2" t="str">
        <f ca="1">IFERROR(__xludf.DUMMYFUNCTION("GOOGLETRANSLATE(D116,""en"",""pt"")"),"O AIPOM é um Pokémon do tipo normal introduzido na geração 2. É conhecido como Pokémon de cauda longa.")</f>
        <v>O AIPOM é um Pokémon do tipo normal introduzido na geração 2. É conhecido como Pokémon de cauda longa.</v>
      </c>
      <c r="F116" s="2" t="str">
        <f ca="1">IFERROR(__xludf.DUMMYFUNCTION("GOOGLETRANSLATE(B116,""en"",""pt"")"),"Pokémon de cauda longa")</f>
        <v>Pokémon de cauda longa</v>
      </c>
    </row>
    <row r="117" spans="1:6" ht="15.75" customHeight="1" x14ac:dyDescent="0.25">
      <c r="A117" s="2" t="s">
        <v>399</v>
      </c>
      <c r="B117" s="2" t="s">
        <v>5</v>
      </c>
      <c r="C117" s="2" t="s">
        <v>400</v>
      </c>
      <c r="D117" s="2" t="s">
        <v>401</v>
      </c>
      <c r="E117" s="2" t="str">
        <f ca="1">IFERROR(__xludf.DUMMYFUNCTION("GOOGLETRANSLATE(D117,""en"",""pt"")"),"A Sunkern é um Pokémon do tipo grama introduzido na geração 2. É conhecido como Pokémon de sementes.")</f>
        <v>A Sunkern é um Pokémon do tipo grama introduzido na geração 2. É conhecido como Pokémon de sementes.</v>
      </c>
      <c r="F117" s="2" t="str">
        <f ca="1">IFERROR(__xludf.DUMMYFUNCTION("GOOGLETRANSLATE(B117,""en"",""pt"")"),"Pokémon de semente")</f>
        <v>Pokémon de semente</v>
      </c>
    </row>
    <row r="118" spans="1:6" ht="15.75" customHeight="1" x14ac:dyDescent="0.25">
      <c r="A118" s="2" t="s">
        <v>402</v>
      </c>
      <c r="B118" s="2" t="s">
        <v>403</v>
      </c>
      <c r="C118" s="2" t="s">
        <v>404</v>
      </c>
      <c r="D118" s="2" t="s">
        <v>405</v>
      </c>
      <c r="E118" s="2" t="str">
        <f ca="1">IFERROR(__xludf.DUMMYFUNCTION("GOOGLETRANSLATE(D118,""en"",""pt"")"),"A Sunflora é um Pokémon do tipo grama introduzido na geração 2. É conhecido como Pokémon Sun.")</f>
        <v>A Sunflora é um Pokémon do tipo grama introduzido na geração 2. É conhecido como Pokémon Sun.</v>
      </c>
      <c r="F118" s="2" t="str">
        <f ca="1">IFERROR(__xludf.DUMMYFUNCTION("GOOGLETRANSLATE(B118,""en"",""pt"")"),"Pokémon de sol")</f>
        <v>Pokémon de sol</v>
      </c>
    </row>
    <row r="119" spans="1:6" ht="15.75" customHeight="1" x14ac:dyDescent="0.25">
      <c r="A119" s="2" t="s">
        <v>406</v>
      </c>
      <c r="B119" s="2" t="s">
        <v>407</v>
      </c>
      <c r="C119" s="2" t="s">
        <v>408</v>
      </c>
      <c r="D119" s="2" t="s">
        <v>409</v>
      </c>
      <c r="E119" s="2" t="str">
        <f ca="1">IFERROR(__xludf.DUMMYFUNCTION("GOOGLETRANSLATE(D119,""en"",""pt"")"),"Yanma é um Pokémon do tipo bug/voador introduzido na geração 2. É conhecido como Pokémon de asa clara.")</f>
        <v>Yanma é um Pokémon do tipo bug/voador introduzido na geração 2. É conhecido como Pokémon de asa clara.</v>
      </c>
      <c r="F119" s="2" t="str">
        <f ca="1">IFERROR(__xludf.DUMMYFUNCTION("GOOGLETRANSLATE(B119,""en"",""pt"")"),"Pokémon de asa clara")</f>
        <v>Pokémon de asa clara</v>
      </c>
    </row>
    <row r="120" spans="1:6" ht="15.75" customHeight="1" x14ac:dyDescent="0.25">
      <c r="A120" s="2" t="s">
        <v>410</v>
      </c>
      <c r="B120" s="2" t="s">
        <v>411</v>
      </c>
      <c r="C120" s="2" t="s">
        <v>412</v>
      </c>
      <c r="D120" s="2" t="s">
        <v>413</v>
      </c>
      <c r="E120" s="2" t="str">
        <f ca="1">IFERROR(__xludf.DUMMYFUNCTION("GOOGLETRANSLATE(D120,""en"",""pt"")"),"Wooper é um Pokémon do tipo água/terra introduzido na geração 2. É conhecido como Pokémon de peixes aquáticos.")</f>
        <v>Wooper é um Pokémon do tipo água/terra introduzido na geração 2. É conhecido como Pokémon de peixes aquáticos.</v>
      </c>
      <c r="F120" s="2" t="str">
        <f ca="1">IFERROR(__xludf.DUMMYFUNCTION("GOOGLETRANSLATE(B120,""en"",""pt"")"),"Pokémon de peixe aquático")</f>
        <v>Pokémon de peixe aquático</v>
      </c>
    </row>
    <row r="121" spans="1:6" ht="15.75" customHeight="1" x14ac:dyDescent="0.25">
      <c r="A121" s="2" t="s">
        <v>414</v>
      </c>
      <c r="B121" s="2" t="s">
        <v>411</v>
      </c>
      <c r="C121" s="2" t="s">
        <v>415</v>
      </c>
      <c r="D121" s="2" t="s">
        <v>416</v>
      </c>
      <c r="E121" s="2" t="str">
        <f ca="1">IFERROR(__xludf.DUMMYFUNCTION("GOOGLETRANSLATE(D121,""en"",""pt"")"),"Quagsire é um Pokémon do tipo água/terra introduzido na geração 2. É conhecido como Pokémon de peixes aquáticos.")</f>
        <v>Quagsire é um Pokémon do tipo água/terra introduzido na geração 2. É conhecido como Pokémon de peixes aquáticos.</v>
      </c>
      <c r="F121" s="2" t="str">
        <f ca="1">IFERROR(__xludf.DUMMYFUNCTION("GOOGLETRANSLATE(B121,""en"",""pt"")"),"Pokémon de peixe aquático")</f>
        <v>Pokémon de peixe aquático</v>
      </c>
    </row>
    <row r="122" spans="1:6" ht="15.75" customHeight="1" x14ac:dyDescent="0.25">
      <c r="A122" s="2" t="s">
        <v>417</v>
      </c>
      <c r="B122" s="2" t="s">
        <v>403</v>
      </c>
      <c r="C122" s="2" t="s">
        <v>418</v>
      </c>
      <c r="D122" s="2" t="s">
        <v>419</v>
      </c>
      <c r="E122" s="2" t="str">
        <f ca="1">IFERROR(__xludf.DUMMYFUNCTION("GOOGLETRANSLATE(D122,""en"",""pt"")"),"Espeon é um Pokémon do tipo psíquico introduzido na geração 2. É conhecido como Pokémon Sun.")</f>
        <v>Espeon é um Pokémon do tipo psíquico introduzido na geração 2. É conhecido como Pokémon Sun.</v>
      </c>
      <c r="F122" s="2" t="str">
        <f ca="1">IFERROR(__xludf.DUMMYFUNCTION("GOOGLETRANSLATE(B122,""en"",""pt"")"),"Pokémon de sol")</f>
        <v>Pokémon de sol</v>
      </c>
    </row>
    <row r="123" spans="1:6" ht="15.75" customHeight="1" x14ac:dyDescent="0.25">
      <c r="A123" s="2" t="s">
        <v>420</v>
      </c>
      <c r="B123" s="2" t="s">
        <v>421</v>
      </c>
      <c r="C123" s="2" t="s">
        <v>422</v>
      </c>
      <c r="D123" s="2" t="s">
        <v>423</v>
      </c>
      <c r="E123" s="2" t="str">
        <f ca="1">IFERROR(__xludf.DUMMYFUNCTION("GOOGLETRANSLATE(D123,""en"",""pt"")"),"Umbreon é um Pokémon do tipo escuro introduzido na geração 2. É conhecido como Pokémon Moonlight.")</f>
        <v>Umbreon é um Pokémon do tipo escuro introduzido na geração 2. É conhecido como Pokémon Moonlight.</v>
      </c>
      <c r="F123" s="2" t="str">
        <f ca="1">IFERROR(__xludf.DUMMYFUNCTION("GOOGLETRANSLATE(B123,""en"",""pt"")"),"Pokémon da luz da lua")</f>
        <v>Pokémon da luz da lua</v>
      </c>
    </row>
    <row r="124" spans="1:6" ht="15.75" customHeight="1" x14ac:dyDescent="0.25">
      <c r="A124" s="2" t="s">
        <v>424</v>
      </c>
      <c r="B124" s="2" t="s">
        <v>425</v>
      </c>
      <c r="C124" s="2" t="s">
        <v>426</v>
      </c>
      <c r="D124" s="2" t="s">
        <v>427</v>
      </c>
      <c r="E124" s="2" t="str">
        <f ca="1">IFERROR(__xludf.DUMMYFUNCTION("GOOGLETRANSLATE(D124,""en"",""pt"")"),"Murkrow é um Pokémon do tipo escuro/voador introduzido na geração 2. É conhecido como Pokémon Darkness.")</f>
        <v>Murkrow é um Pokémon do tipo escuro/voador introduzido na geração 2. É conhecido como Pokémon Darkness.</v>
      </c>
      <c r="F124" s="2" t="str">
        <f ca="1">IFERROR(__xludf.DUMMYFUNCTION("GOOGLETRANSLATE(B124,""en"",""pt"")"),"Pokémon da escuridão")</f>
        <v>Pokémon da escuridão</v>
      </c>
    </row>
    <row r="125" spans="1:6" ht="15.75" customHeight="1" x14ac:dyDescent="0.25">
      <c r="A125" s="2" t="s">
        <v>428</v>
      </c>
      <c r="B125" s="2" t="s">
        <v>429</v>
      </c>
      <c r="C125" s="2" t="s">
        <v>430</v>
      </c>
      <c r="D125" s="2" t="s">
        <v>431</v>
      </c>
      <c r="E125" s="2" t="str">
        <f ca="1">IFERROR(__xludf.DUMMYFUNCTION("GOOGLETRANSLATE(D125,""en"",""pt"")"),"Slowking é um Pokémon do tipo água/psíquico introduzido na geração 2. É conhecido como Pokémon Royal.")</f>
        <v>Slowking é um Pokémon do tipo água/psíquico introduzido na geração 2. É conhecido como Pokémon Royal.</v>
      </c>
      <c r="F125" s="2" t="str">
        <f ca="1">IFERROR(__xludf.DUMMYFUNCTION("GOOGLETRANSLATE(B125,""en"",""pt"")"),"Pokémon real")</f>
        <v>Pokémon real</v>
      </c>
    </row>
    <row r="126" spans="1:6" ht="15.75" customHeight="1" x14ac:dyDescent="0.25">
      <c r="A126" s="2" t="s">
        <v>432</v>
      </c>
      <c r="B126" s="2" t="s">
        <v>5</v>
      </c>
      <c r="C126" s="2" t="s">
        <v>433</v>
      </c>
      <c r="D126" s="2" t="s">
        <v>434</v>
      </c>
      <c r="E126" s="2" t="str">
        <f ca="1">IFERROR(__xludf.DUMMYFUNCTION("GOOGLETRANSLATE(D126,""en"",""pt"")"),"Ivysaur é um Pokémon do tipo grama/veneno introduzido na geração 1. É conhecido como Pokémon de sementes.")</f>
        <v>Ivysaur é um Pokémon do tipo grama/veneno introduzido na geração 1. É conhecido como Pokémon de sementes.</v>
      </c>
      <c r="F126" s="2" t="str">
        <f ca="1">IFERROR(__xludf.DUMMYFUNCTION("GOOGLETRANSLATE(B126,""en"",""pt"")"),"Pokémon de semente")</f>
        <v>Pokémon de semente</v>
      </c>
    </row>
    <row r="127" spans="1:6" ht="15.75" customHeight="1" x14ac:dyDescent="0.25">
      <c r="A127" s="2" t="s">
        <v>435</v>
      </c>
      <c r="B127" s="2" t="s">
        <v>391</v>
      </c>
      <c r="C127" s="2" t="s">
        <v>436</v>
      </c>
      <c r="D127" s="2" t="s">
        <v>437</v>
      </c>
      <c r="E127" s="2" t="str">
        <f ca="1">IFERROR(__xludf.DUMMYFUNCTION("GOOGLETRANSLATE(D127,""en"",""pt"")"),"O raticato é um Pokémon do tipo normal introduzido na geração 1. É conhecido como Pokémon do mouse.")</f>
        <v>O raticato é um Pokémon do tipo normal introduzido na geração 1. É conhecido como Pokémon do mouse.</v>
      </c>
      <c r="F127" s="2" t="str">
        <f ca="1">IFERROR(__xludf.DUMMYFUNCTION("GOOGLETRANSLATE(B127,""en"",""pt"")"),"Pokémon de mouse")</f>
        <v>Pokémon de mouse</v>
      </c>
    </row>
    <row r="128" spans="1:6" ht="15.75" customHeight="1" x14ac:dyDescent="0.25">
      <c r="A128" s="2" t="s">
        <v>435</v>
      </c>
      <c r="B128" s="2" t="s">
        <v>391</v>
      </c>
      <c r="C128" s="2" t="s">
        <v>438</v>
      </c>
      <c r="D128" s="2" t="s">
        <v>437</v>
      </c>
      <c r="E128" s="2" t="str">
        <f ca="1">IFERROR(__xludf.DUMMYFUNCTION("GOOGLETRANSLATE(D128,""en"",""pt"")"),"O raticato é um Pokémon do tipo normal introduzido na geração 1. É conhecido como Pokémon do mouse.")</f>
        <v>O raticato é um Pokémon do tipo normal introduzido na geração 1. É conhecido como Pokémon do mouse.</v>
      </c>
      <c r="F128" s="2" t="str">
        <f ca="1">IFERROR(__xludf.DUMMYFUNCTION("GOOGLETRANSLATE(B128,""en"",""pt"")"),"Pokémon de mouse")</f>
        <v>Pokémon de mouse</v>
      </c>
    </row>
    <row r="129" spans="1:6" ht="15.75" customHeight="1" x14ac:dyDescent="0.25">
      <c r="A129" s="2" t="s">
        <v>439</v>
      </c>
      <c r="B129" s="2" t="s">
        <v>440</v>
      </c>
      <c r="C129" s="2" t="s">
        <v>441</v>
      </c>
      <c r="D129" s="2" t="s">
        <v>442</v>
      </c>
      <c r="E129" s="2" t="str">
        <f ca="1">IFERROR(__xludf.DUMMYFUNCTION("GOOGLETRANSLATE(D129,""en"",""pt"")"),"Misdravus é um Pokémon do tipo fantasma introduzido na geração 2. É conhecido como Pokémon Screech.")</f>
        <v>Misdravus é um Pokémon do tipo fantasma introduzido na geração 2. É conhecido como Pokémon Screech.</v>
      </c>
      <c r="F129" s="2" t="str">
        <f ca="1">IFERROR(__xludf.DUMMYFUNCTION("GOOGLETRANSLATE(B129,""en"",""pt"")"),"Pokémon screech")</f>
        <v>Pokémon screech</v>
      </c>
    </row>
    <row r="130" spans="1:6" ht="15.75" customHeight="1" x14ac:dyDescent="0.25">
      <c r="A130" s="2" t="s">
        <v>443</v>
      </c>
      <c r="B130" s="2" t="s">
        <v>444</v>
      </c>
      <c r="C130" s="2" t="s">
        <v>445</v>
      </c>
      <c r="D130" s="2" t="s">
        <v>446</v>
      </c>
      <c r="E130" s="2" t="str">
        <f ca="1">IFERROR(__xludf.DUMMYFUNCTION("GOOGLETRANSLATE(D130,""en"",""pt"")"),"O UNOWN é um Pokémon do tipo psíquico introduzido na geração 2. É conhecido como Pokémon de Símbolo.")</f>
        <v>O UNOWN é um Pokémon do tipo psíquico introduzido na geração 2. É conhecido como Pokémon de Símbolo.</v>
      </c>
      <c r="F130" s="2" t="str">
        <f ca="1">IFERROR(__xludf.DUMMYFUNCTION("GOOGLETRANSLATE(B130,""en"",""pt"")"),"Pokémon de símbolo")</f>
        <v>Pokémon de símbolo</v>
      </c>
    </row>
    <row r="131" spans="1:6" ht="15.75" customHeight="1" x14ac:dyDescent="0.25">
      <c r="A131" s="2" t="s">
        <v>447</v>
      </c>
      <c r="B131" s="2" t="s">
        <v>448</v>
      </c>
      <c r="C131" s="2" t="s">
        <v>449</v>
      </c>
      <c r="D131" s="2" t="s">
        <v>450</v>
      </c>
      <c r="E131" s="2" t="str">
        <f ca="1">IFERROR(__xludf.DUMMYFUNCTION("GOOGLETRANSLATE(D131,""en"",""pt"")"),"Wobbuffet é um Pokémon do tipo psíquico introduzido na geração 2. É conhecido como Pokémon do paciente.")</f>
        <v>Wobbuffet é um Pokémon do tipo psíquico introduzido na geração 2. É conhecido como Pokémon do paciente.</v>
      </c>
      <c r="F131" s="2" t="str">
        <f ca="1">IFERROR(__xludf.DUMMYFUNCTION("GOOGLETRANSLATE(B131,""en"",""pt"")"),"Pokémon do paciente")</f>
        <v>Pokémon do paciente</v>
      </c>
    </row>
    <row r="132" spans="1:6" ht="15.75" customHeight="1" x14ac:dyDescent="0.25">
      <c r="A132" s="2" t="s">
        <v>451</v>
      </c>
      <c r="B132" s="2" t="s">
        <v>452</v>
      </c>
      <c r="C132" s="2" t="s">
        <v>453</v>
      </c>
      <c r="D132" s="2" t="s">
        <v>454</v>
      </c>
      <c r="E132" s="2" t="str">
        <f ca="1">IFERROR(__xludf.DUMMYFUNCTION("GOOGLETRANSLATE(D132,""en"",""pt"")"),"Girafarig é um Pokémon normal/psíquico introduzido na geração 2. É conhecido como Pokémon Long Neck.")</f>
        <v>Girafarig é um Pokémon normal/psíquico introduzido na geração 2. É conhecido como Pokémon Long Neck.</v>
      </c>
      <c r="F132" s="2" t="str">
        <f ca="1">IFERROR(__xludf.DUMMYFUNCTION("GOOGLETRANSLATE(B132,""en"",""pt"")"),"Pokémon longo do pescoço")</f>
        <v>Pokémon longo do pescoço</v>
      </c>
    </row>
    <row r="133" spans="1:6" ht="15.75" customHeight="1" x14ac:dyDescent="0.25">
      <c r="A133" s="2" t="s">
        <v>455</v>
      </c>
      <c r="B133" s="2" t="s">
        <v>456</v>
      </c>
      <c r="C133" s="2" t="s">
        <v>457</v>
      </c>
      <c r="D133" s="2" t="s">
        <v>458</v>
      </c>
      <c r="E133" s="2" t="str">
        <f ca="1">IFERROR(__xludf.DUMMYFUNCTION("GOOGLETRANSLATE(D133,""en"",""pt"")"),"O Pineco é um Pokémon do tipo bug introduzido na geração 2. É conhecido como Pokémon de Bagworm.")</f>
        <v>O Pineco é um Pokémon do tipo bug introduzido na geração 2. É conhecido como Pokémon de Bagworm.</v>
      </c>
      <c r="F133" s="2" t="str">
        <f ca="1">IFERROR(__xludf.DUMMYFUNCTION("GOOGLETRANSLATE(B133,""en"",""pt"")"),"Pokémon Pokémon")</f>
        <v>Pokémon Pokémon</v>
      </c>
    </row>
    <row r="134" spans="1:6" ht="15.75" customHeight="1" x14ac:dyDescent="0.25">
      <c r="A134" s="2" t="s">
        <v>459</v>
      </c>
      <c r="B134" s="2" t="s">
        <v>456</v>
      </c>
      <c r="C134" s="2" t="s">
        <v>460</v>
      </c>
      <c r="D134" s="2" t="s">
        <v>461</v>
      </c>
      <c r="E134" s="2" t="str">
        <f ca="1">IFERROR(__xludf.DUMMYFUNCTION("GOOGLETRANSLATE(D134,""en"",""pt"")"),"O ForreRress é um Pokémon do tipo bug/aço introduzido na geração 2. É conhecido como Pokémon de Bagworm.")</f>
        <v>O ForreRress é um Pokémon do tipo bug/aço introduzido na geração 2. É conhecido como Pokémon de Bagworm.</v>
      </c>
      <c r="F134" s="2" t="str">
        <f ca="1">IFERROR(__xludf.DUMMYFUNCTION("GOOGLETRANSLATE(B134,""en"",""pt"")"),"Pokémon Pokémon")</f>
        <v>Pokémon Pokémon</v>
      </c>
    </row>
    <row r="135" spans="1:6" ht="15.75" customHeight="1" x14ac:dyDescent="0.25">
      <c r="A135" s="2" t="s">
        <v>462</v>
      </c>
      <c r="B135" s="2" t="s">
        <v>463</v>
      </c>
      <c r="C135" s="2" t="s">
        <v>464</v>
      </c>
      <c r="D135" s="2" t="s">
        <v>465</v>
      </c>
      <c r="E135" s="2" t="str">
        <f ca="1">IFERROR(__xludf.DUMMYFUNCTION("GOOGLETRANSLATE(D135,""en"",""pt"")"),"Dunsparce é um Pokémon do tipo normal introduzido na geração 2. É conhecido como Pokémon de cobra terrestre.")</f>
        <v>Dunsparce é um Pokémon do tipo normal introduzido na geração 2. É conhecido como Pokémon de cobra terrestre.</v>
      </c>
      <c r="F135" s="2" t="str">
        <f ca="1">IFERROR(__xludf.DUMMYFUNCTION("GOOGLETRANSLATE(B135,""en"",""pt"")"),"Pokémon de cobra terrestre")</f>
        <v>Pokémon de cobra terrestre</v>
      </c>
    </row>
    <row r="136" spans="1:6" ht="15.75" customHeight="1" x14ac:dyDescent="0.25">
      <c r="A136" s="2" t="s">
        <v>466</v>
      </c>
      <c r="B136" s="2" t="s">
        <v>467</v>
      </c>
      <c r="C136" s="2" t="s">
        <v>468</v>
      </c>
      <c r="D136" s="2" t="s">
        <v>469</v>
      </c>
      <c r="E136" s="2" t="str">
        <f ca="1">IFERROR(__xludf.DUMMYFUNCTION("GOOGLETRANSLATE(D136,""en"",""pt"")"),"O Gligar é um Pokémon de Terra -Flama/Vôo introduzido na geração 2. É conhecido como Pokémon Flyscorpion.")</f>
        <v>O Gligar é um Pokémon de Terra -Flama/Vôo introduzido na geração 2. É conhecido como Pokémon Flyscorpion.</v>
      </c>
      <c r="F136" s="2" t="str">
        <f ca="1">IFERROR(__xludf.DUMMYFUNCTION("GOOGLETRANSLATE(B136,""en"",""pt"")"),"Pokémon Flyscorpion")</f>
        <v>Pokémon Flyscorpion</v>
      </c>
    </row>
    <row r="137" spans="1:6" ht="15.75" customHeight="1" x14ac:dyDescent="0.25">
      <c r="A137" s="2" t="s">
        <v>470</v>
      </c>
      <c r="B137" s="2" t="s">
        <v>471</v>
      </c>
      <c r="C137" s="2" t="s">
        <v>472</v>
      </c>
      <c r="D137" s="2" t="s">
        <v>473</v>
      </c>
      <c r="E137" s="2" t="str">
        <f ca="1">IFERROR(__xludf.DUMMYFUNCTION("GOOGLETRANSLATE(D137,""en"",""pt"")"),"O Steelix é um Pokémon do tipo aço/terra introduzido na geração 2. É conhecido como Pokémon de cobra de ferro.
A Steelix tem uma mega evolução, disponível na Omega Ruby &amp; Alpha Sapphire em diante.")</f>
        <v>O Steelix é um Pokémon do tipo aço/terra introduzido na geração 2. É conhecido como Pokémon de cobra de ferro.
A Steelix tem uma mega evolução, disponível na Omega Ruby &amp; Alpha Sapphire em diante.</v>
      </c>
      <c r="F137" s="2" t="str">
        <f ca="1">IFERROR(__xludf.DUMMYFUNCTION("GOOGLETRANSLATE(B137,""en"",""pt"")"),"Pokémon de cobra de ferro")</f>
        <v>Pokémon de cobra de ferro</v>
      </c>
    </row>
    <row r="138" spans="1:6" ht="15.75" customHeight="1" x14ac:dyDescent="0.25">
      <c r="A138" s="2" t="s">
        <v>470</v>
      </c>
      <c r="B138" s="2" t="s">
        <v>471</v>
      </c>
      <c r="C138" s="2" t="s">
        <v>474</v>
      </c>
      <c r="D138" s="2" t="s">
        <v>473</v>
      </c>
      <c r="E138" s="2" t="str">
        <f ca="1">IFERROR(__xludf.DUMMYFUNCTION("GOOGLETRANSLATE(D138,""en"",""pt"")"),"O Steelix é um Pokémon do tipo aço/terra introduzido na geração 2. É conhecido como Pokémon de cobra de ferro.
A Steelix tem uma mega evolução, disponível na Omega Ruby &amp; Alpha Sapphire em diante.")</f>
        <v>O Steelix é um Pokémon do tipo aço/terra introduzido na geração 2. É conhecido como Pokémon de cobra de ferro.
A Steelix tem uma mega evolução, disponível na Omega Ruby &amp; Alpha Sapphire em diante.</v>
      </c>
      <c r="F138" s="2" t="str">
        <f ca="1">IFERROR(__xludf.DUMMYFUNCTION("GOOGLETRANSLATE(B138,""en"",""pt"")"),"Pokémon de cobra de ferro")</f>
        <v>Pokémon de cobra de ferro</v>
      </c>
    </row>
    <row r="139" spans="1:6" ht="15.75" customHeight="1" x14ac:dyDescent="0.25">
      <c r="A139" s="2" t="s">
        <v>475</v>
      </c>
      <c r="B139" s="2" t="s">
        <v>476</v>
      </c>
      <c r="C139" s="2" t="s">
        <v>477</v>
      </c>
      <c r="D139" s="2" t="s">
        <v>478</v>
      </c>
      <c r="E139" s="2" t="str">
        <f ca="1">IFERROR(__xludf.DUMMYFUNCTION("GOOGLETRANSLATE(D139,""en"",""pt"")"),"O Snubbull é um Pokémon do tipo fada introduzido na geração 2. É conhecido como Pokémon de Fada.")</f>
        <v>O Snubbull é um Pokémon do tipo fada introduzido na geração 2. É conhecido como Pokémon de Fada.</v>
      </c>
      <c r="F139" s="2" t="str">
        <f ca="1">IFERROR(__xludf.DUMMYFUNCTION("GOOGLETRANSLATE(B139,""en"",""pt"")"),"Pokémon de fada")</f>
        <v>Pokémon de fada</v>
      </c>
    </row>
    <row r="140" spans="1:6" ht="15.75" customHeight="1" x14ac:dyDescent="0.25">
      <c r="A140" s="2" t="s">
        <v>479</v>
      </c>
      <c r="B140" s="2" t="s">
        <v>267</v>
      </c>
      <c r="C140" s="2" t="s">
        <v>480</v>
      </c>
      <c r="D140" s="2" t="s">
        <v>481</v>
      </c>
      <c r="E140" s="2" t="str">
        <f ca="1">IFERROR(__xludf.DUMMYFUNCTION("GOOGLETRANSLATE(D140,""en"",""pt"")"),"Spearow é um Pokémon Normal/Voador Introduzido na Geração 1. É conhecido como o pequeno Pokémon de pássaro.")</f>
        <v>Spearow é um Pokémon Normal/Voador Introduzido na Geração 1. É conhecido como o pequeno Pokémon de pássaro.</v>
      </c>
      <c r="F140" s="2" t="str">
        <f ca="1">IFERROR(__xludf.DUMMYFUNCTION("GOOGLETRANSLATE(B140,""en"",""pt"")"),"Pokémon pequeno de pássaro")</f>
        <v>Pokémon pequeno de pássaro</v>
      </c>
    </row>
    <row r="141" spans="1:6" ht="15.75" customHeight="1" x14ac:dyDescent="0.25">
      <c r="A141" s="2" t="s">
        <v>482</v>
      </c>
      <c r="B141" s="2" t="s">
        <v>476</v>
      </c>
      <c r="C141" s="2" t="s">
        <v>483</v>
      </c>
      <c r="D141" s="2" t="s">
        <v>484</v>
      </c>
      <c r="E141" s="2" t="str">
        <f ca="1">IFERROR(__xludf.DUMMYFUNCTION("GOOGLETRANSLATE(D141,""en"",""pt"")"),"Granbull é um Pokémon do tipo fada introduzido na geração 2. É conhecido como Pokémon de Fairia.")</f>
        <v>Granbull é um Pokémon do tipo fada introduzido na geração 2. É conhecido como Pokémon de Fairia.</v>
      </c>
      <c r="F141" s="2" t="str">
        <f ca="1">IFERROR(__xludf.DUMMYFUNCTION("GOOGLETRANSLATE(B141,""en"",""pt"")"),"Pokémon de fada")</f>
        <v>Pokémon de fada</v>
      </c>
    </row>
    <row r="142" spans="1:6" ht="15.75" customHeight="1" x14ac:dyDescent="0.25">
      <c r="A142" s="2" t="s">
        <v>485</v>
      </c>
      <c r="B142" s="2" t="s">
        <v>327</v>
      </c>
      <c r="C142" s="2" t="s">
        <v>486</v>
      </c>
      <c r="D142" s="2" t="s">
        <v>487</v>
      </c>
      <c r="E142" s="2" t="str">
        <f ca="1">IFERROR(__xludf.DUMMYFUNCTION("GOOGLETRANSLATE(D142,""en"",""pt"")"),"Qwilfish é um Pokémon do tipo água/veneno introduzido na geração 2. É conhecido como Pokémon Balloon.")</f>
        <v>Qwilfish é um Pokémon do tipo água/veneno introduzido na geração 2. É conhecido como Pokémon Balloon.</v>
      </c>
      <c r="F142" s="2" t="str">
        <f ca="1">IFERROR(__xludf.DUMMYFUNCTION("GOOGLETRANSLATE(B142,""en"",""pt"")"),"Pokémon de balão")</f>
        <v>Pokémon de balão</v>
      </c>
    </row>
    <row r="143" spans="1:6" ht="15.75" customHeight="1" x14ac:dyDescent="0.25">
      <c r="A143" s="2" t="s">
        <v>488</v>
      </c>
      <c r="B143" s="2" t="s">
        <v>489</v>
      </c>
      <c r="C143" s="2" t="s">
        <v>490</v>
      </c>
      <c r="D143" s="2" t="s">
        <v>491</v>
      </c>
      <c r="E143" s="2" t="str">
        <f ca="1">IFERROR(__xludf.DUMMYFUNCTION("GOOGLETRANSLATE(D143,""en"",""pt"")"),"O Scizor é um Pokémon do tipo bug/aço introduzido na geração 2. É conhecido como Pokémon Pinca.
O Scizor é um Pokémon vermelho, metal, semelhante a uma formiga, com padrões amarelos e pretos em suas pinças que se assemelham a um padrão ocular. Seu corpo c"&amp;"onsiste em três partes principais: o tronco, o abdômen e a cabeça. Ele fica em duas pernas e possui um par de asas pequenas localizadas nas costas, que são usadas para controlar sua temperatura corporal, em vez de voar. O habitat de Scizor é exuberante e "&amp;"vasto, onde pode residir com o resto do enxame.
O Scizor evolui do scyther do tipo bug/voador, perdendo assim seu tipo de vôo após a evolução - uma ocorrência rara para o Pokémon.
O Scizor tem uma mega evolução, disponível a partir de X&amp;Y.")</f>
        <v>O Scizor é um Pokémon do tipo bug/aço introduzido na geração 2. É conhecido como Pokémon Pinca.
O Scizor é um Pokémon vermelho, metal, semelhante a uma formiga, com padrões amarelos e pretos em suas pinças que se assemelham a um padrão ocular. Seu corpo consiste em três partes principais: o tronco, o abdômen e a cabeça. Ele fica em duas pernas e possui um par de asas pequenas localizadas nas costas, que são usadas para controlar sua temperatura corporal, em vez de voar. O habitat de Scizor é exuberante e vasto, onde pode residir com o resto do enxame.
O Scizor evolui do scyther do tipo bug/voador, perdendo assim seu tipo de vôo após a evolução - uma ocorrência rara para o Pokémon.
O Scizor tem uma mega evolução, disponível a partir de X&amp;Y.</v>
      </c>
      <c r="F143" s="2" t="str">
        <f ca="1">IFERROR(__xludf.DUMMYFUNCTION("GOOGLETRANSLATE(B143,""en"",""pt"")"),"Pokémon de pinça")</f>
        <v>Pokémon de pinça</v>
      </c>
    </row>
    <row r="144" spans="1:6" ht="15.75" customHeight="1" x14ac:dyDescent="0.25">
      <c r="A144" s="2" t="s">
        <v>488</v>
      </c>
      <c r="B144" s="2" t="s">
        <v>489</v>
      </c>
      <c r="C144" s="2" t="s">
        <v>492</v>
      </c>
      <c r="D144" s="2" t="s">
        <v>491</v>
      </c>
      <c r="E144" s="2" t="str">
        <f ca="1">IFERROR(__xludf.DUMMYFUNCTION("GOOGLETRANSLATE(D144,""en"",""pt"")"),"O Scizor é um Pokémon do tipo bug/aço introduzido na geração 2. É conhecido como Pokémon Pinca.
O Scizor é um Pokémon vermelho, metal, semelhante a uma formiga, com padrões amarelos e pretos em suas pinças que se assemelham a um padrão ocular. Seu corpo c"&amp;"onsiste em três partes principais: o tronco, o abdômen e a cabeça. Ele fica em duas pernas e possui um par de asas pequenas localizadas nas costas, que são usadas para controlar sua temperatura corporal, em vez de voar. O habitat de Scizor é exuberante e "&amp;"vasto, onde pode residir com o resto do enxame.
O Scizor evolui do scyther do tipo bug/voador, perdendo assim seu tipo de vôo após a evolução - uma ocorrência rara para o Pokémon.
O Scizor tem uma mega evolução, disponível a partir de X&amp;Y.")</f>
        <v>O Scizor é um Pokémon do tipo bug/aço introduzido na geração 2. É conhecido como Pokémon Pinca.
O Scizor é um Pokémon vermelho, metal, semelhante a uma formiga, com padrões amarelos e pretos em suas pinças que se assemelham a um padrão ocular. Seu corpo consiste em três partes principais: o tronco, o abdômen e a cabeça. Ele fica em duas pernas e possui um par de asas pequenas localizadas nas costas, que são usadas para controlar sua temperatura corporal, em vez de voar. O habitat de Scizor é exuberante e vasto, onde pode residir com o resto do enxame.
O Scizor evolui do scyther do tipo bug/voador, perdendo assim seu tipo de vôo após a evolução - uma ocorrência rara para o Pokémon.
O Scizor tem uma mega evolução, disponível a partir de X&amp;Y.</v>
      </c>
      <c r="F144" s="2" t="str">
        <f ca="1">IFERROR(__xludf.DUMMYFUNCTION("GOOGLETRANSLATE(B144,""en"",""pt"")"),"Pokémon de pinça")</f>
        <v>Pokémon de pinça</v>
      </c>
    </row>
    <row r="145" spans="1:6" ht="15.75" customHeight="1" x14ac:dyDescent="0.25">
      <c r="A145" s="2" t="s">
        <v>493</v>
      </c>
      <c r="B145" s="2" t="s">
        <v>494</v>
      </c>
      <c r="C145" s="2" t="s">
        <v>495</v>
      </c>
      <c r="D145" s="2" t="s">
        <v>496</v>
      </c>
      <c r="E145" s="2" t="str">
        <f ca="1">IFERROR(__xludf.DUMMYFUNCTION("GOOGLETRANSLATE(D145,""en"",""pt"")"),"Shuckle é um Pokémon do tipo bug/rocha introduzido na geração 2. É conhecido como Pokémon do molde.")</f>
        <v>Shuckle é um Pokémon do tipo bug/rocha introduzido na geração 2. É conhecido como Pokémon do molde.</v>
      </c>
      <c r="F145" s="2" t="str">
        <f ca="1">IFERROR(__xludf.DUMMYFUNCTION("GOOGLETRANSLATE(B145,""en"",""pt"")"),"Pokémon de molde")</f>
        <v>Pokémon de molde</v>
      </c>
    </row>
    <row r="146" spans="1:6" ht="15.75" customHeight="1" x14ac:dyDescent="0.25">
      <c r="A146" s="2" t="s">
        <v>497</v>
      </c>
      <c r="B146" s="2" t="s">
        <v>498</v>
      </c>
      <c r="C146" s="2" t="s">
        <v>499</v>
      </c>
      <c r="D146" s="2" t="s">
        <v>500</v>
      </c>
      <c r="E146" s="2" t="str">
        <f ca="1">IFERROR(__xludf.DUMMYFUNCTION("GOOGLETRANSLATE(D146,""en"",""pt"")"),"Heracross é um Pokémon do tipo bug/luta introduzido na geração 2. É conhecido como o único Pokémon Horn.
Heracross tem uma mega evolução, disponível a partir de X&amp;Y.")</f>
        <v>Heracross é um Pokémon do tipo bug/luta introduzido na geração 2. É conhecido como o único Pokémon Horn.
Heracross tem uma mega evolução, disponível a partir de X&amp;Y.</v>
      </c>
      <c r="F146" s="2" t="str">
        <f ca="1">IFERROR(__xludf.DUMMYFUNCTION("GOOGLETRANSLATE(B146,""en"",""pt"")"),"Pokémon de chifre único")</f>
        <v>Pokémon de chifre único</v>
      </c>
    </row>
    <row r="147" spans="1:6" ht="15.75" customHeight="1" x14ac:dyDescent="0.25">
      <c r="A147" s="2" t="s">
        <v>497</v>
      </c>
      <c r="B147" s="2" t="s">
        <v>498</v>
      </c>
      <c r="C147" s="2" t="s">
        <v>501</v>
      </c>
      <c r="D147" s="2" t="s">
        <v>500</v>
      </c>
      <c r="E147" s="2" t="str">
        <f ca="1">IFERROR(__xludf.DUMMYFUNCTION("GOOGLETRANSLATE(D147,""en"",""pt"")"),"Heracross é um Pokémon do tipo bug/luta introduzido na geração 2. É conhecido como o único Pokémon Horn.
Heracross tem uma mega evolução, disponível a partir de X&amp;Y.")</f>
        <v>Heracross é um Pokémon do tipo bug/luta introduzido na geração 2. É conhecido como o único Pokémon Horn.
Heracross tem uma mega evolução, disponível a partir de X&amp;Y.</v>
      </c>
      <c r="F147" s="2" t="str">
        <f ca="1">IFERROR(__xludf.DUMMYFUNCTION("GOOGLETRANSLATE(B147,""en"",""pt"")"),"Pokémon de chifre único")</f>
        <v>Pokémon de chifre único</v>
      </c>
    </row>
    <row r="148" spans="1:6" ht="15.75" customHeight="1" x14ac:dyDescent="0.25">
      <c r="A148" s="2" t="s">
        <v>502</v>
      </c>
      <c r="B148" s="2" t="s">
        <v>503</v>
      </c>
      <c r="C148" s="2" t="s">
        <v>504</v>
      </c>
      <c r="D148" s="2" t="s">
        <v>505</v>
      </c>
      <c r="E148" s="2" t="str">
        <f ca="1">IFERROR(__xludf.DUMMYFUNCTION("GOOGLETRANSLATE(D148,""en"",""pt"")"),"Sneasel é um Pokémon escuro/gelo introduzido na geração 2. É conhecido como Pokémon Claw Sharp.")</f>
        <v>Sneasel é um Pokémon escuro/gelo introduzido na geração 2. É conhecido como Pokémon Claw Sharp.</v>
      </c>
      <c r="F148" s="2" t="str">
        <f ca="1">IFERROR(__xludf.DUMMYFUNCTION("GOOGLETRANSLATE(B148,""en"",""pt"")"),"Pokémon nítido da garra")</f>
        <v>Pokémon nítido da garra</v>
      </c>
    </row>
    <row r="149" spans="1:6" ht="15.75" customHeight="1" x14ac:dyDescent="0.25">
      <c r="A149" s="2" t="s">
        <v>506</v>
      </c>
      <c r="B149" s="2" t="s">
        <v>507</v>
      </c>
      <c r="C149" s="2" t="s">
        <v>508</v>
      </c>
      <c r="D149" s="2" t="s">
        <v>509</v>
      </c>
      <c r="E149" s="2" t="str">
        <f ca="1">IFERROR(__xludf.DUMMYFUNCTION("GOOGLETRANSLATE(D149,""en"",""pt"")"),"Teddiursa é um Pokémon do tipo normal introduzido na geração 2. É conhecido como o pequeno Pokémon do urso.")</f>
        <v>Teddiursa é um Pokémon do tipo normal introduzido na geração 2. É conhecido como o pequeno Pokémon do urso.</v>
      </c>
      <c r="F149" s="2" t="str">
        <f ca="1">IFERROR(__xludf.DUMMYFUNCTION("GOOGLETRANSLATE(B149,""en"",""pt"")"),"Pequeno Pokémon")</f>
        <v>Pequeno Pokémon</v>
      </c>
    </row>
    <row r="150" spans="1:6" ht="15.75" customHeight="1" x14ac:dyDescent="0.25">
      <c r="A150" s="2" t="s">
        <v>510</v>
      </c>
      <c r="B150" s="2" t="s">
        <v>511</v>
      </c>
      <c r="C150" s="2" t="s">
        <v>512</v>
      </c>
      <c r="D150" s="2" t="s">
        <v>513</v>
      </c>
      <c r="E150" s="2" t="str">
        <f ca="1">IFERROR(__xludf.DUMMYFUNCTION("GOOGLETRANSLATE(D150,""en"",""pt"")"),"O Ursaring é um Pokémon do tipo normal introduzido na geração 2. É conhecido como Pokémon do Hibernador.")</f>
        <v>O Ursaring é um Pokémon do tipo normal introduzido na geração 2. É conhecido como Pokémon do Hibernador.</v>
      </c>
      <c r="F150" s="2" t="str">
        <f ca="1">IFERROR(__xludf.DUMMYFUNCTION("GOOGLETRANSLATE(B150,""en"",""pt"")"),"Pokémon do hibernador")</f>
        <v>Pokémon do hibernador</v>
      </c>
    </row>
    <row r="151" spans="1:6" ht="15.75" customHeight="1" x14ac:dyDescent="0.25">
      <c r="A151" s="2" t="s">
        <v>514</v>
      </c>
      <c r="B151" s="2" t="s">
        <v>515</v>
      </c>
      <c r="C151" s="2" t="s">
        <v>516</v>
      </c>
      <c r="D151" s="2" t="s">
        <v>517</v>
      </c>
      <c r="E151" s="2" t="str">
        <f ca="1">IFERROR(__xludf.DUMMYFUNCTION("GOOGLETRANSLATE(D151,""en"",""pt"")"),"Slugma é um Pokémon do tipo incêndio introduzido na geração 2. É conhecido como Pokémon de Lava.")</f>
        <v>Slugma é um Pokémon do tipo incêndio introduzido na geração 2. É conhecido como Pokémon de Lava.</v>
      </c>
      <c r="F151" s="2" t="str">
        <f ca="1">IFERROR(__xludf.DUMMYFUNCTION("GOOGLETRANSLATE(B151,""en"",""pt"")"),"Pokémon de lava")</f>
        <v>Pokémon de lava</v>
      </c>
    </row>
    <row r="152" spans="1:6" ht="15.75" customHeight="1" x14ac:dyDescent="0.25">
      <c r="A152" s="2" t="s">
        <v>518</v>
      </c>
      <c r="B152" s="2" t="s">
        <v>515</v>
      </c>
      <c r="C152" s="2" t="s">
        <v>519</v>
      </c>
      <c r="D152" s="2" t="s">
        <v>520</v>
      </c>
      <c r="E152" s="2" t="str">
        <f ca="1">IFERROR(__xludf.DUMMYFUNCTION("GOOGLETRANSLATE(D152,""en"",""pt"")"),"O Magcargo é um Pokémon do tipo Fire/Rock introduzido na geração 2. É conhecido como Pokémon Lava.")</f>
        <v>O Magcargo é um Pokémon do tipo Fire/Rock introduzido na geração 2. É conhecido como Pokémon Lava.</v>
      </c>
      <c r="F152" s="2" t="str">
        <f ca="1">IFERROR(__xludf.DUMMYFUNCTION("GOOGLETRANSLATE(B152,""en"",""pt"")"),"Pokémon de lava")</f>
        <v>Pokémon de lava</v>
      </c>
    </row>
    <row r="153" spans="1:6" ht="15.75" customHeight="1" x14ac:dyDescent="0.25">
      <c r="A153" s="2" t="s">
        <v>521</v>
      </c>
      <c r="B153" s="2" t="s">
        <v>522</v>
      </c>
      <c r="C153" s="2" t="s">
        <v>523</v>
      </c>
      <c r="D153" s="2" t="s">
        <v>524</v>
      </c>
      <c r="E153" s="2" t="str">
        <f ca="1">IFERROR(__xludf.DUMMYFUNCTION("GOOGLETRANSLATE(D153,""en"",""pt"")"),"Fearow é um Pokémon Normal/Voador Introduzido na Geração 1. É conhecido como Pokémon de Bico.")</f>
        <v>Fearow é um Pokémon Normal/Voador Introduzido na Geração 1. É conhecido como Pokémon de Bico.</v>
      </c>
      <c r="F153" s="2" t="str">
        <f ca="1">IFERROR(__xludf.DUMMYFUNCTION("GOOGLETRANSLATE(B153,""en"",""pt"")"),"Pokémon de bico")</f>
        <v>Pokémon de bico</v>
      </c>
    </row>
    <row r="154" spans="1:6" ht="15.75" customHeight="1" x14ac:dyDescent="0.25">
      <c r="A154" s="2" t="s">
        <v>525</v>
      </c>
      <c r="B154" s="2" t="s">
        <v>526</v>
      </c>
      <c r="C154" s="2" t="s">
        <v>527</v>
      </c>
      <c r="D154" s="2" t="s">
        <v>528</v>
      </c>
      <c r="E154" s="2" t="str">
        <f ca="1">IFERROR(__xludf.DUMMYFUNCTION("GOOGLETRANSLATE(D154,""en"",""pt"")"),"O Swinub é um Pokémon do tipo gelo/solo introduzido na geração 2. É conhecido como Pokémon Pig.")</f>
        <v>O Swinub é um Pokémon do tipo gelo/solo introduzido na geração 2. É conhecido como Pokémon Pig.</v>
      </c>
      <c r="F154" s="2" t="str">
        <f ca="1">IFERROR(__xludf.DUMMYFUNCTION("GOOGLETRANSLATE(B154,""en"",""pt"")"),"Pokémon de porco")</f>
        <v>Pokémon de porco</v>
      </c>
    </row>
    <row r="155" spans="1:6" ht="15.75" customHeight="1" x14ac:dyDescent="0.25">
      <c r="A155" s="2" t="s">
        <v>529</v>
      </c>
      <c r="B155" s="2" t="s">
        <v>530</v>
      </c>
      <c r="C155" s="2" t="s">
        <v>531</v>
      </c>
      <c r="D155" s="2" t="s">
        <v>532</v>
      </c>
      <c r="E155" s="2" t="str">
        <f ca="1">IFERROR(__xludf.DUMMYFUNCTION("GOOGLETRANSLATE(D155,""en"",""pt"")"),"Piloswine é um Pokémon do tipo gelo/terra introduzido na geração 2. É conhecido como Pokémon suíno.")</f>
        <v>Piloswine é um Pokémon do tipo gelo/terra introduzido na geração 2. É conhecido como Pokémon suíno.</v>
      </c>
      <c r="F155" s="2" t="str">
        <f ca="1">IFERROR(__xludf.DUMMYFUNCTION("GOOGLETRANSLATE(B155,""en"",""pt"")"),"Pokémon suína")</f>
        <v>Pokémon suína</v>
      </c>
    </row>
    <row r="156" spans="1:6" ht="15.75" customHeight="1" x14ac:dyDescent="0.25">
      <c r="A156" s="2" t="s">
        <v>533</v>
      </c>
      <c r="B156" s="2" t="s">
        <v>534</v>
      </c>
      <c r="C156" s="2" t="s">
        <v>535</v>
      </c>
      <c r="D156" s="2" t="s">
        <v>536</v>
      </c>
      <c r="E156" s="2" t="str">
        <f ca="1">IFERROR(__xludf.DUMMYFUNCTION("GOOGLETRANSLATE(D156,""en"",""pt"")"),"Corsola é um Pokémon do tipo água/rocha introduzido na geração 2. É conhecido como Pokémon de Coral.")</f>
        <v>Corsola é um Pokémon do tipo água/rocha introduzido na geração 2. É conhecido como Pokémon de Coral.</v>
      </c>
      <c r="F156" s="2" t="str">
        <f ca="1">IFERROR(__xludf.DUMMYFUNCTION("GOOGLETRANSLATE(B156,""en"",""pt"")"),"Pokémon de coral")</f>
        <v>Pokémon de coral</v>
      </c>
    </row>
    <row r="157" spans="1:6" ht="15.75" customHeight="1" x14ac:dyDescent="0.25">
      <c r="A157" s="2" t="s">
        <v>537</v>
      </c>
      <c r="B157" s="2" t="s">
        <v>538</v>
      </c>
      <c r="C157" s="2" t="s">
        <v>539</v>
      </c>
      <c r="D157" s="2" t="s">
        <v>540</v>
      </c>
      <c r="E157" s="2" t="str">
        <f ca="1">IFERROR(__xludf.DUMMYFUNCTION("GOOGLETRANSLATE(D157,""en"",""pt"")"),"Remoraid é um Pokémon do tipo água introduzido na geração 2. É conhecido como Jet Pokémon.")</f>
        <v>Remoraid é um Pokémon do tipo água introduzido na geração 2. É conhecido como Jet Pokémon.</v>
      </c>
      <c r="F157" s="2" t="str">
        <f ca="1">IFERROR(__xludf.DUMMYFUNCTION("GOOGLETRANSLATE(B157,""en"",""pt"")"),"Jet Pokémon")</f>
        <v>Jet Pokémon</v>
      </c>
    </row>
    <row r="158" spans="1:6" ht="15.75" customHeight="1" x14ac:dyDescent="0.25">
      <c r="A158" s="2" t="s">
        <v>541</v>
      </c>
      <c r="B158" s="2" t="s">
        <v>538</v>
      </c>
      <c r="C158" s="2" t="s">
        <v>542</v>
      </c>
      <c r="D158" s="2" t="s">
        <v>543</v>
      </c>
      <c r="E158" s="2" t="str">
        <f ca="1">IFERROR(__xludf.DUMMYFUNCTION("GOOGLETRANSLATE(D158,""en"",""pt"")"),"O Octilery é um Pokémon do tipo água introduzido na geração 2. É conhecido como Jet Pokémon.")</f>
        <v>O Octilery é um Pokémon do tipo água introduzido na geração 2. É conhecido como Jet Pokémon.</v>
      </c>
      <c r="F158" s="2" t="str">
        <f ca="1">IFERROR(__xludf.DUMMYFUNCTION("GOOGLETRANSLATE(B158,""en"",""pt"")"),"Jet Pokémon")</f>
        <v>Jet Pokémon</v>
      </c>
    </row>
    <row r="159" spans="1:6" ht="15.75" customHeight="1" x14ac:dyDescent="0.25">
      <c r="A159" s="2" t="s">
        <v>544</v>
      </c>
      <c r="B159" s="2" t="s">
        <v>545</v>
      </c>
      <c r="C159" s="2" t="s">
        <v>546</v>
      </c>
      <c r="D159" s="2" t="s">
        <v>547</v>
      </c>
      <c r="E159" s="2" t="str">
        <f ca="1">IFERROR(__xludf.DUMMYFUNCTION("GOOGLETRANSLATE(D159,""en"",""pt"")"),"O Delibird é um Pokémon do tipo gelo/voador introduzido na geração 2. É conhecido como Pokémon de entrega.")</f>
        <v>O Delibird é um Pokémon do tipo gelo/voador introduzido na geração 2. É conhecido como Pokémon de entrega.</v>
      </c>
      <c r="F159" s="2" t="str">
        <f ca="1">IFERROR(__xludf.DUMMYFUNCTION("GOOGLETRANSLATE(B159,""en"",""pt"")"),"Pokémon de entrega")</f>
        <v>Pokémon de entrega</v>
      </c>
    </row>
    <row r="160" spans="1:6" ht="15.75" customHeight="1" x14ac:dyDescent="0.25">
      <c r="A160" s="2" t="s">
        <v>548</v>
      </c>
      <c r="B160" s="2" t="s">
        <v>549</v>
      </c>
      <c r="C160" s="2" t="s">
        <v>550</v>
      </c>
      <c r="D160" s="2" t="s">
        <v>551</v>
      </c>
      <c r="E160" s="2" t="str">
        <f ca="1">IFERROR(__xludf.DUMMYFUNCTION("GOOGLETRANSLATE(D160,""en"",""pt"")"),"O Mantine é um Pokémon do tipo água/voador introduzido na geração 2. É conhecido como Pokémon Kite.")</f>
        <v>O Mantine é um Pokémon do tipo água/voador introduzido na geração 2. É conhecido como Pokémon Kite.</v>
      </c>
      <c r="F160" s="2" t="str">
        <f ca="1">IFERROR(__xludf.DUMMYFUNCTION("GOOGLETRANSLATE(B160,""en"",""pt"")"),"Pokémon de pipa")</f>
        <v>Pokémon de pipa</v>
      </c>
    </row>
    <row r="161" spans="1:6" ht="15.75" customHeight="1" x14ac:dyDescent="0.25">
      <c r="A161" s="2" t="s">
        <v>552</v>
      </c>
      <c r="B161" s="2" t="s">
        <v>553</v>
      </c>
      <c r="C161" s="2" t="s">
        <v>554</v>
      </c>
      <c r="D161" s="2" t="s">
        <v>555</v>
      </c>
      <c r="E161" s="2" t="str">
        <f ca="1">IFERROR(__xludf.DUMMYFUNCTION("GOOGLETRANSLATE(D161,""en"",""pt"")"),"O Skarmory é um Pokémon de aço/voador introduzido na geração 2. É conhecido como Pokémon de pássaro Armour.")</f>
        <v>O Skarmory é um Pokémon de aço/voador introduzido na geração 2. É conhecido como Pokémon de pássaro Armour.</v>
      </c>
      <c r="F161" s="2" t="str">
        <f ca="1">IFERROR(__xludf.DUMMYFUNCTION("GOOGLETRANSLATE(B161,""en"",""pt"")"),"Pokémon de pássaro de armadura")</f>
        <v>Pokémon de pássaro de armadura</v>
      </c>
    </row>
    <row r="162" spans="1:6" ht="15.75" customHeight="1" x14ac:dyDescent="0.25">
      <c r="A162" s="2" t="s">
        <v>556</v>
      </c>
      <c r="B162" s="2" t="s">
        <v>557</v>
      </c>
      <c r="C162" s="2" t="s">
        <v>558</v>
      </c>
      <c r="D162" s="2" t="s">
        <v>559</v>
      </c>
      <c r="E162" s="2" t="str">
        <f ca="1">IFERROR(__xludf.DUMMYFUNCTION("GOOGLETRANSLATE(D162,""en"",""pt"")"),"Houndour é um Pokémon Dark/Fire, introduzido na geração 2. É conhecido como Pokémon escuro.")</f>
        <v>Houndour é um Pokémon Dark/Fire, introduzido na geração 2. É conhecido como Pokémon escuro.</v>
      </c>
      <c r="F162" s="2" t="str">
        <f ca="1">IFERROR(__xludf.DUMMYFUNCTION("GOOGLETRANSLATE(B162,""en"",""pt"")"),"Pokémon escuro")</f>
        <v>Pokémon escuro</v>
      </c>
    </row>
    <row r="163" spans="1:6" ht="15.75" customHeight="1" x14ac:dyDescent="0.25">
      <c r="A163" s="2" t="s">
        <v>560</v>
      </c>
      <c r="B163" s="2" t="s">
        <v>557</v>
      </c>
      <c r="C163" s="2" t="s">
        <v>561</v>
      </c>
      <c r="D163" s="2" t="s">
        <v>562</v>
      </c>
      <c r="E163" s="2" t="str">
        <f ca="1">IFERROR(__xludf.DUMMYFUNCTION("GOOGLETRANSLATE(D163,""en"",""pt"")"),"O Houndoom é um Pokémon escuro/de fogo introduzido na geração 2. É conhecido como Pokémon escuro.
Houndoom tem uma mega evolução, disponível a partir de X&amp;Y.")</f>
        <v>O Houndoom é um Pokémon escuro/de fogo introduzido na geração 2. É conhecido como Pokémon escuro.
Houndoom tem uma mega evolução, disponível a partir de X&amp;Y.</v>
      </c>
      <c r="F163" s="2" t="str">
        <f ca="1">IFERROR(__xludf.DUMMYFUNCTION("GOOGLETRANSLATE(B163,""en"",""pt"")"),"Pokémon escuro")</f>
        <v>Pokémon escuro</v>
      </c>
    </row>
    <row r="164" spans="1:6" ht="15.75" customHeight="1" x14ac:dyDescent="0.25">
      <c r="A164" s="2" t="s">
        <v>560</v>
      </c>
      <c r="B164" s="2" t="s">
        <v>557</v>
      </c>
      <c r="C164" s="2" t="s">
        <v>563</v>
      </c>
      <c r="D164" s="2" t="s">
        <v>562</v>
      </c>
      <c r="E164" s="2" t="str">
        <f ca="1">IFERROR(__xludf.DUMMYFUNCTION("GOOGLETRANSLATE(D164,""en"",""pt"")"),"O Houndoom é um Pokémon escuro/de fogo introduzido na geração 2. É conhecido como Pokémon escuro.
Houndoom tem uma mega evolução, disponível a partir de X&amp;Y.")</f>
        <v>O Houndoom é um Pokémon escuro/de fogo introduzido na geração 2. É conhecido como Pokémon escuro.
Houndoom tem uma mega evolução, disponível a partir de X&amp;Y.</v>
      </c>
      <c r="F164" s="2" t="str">
        <f ca="1">IFERROR(__xludf.DUMMYFUNCTION("GOOGLETRANSLATE(B164,""en"",""pt"")"),"Pokémon escuro")</f>
        <v>Pokémon escuro</v>
      </c>
    </row>
    <row r="165" spans="1:6" ht="15.75" customHeight="1" x14ac:dyDescent="0.25">
      <c r="A165" s="2" t="s">
        <v>564</v>
      </c>
      <c r="B165" s="2" t="s">
        <v>565</v>
      </c>
      <c r="C165" s="2" t="s">
        <v>566</v>
      </c>
      <c r="D165" s="2" t="s">
        <v>567</v>
      </c>
      <c r="E165" s="2" t="str">
        <f ca="1">IFERROR(__xludf.DUMMYFUNCTION("GOOGLETRANSLATE(D165,""en"",""pt"")"),"Ekans é um Pokémon do tipo veneno introduzido na geração 1. É conhecido como Pokémon Snake.")</f>
        <v>Ekans é um Pokémon do tipo veneno introduzido na geração 1. É conhecido como Pokémon Snake.</v>
      </c>
      <c r="F165" s="2" t="str">
        <f ca="1">IFERROR(__xludf.DUMMYFUNCTION("GOOGLETRANSLATE(B165,""en"",""pt"")"),"Pokémon de cobra")</f>
        <v>Pokémon de cobra</v>
      </c>
    </row>
    <row r="166" spans="1:6" ht="15.75" customHeight="1" x14ac:dyDescent="0.25">
      <c r="A166" s="2" t="s">
        <v>568</v>
      </c>
      <c r="B166" s="2" t="s">
        <v>81</v>
      </c>
      <c r="C166" s="2" t="s">
        <v>569</v>
      </c>
      <c r="D166" s="2" t="s">
        <v>570</v>
      </c>
      <c r="E166" s="2" t="str">
        <f ca="1">IFERROR(__xludf.DUMMYFUNCTION("GOOGLETRANSLATE(D166,""en"",""pt"")"),"Kingdra é um Pokémon do tipo água/dragão introduzido na geração 2. É conhecido como Pokémon Dragon.")</f>
        <v>Kingdra é um Pokémon do tipo água/dragão introduzido na geração 2. É conhecido como Pokémon Dragon.</v>
      </c>
      <c r="F166" s="2" t="str">
        <f ca="1">IFERROR(__xludf.DUMMYFUNCTION("GOOGLETRANSLATE(B166,""en"",""pt"")"),"Dragão Pokémon")</f>
        <v>Dragão Pokémon</v>
      </c>
    </row>
    <row r="167" spans="1:6" ht="15.75" customHeight="1" x14ac:dyDescent="0.25">
      <c r="A167" s="2" t="s">
        <v>571</v>
      </c>
      <c r="B167" s="2" t="s">
        <v>572</v>
      </c>
      <c r="C167" s="2" t="s">
        <v>573</v>
      </c>
      <c r="D167" s="2" t="s">
        <v>574</v>
      </c>
      <c r="E167" s="2" t="str">
        <f ca="1">IFERROR(__xludf.DUMMYFUNCTION("GOOGLETRANSLATE(D167,""en"",""pt"")"),"Phanpy é um Pokémon do tipo terra introduzido na geração 2. É conhecido como Pokémon de nariz longo.")</f>
        <v>Phanpy é um Pokémon do tipo terra introduzido na geração 2. É conhecido como Pokémon de nariz longo.</v>
      </c>
      <c r="F167" s="2" t="str">
        <f ca="1">IFERROR(__xludf.DUMMYFUNCTION("GOOGLETRANSLATE(B167,""en"",""pt"")"),"Pokémon de nariz comprido")</f>
        <v>Pokémon de nariz comprido</v>
      </c>
    </row>
    <row r="168" spans="1:6" ht="15.75" customHeight="1" x14ac:dyDescent="0.25">
      <c r="A168" s="2" t="s">
        <v>575</v>
      </c>
      <c r="B168" s="2" t="s">
        <v>576</v>
      </c>
      <c r="C168" s="2" t="s">
        <v>577</v>
      </c>
      <c r="D168" s="2" t="s">
        <v>578</v>
      </c>
      <c r="E168" s="2" t="str">
        <f ca="1">IFERROR(__xludf.DUMMYFUNCTION("GOOGLETRANSLATE(D168,""en"",""pt"")"),"Donphan é um Pokémon do tipo terra introduzido na geração 2. É conhecido como Pokémon Armour.")</f>
        <v>Donphan é um Pokémon do tipo terra introduzido na geração 2. É conhecido como Pokémon Armour.</v>
      </c>
      <c r="F168" s="2" t="str">
        <f ca="1">IFERROR(__xludf.DUMMYFUNCTION("GOOGLETRANSLATE(B168,""en"",""pt"")"),"Pokémon de armadura")</f>
        <v>Pokémon de armadura</v>
      </c>
    </row>
    <row r="169" spans="1:6" ht="15.75" customHeight="1" x14ac:dyDescent="0.25">
      <c r="A169" s="2" t="s">
        <v>579</v>
      </c>
      <c r="B169" s="2" t="s">
        <v>174</v>
      </c>
      <c r="C169" s="2" t="s">
        <v>580</v>
      </c>
      <c r="D169" s="2" t="s">
        <v>581</v>
      </c>
      <c r="E169" s="2" t="str">
        <f ca="1">IFERROR(__xludf.DUMMYFUNCTION("GOOGLETRANSLATE(D169,""en"",""pt"")"),"Porygon2 é um Pokémon do tipo normal introduzido na geração 2. É conhecido como Pokémon virtual.")</f>
        <v>Porygon2 é um Pokémon do tipo normal introduzido na geração 2. É conhecido como Pokémon virtual.</v>
      </c>
      <c r="F169" s="2" t="str">
        <f ca="1">IFERROR(__xludf.DUMMYFUNCTION("GOOGLETRANSLATE(B169,""en"",""pt"")"),"Pokémon virtual")</f>
        <v>Pokémon virtual</v>
      </c>
    </row>
    <row r="170" spans="1:6" ht="15.75" customHeight="1" x14ac:dyDescent="0.25">
      <c r="A170" s="2" t="s">
        <v>582</v>
      </c>
      <c r="B170" s="2" t="s">
        <v>583</v>
      </c>
      <c r="C170" s="2" t="s">
        <v>584</v>
      </c>
      <c r="D170" s="2" t="s">
        <v>585</v>
      </c>
      <c r="E170" s="2" t="str">
        <f ca="1">IFERROR(__xludf.DUMMYFUNCTION("GOOGLETRANSLATE(D170,""en"",""pt"")"),"Stantler é um Pokémon do tipo normal introduzido na geração 2. É conhecido como Pokémon Big Horn.")</f>
        <v>Stantler é um Pokémon do tipo normal introduzido na geração 2. É conhecido como Pokémon Big Horn.</v>
      </c>
      <c r="F170" s="2" t="str">
        <f ca="1">IFERROR(__xludf.DUMMYFUNCTION("GOOGLETRANSLATE(B170,""en"",""pt"")"),"Big Horn Pokémon")</f>
        <v>Big Horn Pokémon</v>
      </c>
    </row>
    <row r="171" spans="1:6" ht="15.75" customHeight="1" x14ac:dyDescent="0.25">
      <c r="A171" s="2" t="s">
        <v>586</v>
      </c>
      <c r="B171" s="2" t="s">
        <v>587</v>
      </c>
      <c r="C171" s="2" t="s">
        <v>588</v>
      </c>
      <c r="D171" s="2" t="s">
        <v>589</v>
      </c>
      <c r="E171" s="2" t="str">
        <f ca="1">IFERROR(__xludf.DUMMYFUNCTION("GOOGLETRANSLATE(D171,""en"",""pt"")"),"Smeargle é um Pokémon do tipo normal introduzido na geração 2. É conhecido como Pokémon Painter.")</f>
        <v>Smeargle é um Pokémon do tipo normal introduzido na geração 2. É conhecido como Pokémon Painter.</v>
      </c>
      <c r="F171" s="2" t="str">
        <f ca="1">IFERROR(__xludf.DUMMYFUNCTION("GOOGLETRANSLATE(B171,""en"",""pt"")"),"Pokémon pintor")</f>
        <v>Pokémon pintor</v>
      </c>
    </row>
    <row r="172" spans="1:6" ht="15.75" customHeight="1" x14ac:dyDescent="0.25">
      <c r="A172" s="2" t="s">
        <v>590</v>
      </c>
      <c r="B172" s="2" t="s">
        <v>591</v>
      </c>
      <c r="C172" s="2" t="s">
        <v>592</v>
      </c>
      <c r="D172" s="2" t="s">
        <v>593</v>
      </c>
      <c r="E172" s="2" t="str">
        <f ca="1">IFERROR(__xludf.DUMMYFUNCTION("GOOGLETRANSLATE(D172,""en"",""pt"")"),"Tyrogue é um Pokémon do tipo de luta introduzido na geração 2. É conhecido como Pokémon Scuffle.")</f>
        <v>Tyrogue é um Pokémon do tipo de luta introduzido na geração 2. É conhecido como Pokémon Scuffle.</v>
      </c>
      <c r="F172" s="2" t="str">
        <f ca="1">IFERROR(__xludf.DUMMYFUNCTION("GOOGLETRANSLATE(B172,""en"",""pt"")"),"Pokémon bobo")</f>
        <v>Pokémon bobo</v>
      </c>
    </row>
    <row r="173" spans="1:6" ht="15.75" customHeight="1" x14ac:dyDescent="0.25">
      <c r="A173" s="2" t="s">
        <v>594</v>
      </c>
      <c r="B173" s="2" t="s">
        <v>595</v>
      </c>
      <c r="C173" s="2" t="s">
        <v>596</v>
      </c>
      <c r="D173" s="2" t="s">
        <v>597</v>
      </c>
      <c r="E173" s="2" t="str">
        <f ca="1">IFERROR(__xludf.DUMMYFUNCTION("GOOGLETRANSLATE(D173,""en"",""pt"")"),"O Hitmontop é um Pokémon do tipo de luta introduzido na geração 2. É conhecido como Pokémon Handstand.")</f>
        <v>O Hitmontop é um Pokémon do tipo de luta introduzido na geração 2. É conhecido como Pokémon Handstand.</v>
      </c>
      <c r="F173" s="2" t="str">
        <f ca="1">IFERROR(__xludf.DUMMYFUNCTION("GOOGLETRANSLATE(B173,""en"",""pt"")"),"Handstand Pokémon")</f>
        <v>Handstand Pokémon</v>
      </c>
    </row>
    <row r="174" spans="1:6" ht="15.75" customHeight="1" x14ac:dyDescent="0.25">
      <c r="A174" s="2" t="s">
        <v>598</v>
      </c>
      <c r="B174" s="2" t="s">
        <v>599</v>
      </c>
      <c r="C174" s="2" t="s">
        <v>600</v>
      </c>
      <c r="D174" s="2" t="s">
        <v>601</v>
      </c>
      <c r="E174" s="2" t="str">
        <f ca="1">IFERROR(__xludf.DUMMYFUNCTION("GOOGLETRANSLATE(D174,""en"",""pt"")"),"Smoochum é um Pokémon do tipo gelo/psíquico introduzido na geração 2. É conhecido como o Pokémon Kiss.")</f>
        <v>Smoochum é um Pokémon do tipo gelo/psíquico introduzido na geração 2. É conhecido como o Pokémon Kiss.</v>
      </c>
      <c r="F174" s="2" t="str">
        <f ca="1">IFERROR(__xludf.DUMMYFUNCTION("GOOGLETRANSLATE(B174,""en"",""pt"")"),"Beije Pokémon")</f>
        <v>Beije Pokémon</v>
      </c>
    </row>
    <row r="175" spans="1:6" ht="15.75" customHeight="1" x14ac:dyDescent="0.25">
      <c r="A175" s="2" t="s">
        <v>602</v>
      </c>
      <c r="B175" s="2" t="s">
        <v>119</v>
      </c>
      <c r="C175" s="2" t="s">
        <v>603</v>
      </c>
      <c r="D175" s="2" t="s">
        <v>604</v>
      </c>
      <c r="E175" s="2" t="str">
        <f ca="1">IFERROR(__xludf.DUMMYFUNCTION("GOOGLETRANSLATE(D175,""en"",""pt"")"),"Elekid é um Pokémon do tipo elétrico introduzido na geração 2. É conhecido como Pokémon elétrico.")</f>
        <v>Elekid é um Pokémon do tipo elétrico introduzido na geração 2. É conhecido como Pokémon elétrico.</v>
      </c>
      <c r="F175" s="2" t="str">
        <f ca="1">IFERROR(__xludf.DUMMYFUNCTION("GOOGLETRANSLATE(B175,""en"",""pt"")"),"Pokémon elétrico")</f>
        <v>Pokémon elétrico</v>
      </c>
    </row>
    <row r="176" spans="1:6" ht="15.75" customHeight="1" x14ac:dyDescent="0.25">
      <c r="A176" s="2" t="s">
        <v>605</v>
      </c>
      <c r="B176" s="2" t="s">
        <v>606</v>
      </c>
      <c r="C176" s="2" t="s">
        <v>607</v>
      </c>
      <c r="D176" s="2" t="s">
        <v>608</v>
      </c>
      <c r="E176" s="2" t="str">
        <f ca="1">IFERROR(__xludf.DUMMYFUNCTION("GOOGLETRANSLATE(D176,""en"",""pt"")"),"Arbok é um Pokémon do tipo veneno introduzido na geração 1. É conhecido como Pokémon Cobra.")</f>
        <v>Arbok é um Pokémon do tipo veneno introduzido na geração 1. É conhecido como Pokémon Cobra.</v>
      </c>
      <c r="F176" s="2" t="str">
        <f ca="1">IFERROR(__xludf.DUMMYFUNCTION("GOOGLETRANSLATE(B176,""en"",""pt"")"),"Cobra Pokémon")</f>
        <v>Cobra Pokémon</v>
      </c>
    </row>
    <row r="177" spans="1:6" ht="15.75" customHeight="1" x14ac:dyDescent="0.25">
      <c r="A177" s="2" t="s">
        <v>609</v>
      </c>
      <c r="B177" s="2" t="s">
        <v>610</v>
      </c>
      <c r="C177" s="2" t="s">
        <v>611</v>
      </c>
      <c r="D177" s="2" t="s">
        <v>612</v>
      </c>
      <c r="E177" s="2" t="str">
        <f ca="1">IFERROR(__xludf.DUMMYFUNCTION("GOOGLETRANSLATE(D177,""en"",""pt"")"),"Magby é um Pokémon do tipo incêndio introduzido na geração 2. É conhecido como Pokémon de carvão ao vivo.")</f>
        <v>Magby é um Pokémon do tipo incêndio introduzido na geração 2. É conhecido como Pokémon de carvão ao vivo.</v>
      </c>
      <c r="F177" s="2" t="str">
        <f ca="1">IFERROR(__xludf.DUMMYFUNCTION("GOOGLETRANSLATE(B177,""en"",""pt"")"),"Pokémon de carvão vivo")</f>
        <v>Pokémon de carvão vivo</v>
      </c>
    </row>
    <row r="178" spans="1:6" ht="15.75" customHeight="1" x14ac:dyDescent="0.25">
      <c r="A178" s="2" t="s">
        <v>613</v>
      </c>
      <c r="B178" s="2" t="s">
        <v>614</v>
      </c>
      <c r="C178" s="2" t="s">
        <v>615</v>
      </c>
      <c r="D178" s="2" t="s">
        <v>616</v>
      </c>
      <c r="E178" s="2" t="str">
        <f ca="1">IFERROR(__xludf.DUMMYFUNCTION("GOOGLETRANSLATE(D178,""en"",""pt"")"),"Miltank é um Pokémon do tipo normal introduzido na geração 2. É conhecido como Pokémon de vaca de leite.")</f>
        <v>Miltank é um Pokémon do tipo normal introduzido na geração 2. É conhecido como Pokémon de vaca de leite.</v>
      </c>
      <c r="F178" s="2" t="str">
        <f ca="1">IFERROR(__xludf.DUMMYFUNCTION("GOOGLETRANSLATE(B178,""en"",""pt"")"),"Pokémon de vaca de leite")</f>
        <v>Pokémon de vaca de leite</v>
      </c>
    </row>
    <row r="179" spans="1:6" ht="15.75" customHeight="1" x14ac:dyDescent="0.25">
      <c r="A179" s="2" t="s">
        <v>617</v>
      </c>
      <c r="B179" s="2" t="s">
        <v>335</v>
      </c>
      <c r="C179" s="2" t="s">
        <v>618</v>
      </c>
      <c r="D179" s="2" t="s">
        <v>619</v>
      </c>
      <c r="E179" s="2" t="str">
        <f ca="1">IFERROR(__xludf.DUMMYFUNCTION("GOOGLETRANSLATE(D179,""en"",""pt"")"),"Blissey é um Pokémon do tipo normal introduzido na geração 2. É conhecido como Pokémon da Felicidade.")</f>
        <v>Blissey é um Pokémon do tipo normal introduzido na geração 2. É conhecido como Pokémon da Felicidade.</v>
      </c>
      <c r="F179" s="2" t="str">
        <f ca="1">IFERROR(__xludf.DUMMYFUNCTION("GOOGLETRANSLATE(B179,""en"",""pt"")"),"Pokémon de felicidade")</f>
        <v>Pokémon de felicidade</v>
      </c>
    </row>
    <row r="180" spans="1:6" ht="15.75" customHeight="1" x14ac:dyDescent="0.25">
      <c r="A180" s="2" t="s">
        <v>620</v>
      </c>
      <c r="B180" s="2" t="s">
        <v>621</v>
      </c>
      <c r="C180" s="2" t="s">
        <v>622</v>
      </c>
      <c r="D180" s="2" t="s">
        <v>623</v>
      </c>
      <c r="E180" s="2" t="str">
        <f ca="1">IFERROR(__xludf.DUMMYFUNCTION("GOOGLETRANSLATE(D180,""en"",""pt"")"),"Raikou é um Pokémon do tipo elétrico introduzido na geração 2. É conhecido como Pokémon Thunder.
Antes da geração 7, Raikou tinha o Volt absorvido como sua capacidade oculta.")</f>
        <v>Raikou é um Pokémon do tipo elétrico introduzido na geração 2. É conhecido como Pokémon Thunder.
Antes da geração 7, Raikou tinha o Volt absorvido como sua capacidade oculta.</v>
      </c>
      <c r="F180" s="2" t="str">
        <f ca="1">IFERROR(__xludf.DUMMYFUNCTION("GOOGLETRANSLATE(B180,""en"",""pt"")"),"Pokémon Thunder")</f>
        <v>Pokémon Thunder</v>
      </c>
    </row>
    <row r="181" spans="1:6" ht="15.75" customHeight="1" x14ac:dyDescent="0.25">
      <c r="A181" s="2" t="s">
        <v>624</v>
      </c>
      <c r="B181" s="2" t="s">
        <v>253</v>
      </c>
      <c r="C181" s="2" t="s">
        <v>625</v>
      </c>
      <c r="D181" s="2" t="s">
        <v>626</v>
      </c>
      <c r="E181" s="2" t="str">
        <f ca="1">IFERROR(__xludf.DUMMYFUNCTION("GOOGLETRANSLATE(D181,""en"",""pt"")"),"Entei é um Pokémon do tipo incêndio introduzido na geração 2. É conhecido como Pokémon Vulcão.
Antes da geração 7, a Entei tinha fogo flash como sua habilidade oculta.")</f>
        <v>Entei é um Pokémon do tipo incêndio introduzido na geração 2. É conhecido como Pokémon Vulcão.
Antes da geração 7, a Entei tinha fogo flash como sua habilidade oculta.</v>
      </c>
      <c r="F181" s="2" t="str">
        <f ca="1">IFERROR(__xludf.DUMMYFUNCTION("GOOGLETRANSLATE(B181,""en"",""pt"")"),"Vulcão Pokémon")</f>
        <v>Vulcão Pokémon</v>
      </c>
    </row>
    <row r="182" spans="1:6" ht="15.75" customHeight="1" x14ac:dyDescent="0.25">
      <c r="A182" s="2" t="s">
        <v>627</v>
      </c>
      <c r="B182" s="2" t="s">
        <v>628</v>
      </c>
      <c r="C182" s="2" t="s">
        <v>629</v>
      </c>
      <c r="D182" s="2" t="s">
        <v>630</v>
      </c>
      <c r="E182" s="2" t="str">
        <f ca="1">IFERROR(__xludf.DUMMYFUNCTION("GOOGLETRANSLATE(D182,""en"",""pt"")"),"Suicune é um Pokémon do tipo água introduzido na geração 2. É conhecido como Pokémon Aurora.
Antes da geração 7, o Suicune absorve água como sua capacidade oculta.")</f>
        <v>Suicune é um Pokémon do tipo água introduzido na geração 2. É conhecido como Pokémon Aurora.
Antes da geração 7, o Suicune absorve água como sua capacidade oculta.</v>
      </c>
      <c r="F182" s="2" t="str">
        <f ca="1">IFERROR(__xludf.DUMMYFUNCTION("GOOGLETRANSLATE(B182,""en"",""pt"")"),"Aurora Pokémon")</f>
        <v>Aurora Pokémon</v>
      </c>
    </row>
    <row r="183" spans="1:6" ht="15.75" customHeight="1" x14ac:dyDescent="0.25">
      <c r="A183" s="2" t="s">
        <v>631</v>
      </c>
      <c r="B183" s="2" t="s">
        <v>632</v>
      </c>
      <c r="C183" s="2" t="s">
        <v>633</v>
      </c>
      <c r="D183" s="2" t="s">
        <v>634</v>
      </c>
      <c r="E183" s="2" t="str">
        <f ca="1">IFERROR(__xludf.DUMMYFUNCTION("GOOGLETRANSLATE(D183,""en"",""pt"")"),"Larvitar é um Pokémon do tipo rock/terra introduzido na geração 2. É conhecido como Pokémon Skin Skin.")</f>
        <v>Larvitar é um Pokémon do tipo rock/terra introduzido na geração 2. É conhecido como Pokémon Skin Skin.</v>
      </c>
      <c r="F183" s="2" t="str">
        <f ca="1">IFERROR(__xludf.DUMMYFUNCTION("GOOGLETRANSLATE(B183,""en"",""pt"")"),"Pokémon da pele da rocha")</f>
        <v>Pokémon da pele da rocha</v>
      </c>
    </row>
    <row r="184" spans="1:6" ht="15.75" customHeight="1" x14ac:dyDescent="0.25">
      <c r="A184" s="2" t="s">
        <v>635</v>
      </c>
      <c r="B184" s="2" t="s">
        <v>636</v>
      </c>
      <c r="C184" s="2" t="s">
        <v>637</v>
      </c>
      <c r="D184" s="2" t="s">
        <v>638</v>
      </c>
      <c r="E184" s="2" t="str">
        <f ca="1">IFERROR(__xludf.DUMMYFUNCTION("GOOGLETRANSLATE(D184,""en"",""pt"")"),"O Pupitar é um Pokémon do tipo rock/terra introduzido na geração 2. É conhecido como Pokémon Hard Shell.")</f>
        <v>O Pupitar é um Pokémon do tipo rock/terra introduzido na geração 2. É conhecido como Pokémon Hard Shell.</v>
      </c>
      <c r="F184" s="2" t="str">
        <f ca="1">IFERROR(__xludf.DUMMYFUNCTION("GOOGLETRANSLATE(B184,""en"",""pt"")"),"Pokémon de concha dura")</f>
        <v>Pokémon de concha dura</v>
      </c>
    </row>
    <row r="185" spans="1:6" ht="15.75" customHeight="1" x14ac:dyDescent="0.25">
      <c r="A185" s="2" t="s">
        <v>639</v>
      </c>
      <c r="B185" s="2" t="s">
        <v>576</v>
      </c>
      <c r="C185" s="2" t="s">
        <v>640</v>
      </c>
      <c r="D185" s="2" t="s">
        <v>641</v>
      </c>
      <c r="E185" s="2" t="str">
        <f ca="1">IFERROR(__xludf.DUMMYFUNCTION("GOOGLETRANSLATE(D185,""en"",""pt"")"),"Tyranitar é um Pokémon de rock/escuro introduzido na geração 2. É conhecido como Pokémon Armour.
A Tyranitar tem uma mega evolução, disponível a partir de X&amp;Y.")</f>
        <v>Tyranitar é um Pokémon de rock/escuro introduzido na geração 2. É conhecido como Pokémon Armour.
A Tyranitar tem uma mega evolução, disponível a partir de X&amp;Y.</v>
      </c>
      <c r="F185" s="2" t="str">
        <f ca="1">IFERROR(__xludf.DUMMYFUNCTION("GOOGLETRANSLATE(B185,""en"",""pt"")"),"Pokémon de armadura")</f>
        <v>Pokémon de armadura</v>
      </c>
    </row>
    <row r="186" spans="1:6" ht="15.75" customHeight="1" x14ac:dyDescent="0.25">
      <c r="A186" s="2" t="s">
        <v>639</v>
      </c>
      <c r="B186" s="2" t="s">
        <v>576</v>
      </c>
      <c r="C186" s="2" t="s">
        <v>642</v>
      </c>
      <c r="D186" s="2" t="s">
        <v>641</v>
      </c>
      <c r="E186" s="2" t="str">
        <f ca="1">IFERROR(__xludf.DUMMYFUNCTION("GOOGLETRANSLATE(D186,""en"",""pt"")"),"Tyranitar é um Pokémon de rock/escuro introduzido na geração 2. É conhecido como Pokémon Armour.
A Tyranitar tem uma mega evolução, disponível a partir de X&amp;Y.")</f>
        <v>Tyranitar é um Pokémon de rock/escuro introduzido na geração 2. É conhecido como Pokémon Armour.
A Tyranitar tem uma mega evolução, disponível a partir de X&amp;Y.</v>
      </c>
      <c r="F186" s="2" t="str">
        <f ca="1">IFERROR(__xludf.DUMMYFUNCTION("GOOGLETRANSLATE(B186,""en"",""pt"")"),"Pokémon de armadura")</f>
        <v>Pokémon de armadura</v>
      </c>
    </row>
    <row r="187" spans="1:6" ht="15.75" customHeight="1" x14ac:dyDescent="0.25">
      <c r="A187" s="2" t="s">
        <v>643</v>
      </c>
      <c r="B187" s="2" t="s">
        <v>644</v>
      </c>
      <c r="C187" s="2" t="s">
        <v>645</v>
      </c>
      <c r="D187" s="2" t="s">
        <v>646</v>
      </c>
      <c r="E187" s="2" t="str">
        <f ca="1">IFERROR(__xludf.DUMMYFUNCTION("GOOGLETRANSLATE(D187,""en"",""pt"")"),"Lugia é um Pokémon psíquico/voador introduzido na geração 2. É conhecido como Pokémon de Mergulho.")</f>
        <v>Lugia é um Pokémon psíquico/voador introduzido na geração 2. É conhecido como Pokémon de Mergulho.</v>
      </c>
      <c r="F187" s="2" t="str">
        <f ca="1">IFERROR(__xludf.DUMMYFUNCTION("GOOGLETRANSLATE(B187,""en"",""pt"")"),"Pokémon de mergulho")</f>
        <v>Pokémon de mergulho</v>
      </c>
    </row>
    <row r="188" spans="1:6" ht="15.75" customHeight="1" x14ac:dyDescent="0.25">
      <c r="A188" s="2" t="s">
        <v>647</v>
      </c>
      <c r="B188" s="2" t="s">
        <v>391</v>
      </c>
      <c r="C188" s="2" t="s">
        <v>648</v>
      </c>
      <c r="D188" s="2" t="s">
        <v>649</v>
      </c>
      <c r="E188" s="2" t="str">
        <f ca="1">IFERROR(__xludf.DUMMYFUNCTION("GOOGLETRANSLATE(D188,""en"",""pt"")"),"O Pikachu é um Pokémon do tipo elétrico introduzido na geração 1. É conhecido como Pokémon de Mouse.")</f>
        <v>O Pikachu é um Pokémon do tipo elétrico introduzido na geração 1. É conhecido como Pokémon de Mouse.</v>
      </c>
      <c r="F188" s="2" t="str">
        <f ca="1">IFERROR(__xludf.DUMMYFUNCTION("GOOGLETRANSLATE(B188,""en"",""pt"")"),"Pokémon de mouse")</f>
        <v>Pokémon de mouse</v>
      </c>
    </row>
    <row r="189" spans="1:6" ht="15.75" customHeight="1" x14ac:dyDescent="0.25">
      <c r="A189" s="2" t="s">
        <v>647</v>
      </c>
      <c r="B189" s="2" t="s">
        <v>391</v>
      </c>
      <c r="C189" s="2" t="s">
        <v>650</v>
      </c>
      <c r="D189" s="2" t="s">
        <v>649</v>
      </c>
      <c r="E189" s="2" t="str">
        <f ca="1">IFERROR(__xludf.DUMMYFUNCTION("GOOGLETRANSLATE(D189,""en"",""pt"")"),"O Pikachu é um Pokémon do tipo elétrico introduzido na geração 1. É conhecido como Pokémon de Mouse.")</f>
        <v>O Pikachu é um Pokémon do tipo elétrico introduzido na geração 1. É conhecido como Pokémon de Mouse.</v>
      </c>
      <c r="F189" s="2" t="str">
        <f ca="1">IFERROR(__xludf.DUMMYFUNCTION("GOOGLETRANSLATE(B189,""en"",""pt"")"),"Pokémon de mouse")</f>
        <v>Pokémon de mouse</v>
      </c>
    </row>
    <row r="190" spans="1:6" ht="15.75" customHeight="1" x14ac:dyDescent="0.25">
      <c r="A190" s="2" t="s">
        <v>651</v>
      </c>
      <c r="B190" s="2" t="s">
        <v>652</v>
      </c>
      <c r="C190" s="2" t="s">
        <v>653</v>
      </c>
      <c r="D190" s="2" t="s">
        <v>654</v>
      </c>
      <c r="E190" s="2" t="str">
        <f ca="1">IFERROR(__xludf.DUMMYFUNCTION("GOOGLETRANSLATE(D190,""en"",""pt"")"),"Ho-OH é um Pokémon de Fogo/Vôo Introduzido na Geração 2. É conhecido como Pokémon Rainbow.")</f>
        <v>Ho-OH é um Pokémon de Fogo/Vôo Introduzido na Geração 2. É conhecido como Pokémon Rainbow.</v>
      </c>
      <c r="F190" s="2" t="str">
        <f ca="1">IFERROR(__xludf.DUMMYFUNCTION("GOOGLETRANSLATE(B190,""en"",""pt"")"),"Pokémon arco -íris")</f>
        <v>Pokémon arco -íris</v>
      </c>
    </row>
    <row r="191" spans="1:6" ht="15.75" customHeight="1" x14ac:dyDescent="0.25">
      <c r="A191" s="2" t="s">
        <v>655</v>
      </c>
      <c r="B191" s="2" t="s">
        <v>656</v>
      </c>
      <c r="C191" s="2" t="s">
        <v>657</v>
      </c>
      <c r="D191" s="2" t="s">
        <v>658</v>
      </c>
      <c r="E191" s="2" t="str">
        <f ca="1">IFERROR(__xludf.DUMMYFUNCTION("GOOGLETRANSLATE(D191,""en"",""pt"")"),"Celebi é um Pokémon psíquico/grama introduzido na geração 2. É conhecido como Pokémon de viagem no tempo.")</f>
        <v>Celebi é um Pokémon psíquico/grama introduzido na geração 2. É conhecido como Pokémon de viagem no tempo.</v>
      </c>
      <c r="F191" s="2" t="str">
        <f ca="1">IFERROR(__xludf.DUMMYFUNCTION("GOOGLETRANSLATE(B191,""en"",""pt"")"),"Pokémon de viagem no tempo")</f>
        <v>Pokémon de viagem no tempo</v>
      </c>
    </row>
    <row r="192" spans="1:6" ht="15.75" customHeight="1" x14ac:dyDescent="0.25">
      <c r="A192" s="2" t="s">
        <v>659</v>
      </c>
      <c r="B192" s="2" t="s">
        <v>660</v>
      </c>
      <c r="C192" s="2" t="s">
        <v>661</v>
      </c>
      <c r="D192" s="2" t="s">
        <v>662</v>
      </c>
      <c r="E192" s="2" t="str">
        <f ca="1">IFERROR(__xludf.DUMMYFUNCTION("GOOGLETRANSLATE(D192,""en"",""pt"")"),"Treecko é um Pokémon do tipo grama introduzido na geração 3. É conhecido como Pokémon de Gecko Wood.")</f>
        <v>Treecko é um Pokémon do tipo grama introduzido na geração 3. É conhecido como Pokémon de Gecko Wood.</v>
      </c>
      <c r="F192" s="2" t="str">
        <f ca="1">IFERROR(__xludf.DUMMYFUNCTION("GOOGLETRANSLATE(B192,""en"",""pt"")"),"Pokémon de lagartixa de madeira")</f>
        <v>Pokémon de lagartixa de madeira</v>
      </c>
    </row>
    <row r="193" spans="1:6" ht="15.75" customHeight="1" x14ac:dyDescent="0.25">
      <c r="A193" s="2" t="s">
        <v>663</v>
      </c>
      <c r="B193" s="2" t="s">
        <v>660</v>
      </c>
      <c r="C193" s="2" t="s">
        <v>664</v>
      </c>
      <c r="D193" s="2" t="s">
        <v>665</v>
      </c>
      <c r="E193" s="2" t="str">
        <f ca="1">IFERROR(__xludf.DUMMYFUNCTION("GOOGLETRANSLATE(D193,""en"",""pt"")"),"Grovyle é um Pokémon do tipo grama introduzido na geração 3. É conhecido como Pokémon de Gecko Wood.")</f>
        <v>Grovyle é um Pokémon do tipo grama introduzido na geração 3. É conhecido como Pokémon de Gecko Wood.</v>
      </c>
      <c r="F193" s="2" t="str">
        <f ca="1">IFERROR(__xludf.DUMMYFUNCTION("GOOGLETRANSLATE(B193,""en"",""pt"")"),"Pokémon de lagartixa de madeira")</f>
        <v>Pokémon de lagartixa de madeira</v>
      </c>
    </row>
    <row r="194" spans="1:6" ht="15.75" customHeight="1" x14ac:dyDescent="0.25">
      <c r="A194" s="2" t="s">
        <v>666</v>
      </c>
      <c r="B194" s="2" t="s">
        <v>667</v>
      </c>
      <c r="C194" s="2" t="s">
        <v>668</v>
      </c>
      <c r="D194" s="2" t="s">
        <v>669</v>
      </c>
      <c r="E194" s="2" t="str">
        <f ca="1">IFERROR(__xludf.DUMMYFUNCTION("GOOGLETRANSLATE(D194,""en"",""pt"")"),"O SCECTILE é um Pokémon do tipo grama introduzido na geração 3. É conhecido como Pokémon da Floresta.
Sceptile tem uma mega evolução, disponível na Omega Ruby &amp; Alpha Sapphire em diante.")</f>
        <v>O SCECTILE é um Pokémon do tipo grama introduzido na geração 3. É conhecido como Pokémon da Floresta.
Sceptile tem uma mega evolução, disponível na Omega Ruby &amp; Alpha Sapphire em diante.</v>
      </c>
      <c r="F194" s="2" t="str">
        <f ca="1">IFERROR(__xludf.DUMMYFUNCTION("GOOGLETRANSLATE(B194,""en"",""pt"")"),"Pokémon da floresta")</f>
        <v>Pokémon da floresta</v>
      </c>
    </row>
    <row r="195" spans="1:6" ht="15.75" customHeight="1" x14ac:dyDescent="0.25">
      <c r="A195" s="2" t="s">
        <v>666</v>
      </c>
      <c r="B195" s="2" t="s">
        <v>667</v>
      </c>
      <c r="C195" s="2" t="s">
        <v>670</v>
      </c>
      <c r="D195" s="2" t="s">
        <v>669</v>
      </c>
      <c r="E195" s="2" t="str">
        <f ca="1">IFERROR(__xludf.DUMMYFUNCTION("GOOGLETRANSLATE(D195,""en"",""pt"")"),"O SCECTILE é um Pokémon do tipo grama introduzido na geração 3. É conhecido como Pokémon da Floresta.
Sceptile tem uma mega evolução, disponível na Omega Ruby &amp; Alpha Sapphire em diante.")</f>
        <v>O SCECTILE é um Pokémon do tipo grama introduzido na geração 3. É conhecido como Pokémon da Floresta.
Sceptile tem uma mega evolução, disponível na Omega Ruby &amp; Alpha Sapphire em diante.</v>
      </c>
      <c r="F195" s="2" t="str">
        <f ca="1">IFERROR(__xludf.DUMMYFUNCTION("GOOGLETRANSLATE(B195,""en"",""pt"")"),"Pokémon da floresta")</f>
        <v>Pokémon da floresta</v>
      </c>
    </row>
    <row r="196" spans="1:6" ht="15.75" customHeight="1" x14ac:dyDescent="0.25">
      <c r="A196" s="2" t="s">
        <v>671</v>
      </c>
      <c r="B196" s="2" t="s">
        <v>672</v>
      </c>
      <c r="C196" s="2" t="s">
        <v>673</v>
      </c>
      <c r="D196" s="2" t="s">
        <v>674</v>
      </c>
      <c r="E196" s="2" t="str">
        <f ca="1">IFERROR(__xludf.DUMMYFUNCTION("GOOGLETRANSLATE(D196,""en"",""pt"")"),"Torchic é um Pokémon do tipo incêndio introduzido na geração 3. É conhecido como Pokémon Chick.")</f>
        <v>Torchic é um Pokémon do tipo incêndio introduzido na geração 3. É conhecido como Pokémon Chick.</v>
      </c>
      <c r="F196" s="2" t="str">
        <f ca="1">IFERROR(__xludf.DUMMYFUNCTION("GOOGLETRANSLATE(B196,""en"",""pt"")"),"Chick Pokémon")</f>
        <v>Chick Pokémon</v>
      </c>
    </row>
    <row r="197" spans="1:6" ht="15.75" customHeight="1" x14ac:dyDescent="0.25">
      <c r="A197" s="2" t="s">
        <v>675</v>
      </c>
      <c r="B197" s="2" t="s">
        <v>676</v>
      </c>
      <c r="C197" s="2" t="s">
        <v>677</v>
      </c>
      <c r="D197" s="2" t="s">
        <v>678</v>
      </c>
      <c r="E197" s="2" t="str">
        <f ca="1">IFERROR(__xludf.DUMMYFUNCTION("GOOGLETRANSLATE(D197,""en"",""pt"")"),"Combusken é um Pokémon do tipo Fire/Fighting introduzido na geração 3. É conhecido como o jovem Pokémon de aves.")</f>
        <v>Combusken é um Pokémon do tipo Fire/Fighting introduzido na geração 3. É conhecido como o jovem Pokémon de aves.</v>
      </c>
      <c r="F197" s="2" t="str">
        <f ca="1">IFERROR(__xludf.DUMMYFUNCTION("GOOGLETRANSLATE(B197,""en"",""pt"")"),"Pokémon de aves jovens")</f>
        <v>Pokémon de aves jovens</v>
      </c>
    </row>
    <row r="198" spans="1:6" ht="15.75" customHeight="1" x14ac:dyDescent="0.25">
      <c r="A198" s="2" t="s">
        <v>679</v>
      </c>
      <c r="B198" s="2" t="s">
        <v>680</v>
      </c>
      <c r="C198" s="2" t="s">
        <v>681</v>
      </c>
      <c r="D198" s="2" t="s">
        <v>682</v>
      </c>
      <c r="E198" s="2" t="str">
        <f ca="1">IFERROR(__xludf.DUMMYFUNCTION("GOOGLETRANSLATE(D198,""en"",""pt"")"),"Blaziken é um Pokémon do tipo Fire/Fighting introduzido na geração 3. É conhecido como Pokémon Blaze.
Blaziken tem uma mega evolução, disponível a partir da X&amp;Y.")</f>
        <v>Blaziken é um Pokémon do tipo Fire/Fighting introduzido na geração 3. É conhecido como Pokémon Blaze.
Blaziken tem uma mega evolução, disponível a partir da X&amp;Y.</v>
      </c>
      <c r="F198" s="2" t="str">
        <f ca="1">IFERROR(__xludf.DUMMYFUNCTION("GOOGLETRANSLATE(B198,""en"",""pt"")"),"Blaze Pokémon")</f>
        <v>Blaze Pokémon</v>
      </c>
    </row>
    <row r="199" spans="1:6" ht="15.75" customHeight="1" x14ac:dyDescent="0.25">
      <c r="A199" s="2" t="s">
        <v>679</v>
      </c>
      <c r="B199" s="2" t="s">
        <v>680</v>
      </c>
      <c r="C199" s="2" t="s">
        <v>683</v>
      </c>
      <c r="D199" s="2" t="s">
        <v>682</v>
      </c>
      <c r="E199" s="2" t="str">
        <f ca="1">IFERROR(__xludf.DUMMYFUNCTION("GOOGLETRANSLATE(D199,""en"",""pt"")"),"Blaziken é um Pokémon do tipo Fire/Fighting introduzido na geração 3. É conhecido como Pokémon Blaze.
Blaziken tem uma mega evolução, disponível a partir da X&amp;Y.")</f>
        <v>Blaziken é um Pokémon do tipo Fire/Fighting introduzido na geração 3. É conhecido como Pokémon Blaze.
Blaziken tem uma mega evolução, disponível a partir da X&amp;Y.</v>
      </c>
      <c r="F199" s="2" t="str">
        <f ca="1">IFERROR(__xludf.DUMMYFUNCTION("GOOGLETRANSLATE(B199,""en"",""pt"")"),"Blaze Pokémon")</f>
        <v>Blaze Pokémon</v>
      </c>
    </row>
    <row r="200" spans="1:6" ht="15.75" customHeight="1" x14ac:dyDescent="0.25">
      <c r="A200" s="2" t="s">
        <v>684</v>
      </c>
      <c r="B200" s="2" t="s">
        <v>685</v>
      </c>
      <c r="C200" s="2" t="s">
        <v>686</v>
      </c>
      <c r="D200" s="2" t="s">
        <v>687</v>
      </c>
      <c r="E200" s="2" t="str">
        <f ca="1">IFERROR(__xludf.DUMMYFUNCTION("GOOGLETRANSLATE(D200,""en"",""pt"")"),"Mudkip é um Pokémon do tipo água introduzido na geração 3. É conhecido como Pokémon de peixe de lama.")</f>
        <v>Mudkip é um Pokémon do tipo água introduzido na geração 3. É conhecido como Pokémon de peixe de lama.</v>
      </c>
      <c r="F200" s="2" t="str">
        <f ca="1">IFERROR(__xludf.DUMMYFUNCTION("GOOGLETRANSLATE(B200,""en"",""pt"")"),"Pokémon de peixe de lama")</f>
        <v>Pokémon de peixe de lama</v>
      </c>
    </row>
    <row r="201" spans="1:6" ht="15.75" customHeight="1" x14ac:dyDescent="0.25">
      <c r="A201" s="2" t="s">
        <v>688</v>
      </c>
      <c r="B201" s="2" t="s">
        <v>685</v>
      </c>
      <c r="C201" s="2" t="s">
        <v>689</v>
      </c>
      <c r="D201" s="2" t="s">
        <v>690</v>
      </c>
      <c r="E201" s="2" t="str">
        <f ca="1">IFERROR(__xludf.DUMMYFUNCTION("GOOGLETRANSLATE(D201,""en"",""pt"")"),"Marshtomp é um Pokémon do tipo água/terra introduzido na geração 3. É conhecido como Pokémon de peixe de lama.")</f>
        <v>Marshtomp é um Pokémon do tipo água/terra introduzido na geração 3. É conhecido como Pokémon de peixe de lama.</v>
      </c>
      <c r="F201" s="2" t="str">
        <f ca="1">IFERROR(__xludf.DUMMYFUNCTION("GOOGLETRANSLATE(B201,""en"",""pt"")"),"Pokémon de peixe de lama")</f>
        <v>Pokémon de peixe de lama</v>
      </c>
    </row>
    <row r="202" spans="1:6" ht="15.75" customHeight="1" x14ac:dyDescent="0.25">
      <c r="A202" s="2" t="s">
        <v>691</v>
      </c>
      <c r="B202" s="2" t="s">
        <v>391</v>
      </c>
      <c r="C202" s="2" t="s">
        <v>692</v>
      </c>
      <c r="D202" s="2" t="s">
        <v>693</v>
      </c>
      <c r="E202" s="2" t="str">
        <f ca="1">IFERROR(__xludf.DUMMYFUNCTION("GOOGLETRANSLATE(D202,""en"",""pt"")"),"Raichu é um Pokémon do tipo elétrico introduzido na geração 1. É conhecido como Pokémon de Mouse.
Raichu tem uma nova forma Alolan introduzida em Pokémon Sun/Moon.")</f>
        <v>Raichu é um Pokémon do tipo elétrico introduzido na geração 1. É conhecido como Pokémon de Mouse.
Raichu tem uma nova forma Alolan introduzida em Pokémon Sun/Moon.</v>
      </c>
      <c r="F202" s="2" t="str">
        <f ca="1">IFERROR(__xludf.DUMMYFUNCTION("GOOGLETRANSLATE(B202,""en"",""pt"")"),"Pokémon de mouse")</f>
        <v>Pokémon de mouse</v>
      </c>
    </row>
    <row r="203" spans="1:6" ht="15.75" customHeight="1" x14ac:dyDescent="0.25">
      <c r="A203" s="2" t="s">
        <v>691</v>
      </c>
      <c r="B203" s="2" t="s">
        <v>391</v>
      </c>
      <c r="C203" s="2" t="s">
        <v>694</v>
      </c>
      <c r="D203" s="2" t="s">
        <v>693</v>
      </c>
      <c r="E203" s="2" t="str">
        <f ca="1">IFERROR(__xludf.DUMMYFUNCTION("GOOGLETRANSLATE(D203,""en"",""pt"")"),"Raichu é um Pokémon do tipo elétrico introduzido na geração 1. É conhecido como Pokémon de Mouse.
Raichu tem uma nova forma Alolan introduzida em Pokémon Sun/Moon.")</f>
        <v>Raichu é um Pokémon do tipo elétrico introduzido na geração 1. É conhecido como Pokémon de Mouse.
Raichu tem uma nova forma Alolan introduzida em Pokémon Sun/Moon.</v>
      </c>
      <c r="F203" s="2" t="str">
        <f ca="1">IFERROR(__xludf.DUMMYFUNCTION("GOOGLETRANSLATE(B203,""en"",""pt"")"),"Pokémon de mouse")</f>
        <v>Pokémon de mouse</v>
      </c>
    </row>
    <row r="204" spans="1:6" ht="15.75" customHeight="1" x14ac:dyDescent="0.25">
      <c r="A204" s="2" t="s">
        <v>695</v>
      </c>
      <c r="B204" s="2" t="s">
        <v>685</v>
      </c>
      <c r="C204" s="2" t="s">
        <v>696</v>
      </c>
      <c r="D204" s="2" t="s">
        <v>697</v>
      </c>
      <c r="E204" s="2" t="str">
        <f ca="1">IFERROR(__xludf.DUMMYFUNCTION("GOOGLETRANSLATE(D204,""en"",""pt"")"),"Swampert é um Pokémon do tipo água/terra introduzido na geração 3. É conhecido como Pokémon de peixe de lama.
Swampert tem uma mega evolução, disponível na Omega Ruby &amp; Alpha Sapphire.")</f>
        <v>Swampert é um Pokémon do tipo água/terra introduzido na geração 3. É conhecido como Pokémon de peixe de lama.
Swampert tem uma mega evolução, disponível na Omega Ruby &amp; Alpha Sapphire.</v>
      </c>
      <c r="F204" s="2" t="str">
        <f ca="1">IFERROR(__xludf.DUMMYFUNCTION("GOOGLETRANSLATE(B204,""en"",""pt"")"),"Pokémon de peixe de lama")</f>
        <v>Pokémon de peixe de lama</v>
      </c>
    </row>
    <row r="205" spans="1:6" ht="15.75" customHeight="1" x14ac:dyDescent="0.25">
      <c r="A205" s="2" t="s">
        <v>695</v>
      </c>
      <c r="B205" s="2" t="s">
        <v>685</v>
      </c>
      <c r="C205" s="2" t="s">
        <v>698</v>
      </c>
      <c r="D205" s="2" t="s">
        <v>697</v>
      </c>
      <c r="E205" s="2" t="str">
        <f ca="1">IFERROR(__xludf.DUMMYFUNCTION("GOOGLETRANSLATE(D205,""en"",""pt"")"),"Swampert é um Pokémon do tipo água/terra introduzido na geração 3. É conhecido como Pokémon de peixe de lama.
Swampert tem uma mega evolução, disponível na Omega Ruby &amp; Alpha Sapphire.")</f>
        <v>Swampert é um Pokémon do tipo água/terra introduzido na geração 3. É conhecido como Pokémon de peixe de lama.
Swampert tem uma mega evolução, disponível na Omega Ruby &amp; Alpha Sapphire.</v>
      </c>
      <c r="F205" s="2" t="str">
        <f ca="1">IFERROR(__xludf.DUMMYFUNCTION("GOOGLETRANSLATE(B205,""en"",""pt"")"),"Pokémon de peixe de lama")</f>
        <v>Pokémon de peixe de lama</v>
      </c>
    </row>
    <row r="206" spans="1:6" ht="15.75" customHeight="1" x14ac:dyDescent="0.25">
      <c r="A206" s="2" t="s">
        <v>699</v>
      </c>
      <c r="B206" s="2" t="s">
        <v>700</v>
      </c>
      <c r="C206" s="2" t="s">
        <v>701</v>
      </c>
      <c r="D206" s="2" t="s">
        <v>702</v>
      </c>
      <c r="E206" s="2" t="str">
        <f ca="1">IFERROR(__xludf.DUMMYFUNCTION("GOOGLETRANSLATE(D206,""en"",""pt"")"),"Poochyena é um Pokémon do tipo escuro introduzido na geração 3. É conhecido como Pokémon Bite.")</f>
        <v>Poochyena é um Pokémon do tipo escuro introduzido na geração 3. É conhecido como Pokémon Bite.</v>
      </c>
      <c r="F206" s="2" t="str">
        <f ca="1">IFERROR(__xludf.DUMMYFUNCTION("GOOGLETRANSLATE(B206,""en"",""pt"")"),"Morda Pokémon")</f>
        <v>Morda Pokémon</v>
      </c>
    </row>
    <row r="207" spans="1:6" ht="15.75" customHeight="1" x14ac:dyDescent="0.25">
      <c r="A207" s="2" t="s">
        <v>703</v>
      </c>
      <c r="B207" s="2" t="s">
        <v>700</v>
      </c>
      <c r="C207" s="2" t="s">
        <v>704</v>
      </c>
      <c r="D207" s="2" t="s">
        <v>705</v>
      </c>
      <c r="E207" s="2" t="str">
        <f ca="1">IFERROR(__xludf.DUMMYFUNCTION("GOOGLETRANSLATE(D207,""en"",""pt"")"),"Mightyena é um Pokémon do tipo escuro introduzido na geração 3. É conhecido como Pokémon de Mordida.")</f>
        <v>Mightyena é um Pokémon do tipo escuro introduzido na geração 3. É conhecido como Pokémon de Mordida.</v>
      </c>
      <c r="F207" s="2" t="str">
        <f ca="1">IFERROR(__xludf.DUMMYFUNCTION("GOOGLETRANSLATE(B207,""en"",""pt"")"),"Morda Pokémon")</f>
        <v>Morda Pokémon</v>
      </c>
    </row>
    <row r="208" spans="1:6" ht="15.75" customHeight="1" x14ac:dyDescent="0.25">
      <c r="A208" s="2" t="s">
        <v>706</v>
      </c>
      <c r="B208" s="2" t="s">
        <v>707</v>
      </c>
      <c r="C208" s="2" t="s">
        <v>708</v>
      </c>
      <c r="D208" s="2" t="s">
        <v>709</v>
      </c>
      <c r="E208" s="2" t="str">
        <f ca="1">IFERROR(__xludf.DUMMYFUNCTION("GOOGLETRANSLATE(D208,""en"",""pt"")"),"O Zigzagoon é um Pokémon do tipo normal introduzido na geração 3. É conhecido como Pokémon Tinyraccoon.")</f>
        <v>O Zigzagoon é um Pokémon do tipo normal introduzido na geração 3. É conhecido como Pokémon Tinyraccoon.</v>
      </c>
      <c r="F208" s="2" t="str">
        <f ca="1">IFERROR(__xludf.DUMMYFUNCTION("GOOGLETRANSLATE(B208,""en"",""pt"")"),"Pokémon Tinyraccoon")</f>
        <v>Pokémon Tinyraccoon</v>
      </c>
    </row>
    <row r="209" spans="1:6" ht="15.75" customHeight="1" x14ac:dyDescent="0.25">
      <c r="A209" s="2" t="s">
        <v>710</v>
      </c>
      <c r="B209" s="2" t="s">
        <v>711</v>
      </c>
      <c r="C209" s="2" t="s">
        <v>712</v>
      </c>
      <c r="D209" s="2" t="s">
        <v>713</v>
      </c>
      <c r="E209" s="2" t="str">
        <f ca="1">IFERROR(__xludf.DUMMYFUNCTION("GOOGLETRANSLATE(D209,""en"",""pt"")"),"Linoone é um Pokémon do tipo normal introduzido na geração 3. É conhecido como Pokémon apressado.")</f>
        <v>Linoone é um Pokémon do tipo normal introduzido na geração 3. É conhecido como Pokémon apressado.</v>
      </c>
      <c r="F209" s="2" t="str">
        <f ca="1">IFERROR(__xludf.DUMMYFUNCTION("GOOGLETRANSLATE(B209,""en"",""pt"")"),"Pokémon apressando")</f>
        <v>Pokémon apressando</v>
      </c>
    </row>
    <row r="210" spans="1:6" ht="15.75" customHeight="1" x14ac:dyDescent="0.25">
      <c r="A210" s="2" t="s">
        <v>714</v>
      </c>
      <c r="B210" s="2" t="s">
        <v>9</v>
      </c>
      <c r="C210" s="2" t="s">
        <v>715</v>
      </c>
      <c r="D210" s="2" t="s">
        <v>716</v>
      </c>
      <c r="E210" s="2" t="str">
        <f ca="1">IFERROR(__xludf.DUMMYFUNCTION("GOOGLETRANSLATE(D210,""en"",""pt"")"),"Wurmple é um Pokémon do tipo bug introduzido na geração 3. É conhecido como Pokémon Worm.")</f>
        <v>Wurmple é um Pokémon do tipo bug introduzido na geração 3. É conhecido como Pokémon Worm.</v>
      </c>
      <c r="F210" s="2" t="str">
        <f ca="1">IFERROR(__xludf.DUMMYFUNCTION("GOOGLETRANSLATE(B210,""en"",""pt"")"),"Pokémon de minhocas")</f>
        <v>Pokémon de minhocas</v>
      </c>
    </row>
    <row r="211" spans="1:6" ht="15.75" customHeight="1" x14ac:dyDescent="0.25">
      <c r="A211" s="2" t="s">
        <v>717</v>
      </c>
      <c r="B211" s="2" t="s">
        <v>54</v>
      </c>
      <c r="C211" s="2" t="s">
        <v>718</v>
      </c>
      <c r="D211" s="2" t="s">
        <v>719</v>
      </c>
      <c r="E211" s="2" t="str">
        <f ca="1">IFERROR(__xludf.DUMMYFUNCTION("GOOGLETRANSLATE(D211,""en"",""pt"")"),"O Silcoon é um Pokémon do tipo inseto introduzido na geração 3. É conhecido como Pokémon Cocoon.")</f>
        <v>O Silcoon é um Pokémon do tipo inseto introduzido na geração 3. É conhecido como Pokémon Cocoon.</v>
      </c>
      <c r="F211" s="2" t="str">
        <f ca="1">IFERROR(__xludf.DUMMYFUNCTION("GOOGLETRANSLATE(B211,""en"",""pt"")"),"Pokémon Cocoon")</f>
        <v>Pokémon Cocoon</v>
      </c>
    </row>
    <row r="212" spans="1:6" ht="15.75" customHeight="1" x14ac:dyDescent="0.25">
      <c r="A212" s="2" t="s">
        <v>720</v>
      </c>
      <c r="B212" s="2" t="s">
        <v>95</v>
      </c>
      <c r="C212" s="2" t="s">
        <v>721</v>
      </c>
      <c r="D212" s="2" t="s">
        <v>722</v>
      </c>
      <c r="E212" s="2" t="str">
        <f ca="1">IFERROR(__xludf.DUMMYFUNCTION("GOOGLETRANSLATE(D212,""en"",""pt"")"),"Beautifly é um Pokémon do tipo bug/voador introduzido na geração 3. É conhecido como Pokémon Butterfly.")</f>
        <v>Beautifly é um Pokémon do tipo bug/voador introduzido na geração 3. É conhecido como Pokémon Butterfly.</v>
      </c>
      <c r="F212" s="2" t="str">
        <f ca="1">IFERROR(__xludf.DUMMYFUNCTION("GOOGLETRANSLATE(B212,""en"",""pt"")"),"Pokémon borboleta")</f>
        <v>Pokémon borboleta</v>
      </c>
    </row>
    <row r="213" spans="1:6" ht="15.75" customHeight="1" x14ac:dyDescent="0.25">
      <c r="A213" s="2" t="s">
        <v>723</v>
      </c>
      <c r="B213" s="2" t="s">
        <v>54</v>
      </c>
      <c r="C213" s="2" t="s">
        <v>724</v>
      </c>
      <c r="D213" s="2" t="s">
        <v>725</v>
      </c>
      <c r="E213" s="2" t="str">
        <f ca="1">IFERROR(__xludf.DUMMYFUNCTION("GOOGLETRANSLATE(D213,""en"",""pt"")"),"Cascoon é um Pokémon do tipo bug introduzido na geração 3. É conhecido como Pokémon Cocoon.")</f>
        <v>Cascoon é um Pokémon do tipo bug introduzido na geração 3. É conhecido como Pokémon Cocoon.</v>
      </c>
      <c r="F213" s="2" t="str">
        <f ca="1">IFERROR(__xludf.DUMMYFUNCTION("GOOGLETRANSLATE(B213,""en"",""pt"")"),"Pokémon Cocoon")</f>
        <v>Pokémon Cocoon</v>
      </c>
    </row>
    <row r="214" spans="1:6" ht="15.75" customHeight="1" x14ac:dyDescent="0.25">
      <c r="A214" s="2" t="s">
        <v>726</v>
      </c>
      <c r="B214" s="2" t="s">
        <v>727</v>
      </c>
      <c r="C214" s="2" t="s">
        <v>728</v>
      </c>
      <c r="D214" s="2" t="s">
        <v>729</v>
      </c>
      <c r="E214" s="2" t="str">
        <f ca="1">IFERROR(__xludf.DUMMYFUNCTION("GOOGLETRANSLATE(D214,""en"",""pt"")"),"O Dustox é um Pokémon do tipo bug/veneno introduzido na geração 3. É conhecido como Pokémon Poison Moth Pokémon.")</f>
        <v>O Dustox é um Pokémon do tipo bug/veneno introduzido na geração 3. É conhecido como Pokémon Poison Moth Pokémon.</v>
      </c>
      <c r="F214" s="2" t="str">
        <f ca="1">IFERROR(__xludf.DUMMYFUNCTION("GOOGLETRANSLATE(B214,""en"",""pt"")"),"Pokémon de mariposa venenosa")</f>
        <v>Pokémon de mariposa venenosa</v>
      </c>
    </row>
    <row r="215" spans="1:6" ht="15.75" customHeight="1" x14ac:dyDescent="0.25">
      <c r="A215" s="2" t="s">
        <v>730</v>
      </c>
      <c r="B215" s="2" t="s">
        <v>391</v>
      </c>
      <c r="C215" s="2" t="s">
        <v>731</v>
      </c>
      <c r="D215" s="2" t="s">
        <v>732</v>
      </c>
      <c r="E215" s="2" t="str">
        <f ca="1">IFERROR(__xludf.DUMMYFUNCTION("GOOGLETRANSLATE(D215,""en"",""pt"")"),"O sandshrew é um Pokémon do tipo terra introduzido na geração 1. É conhecido como Pokémon de Mouse.
O sandshrew tem uma nova forma Alolan introduzida em Pokémon Sun/Moon.")</f>
        <v>O sandshrew é um Pokémon do tipo terra introduzido na geração 1. É conhecido como Pokémon de Mouse.
O sandshrew tem uma nova forma Alolan introduzida em Pokémon Sun/Moon.</v>
      </c>
      <c r="F215" s="2" t="str">
        <f ca="1">IFERROR(__xludf.DUMMYFUNCTION("GOOGLETRANSLATE(B215,""en"",""pt"")"),"Pokémon de mouse")</f>
        <v>Pokémon de mouse</v>
      </c>
    </row>
    <row r="216" spans="1:6" ht="15.75" customHeight="1" x14ac:dyDescent="0.25">
      <c r="A216" s="2" t="s">
        <v>730</v>
      </c>
      <c r="B216" s="2" t="s">
        <v>391</v>
      </c>
      <c r="C216" s="2" t="s">
        <v>733</v>
      </c>
      <c r="D216" s="2" t="s">
        <v>732</v>
      </c>
      <c r="E216" s="2" t="str">
        <f ca="1">IFERROR(__xludf.DUMMYFUNCTION("GOOGLETRANSLATE(D216,""en"",""pt"")"),"O sandshrew é um Pokémon do tipo terra introduzido na geração 1. É conhecido como Pokémon de Mouse.
O sandshrew tem uma nova forma Alolan introduzida em Pokémon Sun/Moon.")</f>
        <v>O sandshrew é um Pokémon do tipo terra introduzido na geração 1. É conhecido como Pokémon de Mouse.
O sandshrew tem uma nova forma Alolan introduzida em Pokémon Sun/Moon.</v>
      </c>
      <c r="F216" s="2" t="str">
        <f ca="1">IFERROR(__xludf.DUMMYFUNCTION("GOOGLETRANSLATE(B216,""en"",""pt"")"),"Pokémon de mouse")</f>
        <v>Pokémon de mouse</v>
      </c>
    </row>
    <row r="217" spans="1:6" ht="15.75" customHeight="1" x14ac:dyDescent="0.25">
      <c r="A217" s="2" t="s">
        <v>734</v>
      </c>
      <c r="B217" s="2" t="s">
        <v>735</v>
      </c>
      <c r="C217" s="2" t="s">
        <v>736</v>
      </c>
      <c r="D217" s="2" t="s">
        <v>737</v>
      </c>
      <c r="E217" s="2" t="str">
        <f ca="1">IFERROR(__xludf.DUMMYFUNCTION("GOOGLETRANSLATE(D217,""en"",""pt"")"),"O LOTAD é um Pokémon do tipo água/grama introduzido na geração 3. É conhecido como Pokémon de ervas daninhas de água.")</f>
        <v>O LOTAD é um Pokémon do tipo água/grama introduzido na geração 3. É conhecido como Pokémon de ervas daninhas de água.</v>
      </c>
      <c r="F217" s="2" t="str">
        <f ca="1">IFERROR(__xludf.DUMMYFUNCTION("GOOGLETRANSLATE(B217,""en"",""pt"")"),"Pokémon de ervas daninhas de água")</f>
        <v>Pokémon de ervas daninhas de água</v>
      </c>
    </row>
    <row r="218" spans="1:6" ht="15.75" customHeight="1" x14ac:dyDescent="0.25">
      <c r="A218" s="2" t="s">
        <v>738</v>
      </c>
      <c r="B218" s="2" t="s">
        <v>739</v>
      </c>
      <c r="C218" s="2" t="s">
        <v>740</v>
      </c>
      <c r="D218" s="2" t="s">
        <v>741</v>
      </c>
      <c r="E218" s="2" t="str">
        <f ca="1">IFERROR(__xludf.DUMMYFUNCTION("GOOGLETRANSLATE(D218,""en"",""pt"")"),"O Lombre é um Pokémon do tipo água/grama introduzido na geração 3. É conhecido como Pokémon Jolly.")</f>
        <v>O Lombre é um Pokémon do tipo água/grama introduzido na geração 3. É conhecido como Pokémon Jolly.</v>
      </c>
      <c r="F218" s="2" t="str">
        <f ca="1">IFERROR(__xludf.DUMMYFUNCTION("GOOGLETRANSLATE(B218,""en"",""pt"")"),"Jolly Pokémon")</f>
        <v>Jolly Pokémon</v>
      </c>
    </row>
    <row r="219" spans="1:6" ht="15.75" customHeight="1" x14ac:dyDescent="0.25">
      <c r="A219" s="2" t="s">
        <v>742</v>
      </c>
      <c r="B219" s="2" t="s">
        <v>743</v>
      </c>
      <c r="C219" s="2" t="s">
        <v>744</v>
      </c>
      <c r="D219" s="2" t="s">
        <v>745</v>
      </c>
      <c r="E219" s="2" t="str">
        <f ca="1">IFERROR(__xludf.DUMMYFUNCTION("GOOGLETRANSLATE(D219,""en"",""pt"")"),"Ludicolo é um Pokémon do tipo água/grama introduzido na geração 3. É conhecido como Pokémon despreocupado.")</f>
        <v>Ludicolo é um Pokémon do tipo água/grama introduzido na geração 3. É conhecido como Pokémon despreocupado.</v>
      </c>
      <c r="F219" s="2" t="str">
        <f ca="1">IFERROR(__xludf.DUMMYFUNCTION("GOOGLETRANSLATE(B219,""en"",""pt"")"),"Pokémon despreocupado")</f>
        <v>Pokémon despreocupado</v>
      </c>
    </row>
    <row r="220" spans="1:6" ht="15.75" customHeight="1" x14ac:dyDescent="0.25">
      <c r="A220" s="2" t="s">
        <v>746</v>
      </c>
      <c r="B220" s="2" t="s">
        <v>747</v>
      </c>
      <c r="C220" s="2" t="s">
        <v>748</v>
      </c>
      <c r="D220" s="2" t="s">
        <v>749</v>
      </c>
      <c r="E220" s="2" t="str">
        <f ca="1">IFERROR(__xludf.DUMMYFUNCTION("GOOGLETRANSLATE(D220,""en"",""pt"")"),"O Seedot é um Pokémon do tipo grama introduzido na geração 3. É conhecido como Pokémon de Bolota.")</f>
        <v>O Seedot é um Pokémon do tipo grama introduzido na geração 3. É conhecido como Pokémon de Bolota.</v>
      </c>
      <c r="F220" s="2" t="str">
        <f ca="1">IFERROR(__xludf.DUMMYFUNCTION("GOOGLETRANSLATE(B220,""en"",""pt"")"),"Pokémon de bolotas")</f>
        <v>Pokémon de bolotas</v>
      </c>
    </row>
    <row r="221" spans="1:6" ht="15.75" customHeight="1" x14ac:dyDescent="0.25">
      <c r="A221" s="2" t="s">
        <v>750</v>
      </c>
      <c r="B221" s="2" t="s">
        <v>751</v>
      </c>
      <c r="C221" s="2" t="s">
        <v>752</v>
      </c>
      <c r="D221" s="2" t="s">
        <v>753</v>
      </c>
      <c r="E221" s="2" t="str">
        <f ca="1">IFERROR(__xludf.DUMMYFUNCTION("GOOGLETRANSLATE(D221,""en"",""pt"")"),"O Nuzleaf é um Pokémon de grama/escuro introduzido na geração 3. É conhecido como Pokémon astuto.")</f>
        <v>O Nuzleaf é um Pokémon de grama/escuro introduzido na geração 3. É conhecido como Pokémon astuto.</v>
      </c>
      <c r="F221" s="2" t="str">
        <f ca="1">IFERROR(__xludf.DUMMYFUNCTION("GOOGLETRANSLATE(B221,""en"",""pt"")"),"Pokémon astuto")</f>
        <v>Pokémon astuto</v>
      </c>
    </row>
    <row r="222" spans="1:6" ht="15.75" customHeight="1" x14ac:dyDescent="0.25">
      <c r="A222" s="2" t="s">
        <v>754</v>
      </c>
      <c r="B222" s="2" t="s">
        <v>755</v>
      </c>
      <c r="C222" s="2" t="s">
        <v>756</v>
      </c>
      <c r="D222" s="2" t="s">
        <v>757</v>
      </c>
      <c r="E222" s="2" t="str">
        <f ca="1">IFERROR(__xludf.DUMMYFUNCTION("GOOGLETRANSLATE(D222,""en"",""pt"")"),"Shiftry é um Pokémon de grama/escuro introduzido na geração 3. É conhecido como Pokémon perverso.")</f>
        <v>Shiftry é um Pokémon de grama/escuro introduzido na geração 3. É conhecido como Pokémon perverso.</v>
      </c>
      <c r="F222" s="2" t="str">
        <f ca="1">IFERROR(__xludf.DUMMYFUNCTION("GOOGLETRANSLATE(B222,""en"",""pt"")"),"Pokémon perverso")</f>
        <v>Pokémon perverso</v>
      </c>
    </row>
    <row r="223" spans="1:6" ht="15.75" customHeight="1" x14ac:dyDescent="0.25">
      <c r="A223" s="2" t="s">
        <v>758</v>
      </c>
      <c r="B223" s="2" t="s">
        <v>759</v>
      </c>
      <c r="C223" s="2" t="s">
        <v>760</v>
      </c>
      <c r="D223" s="2" t="s">
        <v>761</v>
      </c>
      <c r="E223" s="2" t="str">
        <f ca="1">IFERROR(__xludf.DUMMYFUNCTION("GOOGLETRANSLATE(D223,""en"",""pt"")"),"Taillow é um Pokémon normal/voador introduzido na geração 3. É conhecido como Pokémon Tinyswallow.")</f>
        <v>Taillow é um Pokémon normal/voador introduzido na geração 3. É conhecido como Pokémon Tinyswallow.</v>
      </c>
      <c r="F223" s="2" t="str">
        <f ca="1">IFERROR(__xludf.DUMMYFUNCTION("GOOGLETRANSLATE(B223,""en"",""pt"")"),"Tinyswallow Pokémon")</f>
        <v>Tinyswallow Pokémon</v>
      </c>
    </row>
    <row r="224" spans="1:6" ht="15.75" customHeight="1" x14ac:dyDescent="0.25">
      <c r="A224" s="2" t="s">
        <v>762</v>
      </c>
      <c r="B224" s="2" t="s">
        <v>763</v>
      </c>
      <c r="C224" s="2" t="s">
        <v>764</v>
      </c>
      <c r="D224" s="2" t="s">
        <v>765</v>
      </c>
      <c r="E224" s="2" t="str">
        <f ca="1">IFERROR(__xludf.DUMMYFUNCTION("GOOGLETRANSLATE(D224,""en"",""pt"")"),"Swellow é um Pokémon Normal/Voador Introduzido na Geração 3. É conhecido como Pokémon Swallow.")</f>
        <v>Swellow é um Pokémon Normal/Voador Introduzido na Geração 3. É conhecido como Pokémon Swallow.</v>
      </c>
      <c r="F224" s="2" t="str">
        <f ca="1">IFERROR(__xludf.DUMMYFUNCTION("GOOGLETRANSLATE(B224,""en"",""pt"")"),"Engolir Pokémon")</f>
        <v>Engolir Pokémon</v>
      </c>
    </row>
    <row r="225" spans="1:6" ht="15.75" customHeight="1" x14ac:dyDescent="0.25">
      <c r="A225" s="2" t="s">
        <v>766</v>
      </c>
      <c r="B225" s="2" t="s">
        <v>767</v>
      </c>
      <c r="C225" s="2" t="s">
        <v>768</v>
      </c>
      <c r="D225" s="2" t="s">
        <v>769</v>
      </c>
      <c r="E225" s="2" t="str">
        <f ca="1">IFERROR(__xludf.DUMMYFUNCTION("GOOGLETRANSLATE(D225,""en"",""pt"")"),"Wingull é um Pokémon do tipo água/voador introduzido na geração 3. É conhecido como Pokémon gaivota.")</f>
        <v>Wingull é um Pokémon do tipo água/voador introduzido na geração 3. É conhecido como Pokémon gaivota.</v>
      </c>
      <c r="F225" s="2" t="str">
        <f ca="1">IFERROR(__xludf.DUMMYFUNCTION("GOOGLETRANSLATE(B225,""en"",""pt"")"),"Pokémon gaivota")</f>
        <v>Pokémon gaivota</v>
      </c>
    </row>
    <row r="226" spans="1:6" ht="15.75" customHeight="1" x14ac:dyDescent="0.25">
      <c r="A226" s="2" t="s">
        <v>770</v>
      </c>
      <c r="B226" s="2" t="s">
        <v>771</v>
      </c>
      <c r="C226" s="2" t="s">
        <v>772</v>
      </c>
      <c r="D226" s="2" t="s">
        <v>773</v>
      </c>
      <c r="E226" s="2" t="str">
        <f ca="1">IFERROR(__xludf.DUMMYFUNCTION("GOOGLETRANSLATE(D226,""en"",""pt"")"),"Pelipper é um Pokémon do tipo água/voador introduzido na geração 3. É conhecido como Pokémon de pássaro aquático.")</f>
        <v>Pelipper é um Pokémon do tipo água/voador introduzido na geração 3. É conhecido como Pokémon de pássaro aquático.</v>
      </c>
      <c r="F226" s="2" t="str">
        <f ca="1">IFERROR(__xludf.DUMMYFUNCTION("GOOGLETRANSLATE(B226,""en"",""pt"")"),"Pokémon de pássaros aquáticos")</f>
        <v>Pokémon de pássaros aquáticos</v>
      </c>
    </row>
    <row r="227" spans="1:6" ht="15.75" customHeight="1" x14ac:dyDescent="0.25">
      <c r="A227" s="2" t="s">
        <v>774</v>
      </c>
      <c r="B227" s="2" t="s">
        <v>391</v>
      </c>
      <c r="C227" s="2" t="s">
        <v>775</v>
      </c>
      <c r="D227" s="2" t="s">
        <v>776</v>
      </c>
      <c r="E227" s="2" t="str">
        <f ca="1">IFERROR(__xludf.DUMMYFUNCTION("GOOGLETRANSLATE(D227,""en"",""pt"")"),"Sandslash é um Pokémon do tipo terra introduzido na geração 1. É conhecido como Pokémon de Mouse.
Sandslash tem uma nova forma Alolan introduzida em Pokémon Sun/Moon.")</f>
        <v>Sandslash é um Pokémon do tipo terra introduzido na geração 1. É conhecido como Pokémon de Mouse.
Sandslash tem uma nova forma Alolan introduzida em Pokémon Sun/Moon.</v>
      </c>
      <c r="F227" s="2" t="str">
        <f ca="1">IFERROR(__xludf.DUMMYFUNCTION("GOOGLETRANSLATE(B227,""en"",""pt"")"),"Pokémon de mouse")</f>
        <v>Pokémon de mouse</v>
      </c>
    </row>
    <row r="228" spans="1:6" ht="15.75" customHeight="1" x14ac:dyDescent="0.25">
      <c r="A228" s="2" t="s">
        <v>774</v>
      </c>
      <c r="B228" s="2" t="s">
        <v>391</v>
      </c>
      <c r="C228" s="2" t="s">
        <v>777</v>
      </c>
      <c r="D228" s="2" t="s">
        <v>776</v>
      </c>
      <c r="E228" s="2" t="str">
        <f ca="1">IFERROR(__xludf.DUMMYFUNCTION("GOOGLETRANSLATE(D228,""en"",""pt"")"),"Sandslash é um Pokémon do tipo terra introduzido na geração 1. É conhecido como Pokémon de Mouse.
Sandslash tem uma nova forma Alolan introduzida em Pokémon Sun/Moon.")</f>
        <v>Sandslash é um Pokémon do tipo terra introduzido na geração 1. É conhecido como Pokémon de Mouse.
Sandslash tem uma nova forma Alolan introduzida em Pokémon Sun/Moon.</v>
      </c>
      <c r="F228" s="2" t="str">
        <f ca="1">IFERROR(__xludf.DUMMYFUNCTION("GOOGLETRANSLATE(B228,""en"",""pt"")"),"Pokémon de mouse")</f>
        <v>Pokémon de mouse</v>
      </c>
    </row>
    <row r="229" spans="1:6" ht="15.75" customHeight="1" x14ac:dyDescent="0.25">
      <c r="A229" s="2" t="s">
        <v>778</v>
      </c>
      <c r="B229" s="2" t="s">
        <v>779</v>
      </c>
      <c r="C229" s="2" t="s">
        <v>780</v>
      </c>
      <c r="D229" s="2" t="s">
        <v>781</v>
      </c>
      <c r="E229" s="2" t="str">
        <f ca="1">IFERROR(__xludf.DUMMYFUNCTION("GOOGLETRANSLATE(D229,""en"",""pt"")"),"Ralts é um Pokémon psíquico/de fada introduzido na geração 3. É conhecido como Pokémon de Sentimento.")</f>
        <v>Ralts é um Pokémon psíquico/de fada introduzido na geração 3. É conhecido como Pokémon de Sentimento.</v>
      </c>
      <c r="F229" s="2" t="str">
        <f ca="1">IFERROR(__xludf.DUMMYFUNCTION("GOOGLETRANSLATE(B229,""en"",""pt"")"),"Sentindo Pokémon")</f>
        <v>Sentindo Pokémon</v>
      </c>
    </row>
    <row r="230" spans="1:6" ht="15.75" customHeight="1" x14ac:dyDescent="0.25">
      <c r="A230" s="2" t="s">
        <v>782</v>
      </c>
      <c r="B230" s="2" t="s">
        <v>783</v>
      </c>
      <c r="C230" s="2" t="s">
        <v>784</v>
      </c>
      <c r="D230" s="2" t="s">
        <v>785</v>
      </c>
      <c r="E230" s="2" t="str">
        <f ca="1">IFERROR(__xludf.DUMMYFUNCTION("GOOGLETRANSLATE(D230,""en"",""pt"")"),"Kirlia é um Pokémon psíquico/de fada introduzido na geração 3. É conhecido como Pokémon Emotion.")</f>
        <v>Kirlia é um Pokémon psíquico/de fada introduzido na geração 3. É conhecido como Pokémon Emotion.</v>
      </c>
      <c r="F230" s="2" t="str">
        <f ca="1">IFERROR(__xludf.DUMMYFUNCTION("GOOGLETRANSLATE(B230,""en"",""pt"")"),"Pokémon emoção")</f>
        <v>Pokémon emoção</v>
      </c>
    </row>
    <row r="231" spans="1:6" ht="15.75" customHeight="1" x14ac:dyDescent="0.25">
      <c r="A231" s="2" t="s">
        <v>786</v>
      </c>
      <c r="B231" s="2" t="s">
        <v>787</v>
      </c>
      <c r="C231" s="2" t="s">
        <v>788</v>
      </c>
      <c r="D231" s="2" t="s">
        <v>789</v>
      </c>
      <c r="E231" s="2" t="str">
        <f ca="1">IFERROR(__xludf.DUMMYFUNCTION("GOOGLETRANSLATE(D231,""en"",""pt"")"),"Gardevoir é um Pokémon psíquico/de fada introduzido na geração 3. É conhecido como Pokémon Abraço.
Gardevoir tem uma mega evolução, disponível a partir de X&amp;Y.")</f>
        <v>Gardevoir é um Pokémon psíquico/de fada introduzido na geração 3. É conhecido como Pokémon Abraço.
Gardevoir tem uma mega evolução, disponível a partir de X&amp;Y.</v>
      </c>
      <c r="F231" s="2" t="str">
        <f ca="1">IFERROR(__xludf.DUMMYFUNCTION("GOOGLETRANSLATE(B231,""en"",""pt"")"),"Abrace Pokémon")</f>
        <v>Abrace Pokémon</v>
      </c>
    </row>
    <row r="232" spans="1:6" ht="15.75" customHeight="1" x14ac:dyDescent="0.25">
      <c r="A232" s="2" t="s">
        <v>786</v>
      </c>
      <c r="B232" s="2" t="s">
        <v>787</v>
      </c>
      <c r="C232" s="2" t="s">
        <v>790</v>
      </c>
      <c r="D232" s="2" t="s">
        <v>789</v>
      </c>
      <c r="E232" s="2" t="str">
        <f ca="1">IFERROR(__xludf.DUMMYFUNCTION("GOOGLETRANSLATE(D232,""en"",""pt"")"),"Gardevoir é um Pokémon psíquico/de fada introduzido na geração 3. É conhecido como Pokémon Abraço.
Gardevoir tem uma mega evolução, disponível a partir de X&amp;Y.")</f>
        <v>Gardevoir é um Pokémon psíquico/de fada introduzido na geração 3. É conhecido como Pokémon Abraço.
Gardevoir tem uma mega evolução, disponível a partir de X&amp;Y.</v>
      </c>
      <c r="F232" s="2" t="str">
        <f ca="1">IFERROR(__xludf.DUMMYFUNCTION("GOOGLETRANSLATE(B232,""en"",""pt"")"),"Abrace Pokémon")</f>
        <v>Abrace Pokémon</v>
      </c>
    </row>
    <row r="233" spans="1:6" ht="15.75" customHeight="1" x14ac:dyDescent="0.25">
      <c r="A233" s="2" t="s">
        <v>791</v>
      </c>
      <c r="B233" s="2" t="s">
        <v>792</v>
      </c>
      <c r="C233" s="2" t="s">
        <v>793</v>
      </c>
      <c r="D233" s="2" t="s">
        <v>794</v>
      </c>
      <c r="E233" s="2" t="str">
        <f ca="1">IFERROR(__xludf.DUMMYFUNCTION("GOOGLETRANSLATE(D233,""en"",""pt"")"),"Surskit é um Pokémon do tipo bug/água introduzido na geração 3. É conhecido como Pokémon de skatista da lagoa.")</f>
        <v>Surskit é um Pokémon do tipo bug/água introduzido na geração 3. É conhecido como Pokémon de skatista da lagoa.</v>
      </c>
      <c r="F233" s="2" t="str">
        <f ca="1">IFERROR(__xludf.DUMMYFUNCTION("GOOGLETRANSLATE(B233,""en"",""pt"")"),"Pokémon de skatista da lagoa")</f>
        <v>Pokémon de skatista da lagoa</v>
      </c>
    </row>
    <row r="234" spans="1:6" ht="15.75" customHeight="1" x14ac:dyDescent="0.25">
      <c r="A234" s="2" t="s">
        <v>795</v>
      </c>
      <c r="B234" s="2" t="s">
        <v>796</v>
      </c>
      <c r="C234" s="2" t="s">
        <v>797</v>
      </c>
      <c r="D234" s="2" t="s">
        <v>798</v>
      </c>
      <c r="E234" s="2" t="str">
        <f ca="1">IFERROR(__xludf.DUMMYFUNCTION("GOOGLETRANSLATE(D234,""en"",""pt"")"),"Masquerain é um Pokémon do tipo bug/voador introduzido na geração 3. É conhecido como Pokémon do globo ocular.")</f>
        <v>Masquerain é um Pokémon do tipo bug/voador introduzido na geração 3. É conhecido como Pokémon do globo ocular.</v>
      </c>
      <c r="F234" s="2" t="str">
        <f ca="1">IFERROR(__xludf.DUMMYFUNCTION("GOOGLETRANSLATE(B234,""en"",""pt"")"),"Pokémon do globo ocular")</f>
        <v>Pokémon do globo ocular</v>
      </c>
    </row>
    <row r="235" spans="1:6" ht="15.75" customHeight="1" x14ac:dyDescent="0.25">
      <c r="A235" s="2" t="s">
        <v>799</v>
      </c>
      <c r="B235" s="2" t="s">
        <v>800</v>
      </c>
      <c r="C235" s="2" t="s">
        <v>801</v>
      </c>
      <c r="D235" s="2" t="s">
        <v>802</v>
      </c>
      <c r="E235" s="2" t="str">
        <f ca="1">IFERROR(__xludf.DUMMYFUNCTION("GOOGLETRANSLATE(D235,""en"",""pt"")"),"Shroomish é um Pokémon do tipo grama introduzido na geração 3. É conhecido como Pokémon de cogumelos.")</f>
        <v>Shroomish é um Pokémon do tipo grama introduzido na geração 3. É conhecido como Pokémon de cogumelos.</v>
      </c>
      <c r="F235" s="2" t="str">
        <f ca="1">IFERROR(__xludf.DUMMYFUNCTION("GOOGLETRANSLATE(B235,""en"",""pt"")"),"Pokémon de cogumelos")</f>
        <v>Pokémon de cogumelos</v>
      </c>
    </row>
    <row r="236" spans="1:6" ht="15.75" customHeight="1" x14ac:dyDescent="0.25">
      <c r="A236" s="2" t="s">
        <v>803</v>
      </c>
      <c r="B236" s="2" t="s">
        <v>800</v>
      </c>
      <c r="C236" s="2" t="s">
        <v>804</v>
      </c>
      <c r="D236" s="2" t="s">
        <v>805</v>
      </c>
      <c r="E236" s="2" t="str">
        <f ca="1">IFERROR(__xludf.DUMMYFUNCTION("GOOGLETRANSLATE(D236,""en"",""pt"")"),"O Breloom é um Pokémon do tipo grama/luta introduzido na geração 3. É conhecido como Pokémon de cogumelos.")</f>
        <v>O Breloom é um Pokémon do tipo grama/luta introduzido na geração 3. É conhecido como Pokémon de cogumelos.</v>
      </c>
      <c r="F236" s="2" t="str">
        <f ca="1">IFERROR(__xludf.DUMMYFUNCTION("GOOGLETRANSLATE(B236,""en"",""pt"")"),"Pokémon de cogumelos")</f>
        <v>Pokémon de cogumelos</v>
      </c>
    </row>
    <row r="237" spans="1:6" ht="15.75" customHeight="1" x14ac:dyDescent="0.25">
      <c r="A237" s="2" t="s">
        <v>806</v>
      </c>
      <c r="B237" s="2" t="s">
        <v>807</v>
      </c>
      <c r="C237" s="2" t="s">
        <v>808</v>
      </c>
      <c r="D237" s="2" t="s">
        <v>809</v>
      </c>
      <c r="E237" s="2" t="str">
        <f ca="1">IFERROR(__xludf.DUMMYFUNCTION("GOOGLETRANSLATE(D237,""en"",""pt"")"),"Slakoth é um Pokémon do tipo normal introduzido na geração 3. É conhecido como Pokémon Slacker.")</f>
        <v>Slakoth é um Pokémon do tipo normal introduzido na geração 3. É conhecido como Pokémon Slacker.</v>
      </c>
      <c r="F237" s="2" t="str">
        <f ca="1">IFERROR(__xludf.DUMMYFUNCTION("GOOGLETRANSLATE(B237,""en"",""pt"")"),"Slacker Pokémon")</f>
        <v>Slacker Pokémon</v>
      </c>
    </row>
    <row r="238" spans="1:6" ht="15.75" customHeight="1" x14ac:dyDescent="0.25">
      <c r="A238" s="2" t="s">
        <v>810</v>
      </c>
      <c r="B238" s="2" t="s">
        <v>811</v>
      </c>
      <c r="C238" s="2" t="s">
        <v>812</v>
      </c>
      <c r="D238" s="2" t="s">
        <v>813</v>
      </c>
      <c r="E238" s="2" t="str">
        <f ca="1">IFERROR(__xludf.DUMMYFUNCTION("GOOGLETRANSLATE(D238,""en"",""pt"")"),"O Vigoroth é um Pokémon do tipo normal introduzido na geração 3. É conhecido como Pokémon Monkey Wild.")</f>
        <v>O Vigoroth é um Pokémon do tipo normal introduzido na geração 3. É conhecido como Pokémon Monkey Wild.</v>
      </c>
      <c r="F238" s="2" t="str">
        <f ca="1">IFERROR(__xludf.DUMMYFUNCTION("GOOGLETRANSLATE(B238,""en"",""pt"")"),"Pokémon de macaco selvagem")</f>
        <v>Pokémon de macaco selvagem</v>
      </c>
    </row>
    <row r="239" spans="1:6" ht="15.75" customHeight="1" x14ac:dyDescent="0.25">
      <c r="A239" s="2" t="s">
        <v>814</v>
      </c>
      <c r="B239" s="2" t="s">
        <v>815</v>
      </c>
      <c r="C239" s="2" t="s">
        <v>816</v>
      </c>
      <c r="D239" s="2" t="s">
        <v>817</v>
      </c>
      <c r="E239" s="2" t="str">
        <f ca="1">IFERROR(__xludf.DUMMYFUNCTION("GOOGLETRANSLATE(D239,""en"",""pt"")"),"A coleta é um Pokémon do tipo normal introduzido na geração 3. É conhecido como Pokémon preguiçoso.")</f>
        <v>A coleta é um Pokémon do tipo normal introduzido na geração 3. É conhecido como Pokémon preguiçoso.</v>
      </c>
      <c r="F239" s="2" t="str">
        <f ca="1">IFERROR(__xludf.DUMMYFUNCTION("GOOGLETRANSLATE(B239,""en"",""pt"")"),"Pokémon preguiçoso")</f>
        <v>Pokémon preguiçoso</v>
      </c>
    </row>
    <row r="240" spans="1:6" ht="15.75" customHeight="1" x14ac:dyDescent="0.25">
      <c r="A240" s="2" t="s">
        <v>818</v>
      </c>
      <c r="B240" s="2" t="s">
        <v>819</v>
      </c>
      <c r="C240" s="2" t="s">
        <v>820</v>
      </c>
      <c r="D240" s="2" t="s">
        <v>821</v>
      </c>
      <c r="E240" s="2" t="str">
        <f ca="1">IFERROR(__xludf.DUMMYFUNCTION("GOOGLETRANSLATE(D240,""en"",""pt"")"),"Nidoran♀ é um Pokémon do tipo veneno introduzido na geração 1. É conhecido como Pokémon Pin Poison.")</f>
        <v>Nidoran♀ é um Pokémon do tipo veneno introduzido na geração 1. É conhecido como Pokémon Pin Poison.</v>
      </c>
      <c r="F240" s="2" t="str">
        <f ca="1">IFERROR(__xludf.DUMMYFUNCTION("GOOGLETRANSLATE(B240,""en"",""pt"")"),"Pokémon de Pin Poison")</f>
        <v>Pokémon de Pin Poison</v>
      </c>
    </row>
    <row r="241" spans="1:6" ht="15.75" customHeight="1" x14ac:dyDescent="0.25">
      <c r="A241" s="2" t="s">
        <v>822</v>
      </c>
      <c r="B241" s="2" t="s">
        <v>823</v>
      </c>
      <c r="C241" s="2" t="s">
        <v>824</v>
      </c>
      <c r="D241" s="2" t="s">
        <v>825</v>
      </c>
      <c r="E241" s="2" t="str">
        <f ca="1">IFERROR(__xludf.DUMMYFUNCTION("GOOGLETRANSLATE(D241,""en"",""pt"")"),"Nincada é um Pokémon do tipo bug/terra introduzido na geração 3. É conhecido como Pokémon Trainee.")</f>
        <v>Nincada é um Pokémon do tipo bug/terra introduzido na geração 3. É conhecido como Pokémon Trainee.</v>
      </c>
      <c r="F241" s="2" t="str">
        <f ca="1">IFERROR(__xludf.DUMMYFUNCTION("GOOGLETRANSLATE(B241,""en"",""pt"")"),"Pokémon estagiário")</f>
        <v>Pokémon estagiário</v>
      </c>
    </row>
    <row r="242" spans="1:6" ht="15.75" customHeight="1" x14ac:dyDescent="0.25">
      <c r="A242" s="2" t="s">
        <v>826</v>
      </c>
      <c r="B242" s="2" t="s">
        <v>827</v>
      </c>
      <c r="C242" s="2" t="s">
        <v>828</v>
      </c>
      <c r="D242" s="2" t="s">
        <v>829</v>
      </c>
      <c r="E242" s="2" t="str">
        <f ca="1">IFERROR(__xludf.DUMMYFUNCTION("GOOGLETRANSLATE(D242,""en"",""pt"")"),"Ninjask é um Pokémon do tipo bug/voador introduzido na geração 3. É conhecido como Pokémon Ninja.")</f>
        <v>Ninjask é um Pokémon do tipo bug/voador introduzido na geração 3. É conhecido como Pokémon Ninja.</v>
      </c>
      <c r="F242" s="2" t="str">
        <f ca="1">IFERROR(__xludf.DUMMYFUNCTION("GOOGLETRANSLATE(B242,""en"",""pt"")"),"Pokémon ninja")</f>
        <v>Pokémon ninja</v>
      </c>
    </row>
    <row r="243" spans="1:6" ht="15.75" customHeight="1" x14ac:dyDescent="0.25">
      <c r="A243" s="2" t="s">
        <v>830</v>
      </c>
      <c r="B243" s="2" t="s">
        <v>831</v>
      </c>
      <c r="C243" s="2" t="s">
        <v>832</v>
      </c>
      <c r="D243" s="2" t="s">
        <v>833</v>
      </c>
      <c r="E243" s="2" t="str">
        <f ca="1">IFERROR(__xludf.DUMMYFUNCTION("GOOGLETRANSLATE(D243,""en"",""pt"")"),"Shedinja é um Pokémon do tipo bug/fantasma introduzido na geração 3. É conhecido como Pokémon de galpão.")</f>
        <v>Shedinja é um Pokémon do tipo bug/fantasma introduzido na geração 3. É conhecido como Pokémon de galpão.</v>
      </c>
      <c r="F243" s="2" t="str">
        <f ca="1">IFERROR(__xludf.DUMMYFUNCTION("GOOGLETRANSLATE(B243,""en"",""pt"")"),"Pokémon derramado")</f>
        <v>Pokémon derramado</v>
      </c>
    </row>
    <row r="244" spans="1:6" ht="15.75" customHeight="1" x14ac:dyDescent="0.25">
      <c r="A244" s="2" t="s">
        <v>834</v>
      </c>
      <c r="B244" s="2" t="s">
        <v>835</v>
      </c>
      <c r="C244" s="2" t="s">
        <v>836</v>
      </c>
      <c r="D244" s="2" t="s">
        <v>837</v>
      </c>
      <c r="E244" s="2" t="str">
        <f ca="1">IFERROR(__xludf.DUMMYFUNCTION("GOOGLETRANSLATE(D244,""en"",""pt"")"),"Whismur é um Pokémon do tipo normal introduzido na geração 3. É conhecido como Pokémon Whisper.")</f>
        <v>Whismur é um Pokémon do tipo normal introduzido na geração 3. É conhecido como Pokémon Whisper.</v>
      </c>
      <c r="F244" s="2" t="str">
        <f ca="1">IFERROR(__xludf.DUMMYFUNCTION("GOOGLETRANSLATE(B244,""en"",""pt"")"),"Pokémon sussurro")</f>
        <v>Pokémon sussurro</v>
      </c>
    </row>
    <row r="245" spans="1:6" ht="15.75" customHeight="1" x14ac:dyDescent="0.25">
      <c r="A245" s="2" t="s">
        <v>838</v>
      </c>
      <c r="B245" s="2" t="s">
        <v>839</v>
      </c>
      <c r="C245" s="2" t="s">
        <v>840</v>
      </c>
      <c r="D245" s="2" t="s">
        <v>841</v>
      </c>
      <c r="E245" s="2" t="str">
        <f ca="1">IFERROR(__xludf.DUMMYFUNCTION("GOOGLETRANSLATE(D245,""en"",""pt"")"),"Loudred é um Pokémon do tipo normal introduzido na geração 3. É conhecido como o Pokémon Big Voice.")</f>
        <v>Loudred é um Pokémon do tipo normal introduzido na geração 3. É conhecido como o Pokémon Big Voice.</v>
      </c>
      <c r="F245" s="2" t="str">
        <f ca="1">IFERROR(__xludf.DUMMYFUNCTION("GOOGLETRANSLATE(B245,""en"",""pt"")"),"Pokémon grande de voz")</f>
        <v>Pokémon grande de voz</v>
      </c>
    </row>
    <row r="246" spans="1:6" ht="15.75" customHeight="1" x14ac:dyDescent="0.25">
      <c r="A246" s="2" t="s">
        <v>842</v>
      </c>
      <c r="B246" s="2" t="s">
        <v>843</v>
      </c>
      <c r="C246" s="2" t="s">
        <v>844</v>
      </c>
      <c r="D246" s="2" t="s">
        <v>845</v>
      </c>
      <c r="E246" s="2" t="str">
        <f ca="1">IFERROR(__xludf.DUMMYFUNCTION("GOOGLETRANSLATE(D246,""en"",""pt"")"),"Exploud é um Pokémon do tipo normal introduzido na geração 3. É conhecido como Pokémon de ruído alto.")</f>
        <v>Exploud é um Pokémon do tipo normal introduzido na geração 3. É conhecido como Pokémon de ruído alto.</v>
      </c>
      <c r="F246" s="2" t="str">
        <f ca="1">IFERROR(__xludf.DUMMYFUNCTION("GOOGLETRANSLATE(B246,""en"",""pt"")"),"Pokémon de ruído alto")</f>
        <v>Pokémon de ruído alto</v>
      </c>
    </row>
    <row r="247" spans="1:6" ht="15.75" customHeight="1" x14ac:dyDescent="0.25">
      <c r="A247" s="2" t="s">
        <v>846</v>
      </c>
      <c r="B247" s="2" t="s">
        <v>847</v>
      </c>
      <c r="C247" s="2" t="s">
        <v>848</v>
      </c>
      <c r="D247" s="2" t="s">
        <v>849</v>
      </c>
      <c r="E247" s="2" t="str">
        <f ca="1">IFERROR(__xludf.DUMMYFUNCTION("GOOGLETRANSLATE(D247,""en"",""pt"")"),"Makuhita é um Pokémon do tipo luta introduzido na geração 3. É conhecido como Pokémon Guts.")</f>
        <v>Makuhita é um Pokémon do tipo luta introduzido na geração 3. É conhecido como Pokémon Guts.</v>
      </c>
      <c r="F247" s="2" t="str">
        <f ca="1">IFERROR(__xludf.DUMMYFUNCTION("GOOGLETRANSLATE(B247,""en"",""pt"")"),"Coragem do Pokémon")</f>
        <v>Coragem do Pokémon</v>
      </c>
    </row>
    <row r="248" spans="1:6" ht="15.75" customHeight="1" x14ac:dyDescent="0.25">
      <c r="A248" s="2" t="s">
        <v>850</v>
      </c>
      <c r="B248" s="2" t="s">
        <v>851</v>
      </c>
      <c r="C248" s="2" t="s">
        <v>852</v>
      </c>
      <c r="D248" s="2" t="s">
        <v>853</v>
      </c>
      <c r="E248" s="2" t="str">
        <f ca="1">IFERROR(__xludf.DUMMYFUNCTION("GOOGLETRANSLATE(D248,""en"",""pt"")"),"Hariyama é um Pokémon do tipo de luta introduzido na geração 3. É conhecido como Pokémon de impulso do braço.")</f>
        <v>Hariyama é um Pokémon do tipo de luta introduzido na geração 3. É conhecido como Pokémon de impulso do braço.</v>
      </c>
      <c r="F248" s="2" t="str">
        <f ca="1">IFERROR(__xludf.DUMMYFUNCTION("GOOGLETRANSLATE(B248,""en"",""pt"")"),"Pokémon de impulso do braço")</f>
        <v>Pokémon de impulso do braço</v>
      </c>
    </row>
    <row r="249" spans="1:6" ht="15.75" customHeight="1" x14ac:dyDescent="0.25">
      <c r="A249" s="2" t="s">
        <v>854</v>
      </c>
      <c r="B249" s="2" t="s">
        <v>855</v>
      </c>
      <c r="C249" s="2" t="s">
        <v>856</v>
      </c>
      <c r="D249" s="2" t="s">
        <v>857</v>
      </c>
      <c r="E249" s="2" t="str">
        <f ca="1">IFERROR(__xludf.DUMMYFUNCTION("GOOGLETRANSLATE(D249,""en"",""pt"")"),"Azurill é um Pokémon normal/do tipo fada introduzido na geração 3. É conhecido como Pokémon de bolinhas.")</f>
        <v>Azurill é um Pokémon normal/do tipo fada introduzido na geração 3. É conhecido como Pokémon de bolinhas.</v>
      </c>
      <c r="F249" s="2" t="str">
        <f ca="1">IFERROR(__xludf.DUMMYFUNCTION("GOOGLETRANSLATE(B249,""en"",""pt"")"),"Pokémon de bolinhas")</f>
        <v>Pokémon de bolinhas</v>
      </c>
    </row>
    <row r="250" spans="1:6" ht="15.75" customHeight="1" x14ac:dyDescent="0.25">
      <c r="A250" s="2" t="s">
        <v>858</v>
      </c>
      <c r="B250" s="2" t="s">
        <v>859</v>
      </c>
      <c r="C250" s="2" t="s">
        <v>860</v>
      </c>
      <c r="D250" s="2" t="s">
        <v>861</v>
      </c>
      <c r="E250" s="2" t="str">
        <f ca="1">IFERROR(__xludf.DUMMYFUNCTION("GOOGLETRANSLATE(D250,""en"",""pt"")"),"O nariz é um Pokémon do tipo rock introduzido na geração 3. É conhecido como Pokémon Compass.")</f>
        <v>O nariz é um Pokémon do tipo rock introduzido na geração 3. É conhecido como Pokémon Compass.</v>
      </c>
      <c r="F250" s="2" t="str">
        <f ca="1">IFERROR(__xludf.DUMMYFUNCTION("GOOGLETRANSLATE(B250,""en"",""pt"")"),"Pokémon da bússola")</f>
        <v>Pokémon da bússola</v>
      </c>
    </row>
    <row r="251" spans="1:6" ht="15.75" customHeight="1" x14ac:dyDescent="0.25">
      <c r="A251" s="2" t="s">
        <v>862</v>
      </c>
      <c r="B251" s="2" t="s">
        <v>5</v>
      </c>
      <c r="C251" s="2" t="s">
        <v>863</v>
      </c>
      <c r="D251" s="2" t="s">
        <v>864</v>
      </c>
      <c r="E251" s="2" t="str">
        <f ca="1">IFERROR(__xludf.DUMMYFUNCTION("GOOGLETRANSLATE(D251,""en"",""pt"")"),"Venusaur é um Pokémon do tipo grama/veneno introduzido na geração 1. É conhecido como Pokémon de sementes.
A Venusaur tem uma mega evolução, disponível a partir de X&amp;Y.")</f>
        <v>Venusaur é um Pokémon do tipo grama/veneno introduzido na geração 1. É conhecido como Pokémon de sementes.
A Venusaur tem uma mega evolução, disponível a partir de X&amp;Y.</v>
      </c>
      <c r="F251" s="2" t="str">
        <f ca="1">IFERROR(__xludf.DUMMYFUNCTION("GOOGLETRANSLATE(B251,""en"",""pt"")"),"Pokémon de semente")</f>
        <v>Pokémon de semente</v>
      </c>
    </row>
    <row r="252" spans="1:6" ht="15.75" customHeight="1" x14ac:dyDescent="0.25">
      <c r="A252" s="2" t="s">
        <v>862</v>
      </c>
      <c r="B252" s="2" t="s">
        <v>5</v>
      </c>
      <c r="C252" s="2" t="s">
        <v>865</v>
      </c>
      <c r="D252" s="2" t="s">
        <v>864</v>
      </c>
      <c r="E252" s="2" t="str">
        <f ca="1">IFERROR(__xludf.DUMMYFUNCTION("GOOGLETRANSLATE(D252,""en"",""pt"")"),"Venusaur é um Pokémon do tipo grama/veneno introduzido na geração 1. É conhecido como Pokémon de sementes.
A Venusaur tem uma mega evolução, disponível a partir de X&amp;Y.")</f>
        <v>Venusaur é um Pokémon do tipo grama/veneno introduzido na geração 1. É conhecido como Pokémon de sementes.
A Venusaur tem uma mega evolução, disponível a partir de X&amp;Y.</v>
      </c>
      <c r="F252" s="2" t="str">
        <f ca="1">IFERROR(__xludf.DUMMYFUNCTION("GOOGLETRANSLATE(B252,""en"",""pt"")"),"Pokémon de semente")</f>
        <v>Pokémon de semente</v>
      </c>
    </row>
    <row r="253" spans="1:6" ht="15.75" customHeight="1" x14ac:dyDescent="0.25">
      <c r="A253" s="2" t="s">
        <v>866</v>
      </c>
      <c r="B253" s="2" t="s">
        <v>819</v>
      </c>
      <c r="C253" s="2" t="s">
        <v>867</v>
      </c>
      <c r="D253" s="2" t="s">
        <v>868</v>
      </c>
      <c r="E253" s="2" t="str">
        <f ca="1">IFERROR(__xludf.DUMMYFUNCTION("GOOGLETRANSLATE(D253,""en"",""pt"")"),"Nidorina é um Pokémon do tipo veneno introduzido na geração 1. É conhecido como Pokémon Pin Poison.")</f>
        <v>Nidorina é um Pokémon do tipo veneno introduzido na geração 1. É conhecido como Pokémon Pin Poison.</v>
      </c>
      <c r="F253" s="2" t="str">
        <f ca="1">IFERROR(__xludf.DUMMYFUNCTION("GOOGLETRANSLATE(B253,""en"",""pt"")"),"Pokémon de Pin Poison")</f>
        <v>Pokémon de Pin Poison</v>
      </c>
    </row>
    <row r="254" spans="1:6" ht="15.75" customHeight="1" x14ac:dyDescent="0.25">
      <c r="A254" s="2" t="s">
        <v>869</v>
      </c>
      <c r="B254" s="2" t="s">
        <v>870</v>
      </c>
      <c r="C254" s="2" t="s">
        <v>871</v>
      </c>
      <c r="D254" s="2" t="s">
        <v>872</v>
      </c>
      <c r="E254" s="2" t="str">
        <f ca="1">IFERROR(__xludf.DUMMYFUNCTION("GOOGLETRANSLATE(D254,""en"",""pt"")"),"Skitty é um Pokémon do tipo normal introduzido na geração 3. É conhecido como Pokémon de gatinho.")</f>
        <v>Skitty é um Pokémon do tipo normal introduzido na geração 3. É conhecido como Pokémon de gatinho.</v>
      </c>
      <c r="F254" s="2" t="str">
        <f ca="1">IFERROR(__xludf.DUMMYFUNCTION("GOOGLETRANSLATE(B254,""en"",""pt"")"),"Pokémon de gatinho")</f>
        <v>Pokémon de gatinho</v>
      </c>
    </row>
    <row r="255" spans="1:6" ht="15.75" customHeight="1" x14ac:dyDescent="0.25">
      <c r="A255" s="2" t="s">
        <v>873</v>
      </c>
      <c r="B255" s="2" t="s">
        <v>874</v>
      </c>
      <c r="C255" s="2" t="s">
        <v>875</v>
      </c>
      <c r="D255" s="2" t="s">
        <v>876</v>
      </c>
      <c r="E255" s="2" t="str">
        <f ca="1">IFERROR(__xludf.DUMMYFUNCTION("GOOGLETRANSLATE(D255,""en"",""pt"")"),"Delcatty é um Pokémon do tipo normal introduzido na geração 3. É conhecido como Pokémon Prim.")</f>
        <v>Delcatty é um Pokémon do tipo normal introduzido na geração 3. É conhecido como Pokémon Prim.</v>
      </c>
      <c r="F255" s="2" t="str">
        <f ca="1">IFERROR(__xludf.DUMMYFUNCTION("GOOGLETRANSLATE(B255,""en"",""pt"")"),"Pokémon prim")</f>
        <v>Pokémon prim</v>
      </c>
    </row>
    <row r="256" spans="1:6" ht="15.75" customHeight="1" x14ac:dyDescent="0.25">
      <c r="A256" s="2" t="s">
        <v>877</v>
      </c>
      <c r="B256" s="2" t="s">
        <v>425</v>
      </c>
      <c r="C256" s="2" t="s">
        <v>878</v>
      </c>
      <c r="D256" s="2" t="s">
        <v>879</v>
      </c>
      <c r="E256" s="2" t="str">
        <f ca="1">IFERROR(__xludf.DUMMYFUNCTION("GOOGLETRANSLATE(D256,""en"",""pt"")"),"Sableye é um Pokémon escuro/fantasma introduzido na geração 3. É conhecido como Pokémon da escuridão.
Sableye tem uma mega evolução, disponível na Omega Ruby &amp; Alpha Sapphire.")</f>
        <v>Sableye é um Pokémon escuro/fantasma introduzido na geração 3. É conhecido como Pokémon da escuridão.
Sableye tem uma mega evolução, disponível na Omega Ruby &amp; Alpha Sapphire.</v>
      </c>
      <c r="F256" s="2" t="str">
        <f ca="1">IFERROR(__xludf.DUMMYFUNCTION("GOOGLETRANSLATE(B256,""en"",""pt"")"),"Pokémon da escuridão")</f>
        <v>Pokémon da escuridão</v>
      </c>
    </row>
    <row r="257" spans="1:6" ht="15.75" customHeight="1" x14ac:dyDescent="0.25">
      <c r="A257" s="2" t="s">
        <v>877</v>
      </c>
      <c r="B257" s="2" t="s">
        <v>425</v>
      </c>
      <c r="C257" s="2" t="s">
        <v>880</v>
      </c>
      <c r="D257" s="2" t="s">
        <v>879</v>
      </c>
      <c r="E257" s="2" t="str">
        <f ca="1">IFERROR(__xludf.DUMMYFUNCTION("GOOGLETRANSLATE(D257,""en"",""pt"")"),"Sableye é um Pokémon escuro/fantasma introduzido na geração 3. É conhecido como Pokémon da escuridão.
Sableye tem uma mega evolução, disponível na Omega Ruby &amp; Alpha Sapphire.")</f>
        <v>Sableye é um Pokémon escuro/fantasma introduzido na geração 3. É conhecido como Pokémon da escuridão.
Sableye tem uma mega evolução, disponível na Omega Ruby &amp; Alpha Sapphire.</v>
      </c>
      <c r="F257" s="2" t="str">
        <f ca="1">IFERROR(__xludf.DUMMYFUNCTION("GOOGLETRANSLATE(B257,""en"",""pt"")"),"Pokémon da escuridão")</f>
        <v>Pokémon da escuridão</v>
      </c>
    </row>
    <row r="258" spans="1:6" ht="15.75" customHeight="1" x14ac:dyDescent="0.25">
      <c r="A258" s="2" t="s">
        <v>881</v>
      </c>
      <c r="B258" s="2" t="s">
        <v>882</v>
      </c>
      <c r="C258" s="2" t="s">
        <v>883</v>
      </c>
      <c r="D258" s="2" t="s">
        <v>884</v>
      </c>
      <c r="E258" s="2" t="str">
        <f ca="1">IFERROR(__xludf.DUMMYFUNCTION("GOOGLETRANSLATE(D258,""en"",""pt"")"),"Mawile é um Pokémon do tipo de aço/fada introduzido na geração 3. É conhecido como Pokémon Deceiver.
Mawile tem uma mega evolução, disponível a partir de X&amp;Y.")</f>
        <v>Mawile é um Pokémon do tipo de aço/fada introduzido na geração 3. É conhecido como Pokémon Deceiver.
Mawile tem uma mega evolução, disponível a partir de X&amp;Y.</v>
      </c>
      <c r="F258" s="2" t="str">
        <f ca="1">IFERROR(__xludf.DUMMYFUNCTION("GOOGLETRANSLATE(B258,""en"",""pt"")"),"Deceiver Pokémon")</f>
        <v>Deceiver Pokémon</v>
      </c>
    </row>
    <row r="259" spans="1:6" ht="15.75" customHeight="1" x14ac:dyDescent="0.25">
      <c r="A259" s="2" t="s">
        <v>881</v>
      </c>
      <c r="B259" s="2" t="s">
        <v>882</v>
      </c>
      <c r="C259" s="2" t="s">
        <v>885</v>
      </c>
      <c r="D259" s="2" t="s">
        <v>884</v>
      </c>
      <c r="E259" s="2" t="str">
        <f ca="1">IFERROR(__xludf.DUMMYFUNCTION("GOOGLETRANSLATE(D259,""en"",""pt"")"),"Mawile é um Pokémon do tipo de aço/fada introduzido na geração 3. É conhecido como Pokémon Deceiver.
Mawile tem uma mega evolução, disponível a partir de X&amp;Y.")</f>
        <v>Mawile é um Pokémon do tipo de aço/fada introduzido na geração 3. É conhecido como Pokémon Deceiver.
Mawile tem uma mega evolução, disponível a partir de X&amp;Y.</v>
      </c>
      <c r="F259" s="2" t="str">
        <f ca="1">IFERROR(__xludf.DUMMYFUNCTION("GOOGLETRANSLATE(B259,""en"",""pt"")"),"Deceiver Pokémon")</f>
        <v>Deceiver Pokémon</v>
      </c>
    </row>
    <row r="260" spans="1:6" ht="15.75" customHeight="1" x14ac:dyDescent="0.25">
      <c r="A260" s="2" t="s">
        <v>886</v>
      </c>
      <c r="B260" s="2" t="s">
        <v>887</v>
      </c>
      <c r="C260" s="2" t="s">
        <v>888</v>
      </c>
      <c r="D260" s="2" t="s">
        <v>889</v>
      </c>
      <c r="E260" s="2" t="str">
        <f ca="1">IFERROR(__xludf.DUMMYFUNCTION("GOOGLETRANSLATE(D260,""en"",""pt"")"),"O Aron é um Pokémon do tipo aço/rocha introduzido na geração 3. É conhecido como Pokémon de Armadura de Ferro.")</f>
        <v>O Aron é um Pokémon do tipo aço/rocha introduzido na geração 3. É conhecido como Pokémon de Armadura de Ferro.</v>
      </c>
      <c r="F260" s="2" t="str">
        <f ca="1">IFERROR(__xludf.DUMMYFUNCTION("GOOGLETRANSLATE(B260,""en"",""pt"")"),"Pokémon de armadura de ferro")</f>
        <v>Pokémon de armadura de ferro</v>
      </c>
    </row>
    <row r="261" spans="1:6" ht="15.75" customHeight="1" x14ac:dyDescent="0.25">
      <c r="A261" s="2" t="s">
        <v>890</v>
      </c>
      <c r="B261" s="2" t="s">
        <v>887</v>
      </c>
      <c r="C261" s="2" t="s">
        <v>891</v>
      </c>
      <c r="D261" s="2" t="s">
        <v>892</v>
      </c>
      <c r="E261" s="2" t="str">
        <f ca="1">IFERROR(__xludf.DUMMYFUNCTION("GOOGLETRANSLATE(D261,""en"",""pt"")"),"Lairon é um Pokémon do tipo aço/rocha introduzido na geração 3. É conhecido como Pokémon de Armadura de Ferro.")</f>
        <v>Lairon é um Pokémon do tipo aço/rocha introduzido na geração 3. É conhecido como Pokémon de Armadura de Ferro.</v>
      </c>
      <c r="F261" s="2" t="str">
        <f ca="1">IFERROR(__xludf.DUMMYFUNCTION("GOOGLETRANSLATE(B261,""en"",""pt"")"),"Pokémon de armadura de ferro")</f>
        <v>Pokémon de armadura de ferro</v>
      </c>
    </row>
    <row r="262" spans="1:6" ht="15.75" customHeight="1" x14ac:dyDescent="0.25">
      <c r="A262" s="2" t="s">
        <v>893</v>
      </c>
      <c r="B262" s="2" t="s">
        <v>887</v>
      </c>
      <c r="C262" s="2" t="s">
        <v>894</v>
      </c>
      <c r="D262" s="2" t="s">
        <v>895</v>
      </c>
      <c r="E262" s="2" t="str">
        <f ca="1">IFERROR(__xludf.DUMMYFUNCTION("GOOGLETRANSLATE(D262,""en"",""pt"")"),"Aggron é um Pokémon do tipo aço/rocha introduzido na geração 3. É conhecido como Pokémon de Armadura de Ferro.
O Aggron tem uma mega evolução, disponível a partir de X&amp;Y.")</f>
        <v>Aggron é um Pokémon do tipo aço/rocha introduzido na geração 3. É conhecido como Pokémon de Armadura de Ferro.
O Aggron tem uma mega evolução, disponível a partir de X&amp;Y.</v>
      </c>
      <c r="F262" s="2" t="str">
        <f ca="1">IFERROR(__xludf.DUMMYFUNCTION("GOOGLETRANSLATE(B262,""en"",""pt"")"),"Pokémon de armadura de ferro")</f>
        <v>Pokémon de armadura de ferro</v>
      </c>
    </row>
    <row r="263" spans="1:6" ht="15.75" customHeight="1" x14ac:dyDescent="0.25">
      <c r="A263" s="2" t="s">
        <v>893</v>
      </c>
      <c r="B263" s="2" t="s">
        <v>887</v>
      </c>
      <c r="C263" s="2" t="s">
        <v>896</v>
      </c>
      <c r="D263" s="2" t="s">
        <v>895</v>
      </c>
      <c r="E263" s="2" t="str">
        <f ca="1">IFERROR(__xludf.DUMMYFUNCTION("GOOGLETRANSLATE(D263,""en"",""pt"")"),"Aggron é um Pokémon do tipo aço/rocha introduzido na geração 3. É conhecido como Pokémon de Armadura de Ferro.
O Aggron tem uma mega evolução, disponível a partir de X&amp;Y.")</f>
        <v>Aggron é um Pokémon do tipo aço/rocha introduzido na geração 3. É conhecido como Pokémon de Armadura de Ferro.
O Aggron tem uma mega evolução, disponível a partir de X&amp;Y.</v>
      </c>
      <c r="F263" s="2" t="str">
        <f ca="1">IFERROR(__xludf.DUMMYFUNCTION("GOOGLETRANSLATE(B263,""en"",""pt"")"),"Pokémon de armadura de ferro")</f>
        <v>Pokémon de armadura de ferro</v>
      </c>
    </row>
    <row r="264" spans="1:6" ht="15.75" customHeight="1" x14ac:dyDescent="0.25">
      <c r="A264" s="2" t="s">
        <v>897</v>
      </c>
      <c r="B264" s="2" t="s">
        <v>898</v>
      </c>
      <c r="C264" s="2" t="s">
        <v>899</v>
      </c>
      <c r="D264" s="2" t="s">
        <v>900</v>
      </c>
      <c r="E264" s="2" t="str">
        <f ca="1">IFERROR(__xludf.DUMMYFUNCTION("GOOGLETRANSLATE(D264,""en"",""pt"")"),"A Meditite é um Pokémon do tipo de luta/psíquico introduzido na geração 3. É conhecido como Pokémon Medite.")</f>
        <v>A Meditite é um Pokémon do tipo de luta/psíquico introduzido na geração 3. É conhecido como Pokémon Medite.</v>
      </c>
      <c r="F264" s="2" t="str">
        <f ca="1">IFERROR(__xludf.DUMMYFUNCTION("GOOGLETRANSLATE(B264,""en"",""pt"")"),"Medite Pokémon")</f>
        <v>Medite Pokémon</v>
      </c>
    </row>
    <row r="265" spans="1:6" ht="15.75" customHeight="1" x14ac:dyDescent="0.25">
      <c r="A265" s="2" t="s">
        <v>901</v>
      </c>
      <c r="B265" s="2" t="s">
        <v>898</v>
      </c>
      <c r="C265" s="2" t="s">
        <v>902</v>
      </c>
      <c r="D265" s="2" t="s">
        <v>903</v>
      </c>
      <c r="E265" s="2" t="str">
        <f ca="1">IFERROR(__xludf.DUMMYFUNCTION("GOOGLETRANSLATE(D265,""en"",""pt"")"),"Medicham é um Pokémon de combate/psíquico introduzido na geração 3. É conhecido como Pokémon Medite.
Medicham tem uma mega evolução, disponível a partir de X&amp;Y.")</f>
        <v>Medicham é um Pokémon de combate/psíquico introduzido na geração 3. É conhecido como Pokémon Medite.
Medicham tem uma mega evolução, disponível a partir de X&amp;Y.</v>
      </c>
      <c r="F265" s="2" t="str">
        <f ca="1">IFERROR(__xludf.DUMMYFUNCTION("GOOGLETRANSLATE(B265,""en"",""pt"")"),"Medite Pokémon")</f>
        <v>Medite Pokémon</v>
      </c>
    </row>
    <row r="266" spans="1:6" ht="15.75" customHeight="1" x14ac:dyDescent="0.25">
      <c r="A266" s="2" t="s">
        <v>901</v>
      </c>
      <c r="B266" s="2" t="s">
        <v>898</v>
      </c>
      <c r="C266" s="2" t="s">
        <v>904</v>
      </c>
      <c r="D266" s="2" t="s">
        <v>903</v>
      </c>
      <c r="E266" s="2" t="str">
        <f ca="1">IFERROR(__xludf.DUMMYFUNCTION("GOOGLETRANSLATE(D266,""en"",""pt"")"),"Medicham é um Pokémon de combate/psíquico introduzido na geração 3. É conhecido como Pokémon Medite.
Medicham tem uma mega evolução, disponível a partir de X&amp;Y.")</f>
        <v>Medicham é um Pokémon de combate/psíquico introduzido na geração 3. É conhecido como Pokémon Medite.
Medicham tem uma mega evolução, disponível a partir de X&amp;Y.</v>
      </c>
      <c r="F266" s="2" t="str">
        <f ca="1">IFERROR(__xludf.DUMMYFUNCTION("GOOGLETRANSLATE(B266,""en"",""pt"")"),"Medite Pokémon")</f>
        <v>Medite Pokémon</v>
      </c>
    </row>
    <row r="267" spans="1:6" ht="15.75" customHeight="1" x14ac:dyDescent="0.25">
      <c r="A267" s="2" t="s">
        <v>905</v>
      </c>
      <c r="B267" s="2" t="s">
        <v>166</v>
      </c>
      <c r="C267" s="2" t="s">
        <v>906</v>
      </c>
      <c r="D267" s="2" t="s">
        <v>907</v>
      </c>
      <c r="E267" s="2" t="str">
        <f ca="1">IFERROR(__xludf.DUMMYFUNCTION("GOOGLETRANSLATE(D267,""en"",""pt"")"),"Electrike é um Pokémon do tipo elétrico introduzido na geração 3. É conhecido como Pokémon Lightning.")</f>
        <v>Electrike é um Pokémon do tipo elétrico introduzido na geração 3. É conhecido como Pokémon Lightning.</v>
      </c>
      <c r="F267" s="2" t="str">
        <f ca="1">IFERROR(__xludf.DUMMYFUNCTION("GOOGLETRANSLATE(B267,""en"",""pt"")"),"Lightning Pokémon")</f>
        <v>Lightning Pokémon</v>
      </c>
    </row>
    <row r="268" spans="1:6" ht="15.75" customHeight="1" x14ac:dyDescent="0.25">
      <c r="A268" s="2" t="s">
        <v>908</v>
      </c>
      <c r="B268" s="2" t="s">
        <v>65</v>
      </c>
      <c r="C268" s="2" t="s">
        <v>909</v>
      </c>
      <c r="D268" s="2" t="s">
        <v>910</v>
      </c>
      <c r="E268" s="2" t="str">
        <f ca="1">IFERROR(__xludf.DUMMYFUNCTION("GOOGLETRANSLATE(D268,""en"",""pt"")"),"NidoQueen é um Pokémon do tipo veneno/terra introduzido na geração 1. É conhecido como Pokémon Drill.")</f>
        <v>NidoQueen é um Pokémon do tipo veneno/terra introduzido na geração 1. É conhecido como Pokémon Drill.</v>
      </c>
      <c r="F268" s="2" t="str">
        <f ca="1">IFERROR(__xludf.DUMMYFUNCTION("GOOGLETRANSLATE(B268,""en"",""pt"")"),"Drill Pokémon")</f>
        <v>Drill Pokémon</v>
      </c>
    </row>
    <row r="269" spans="1:6" ht="15.75" customHeight="1" x14ac:dyDescent="0.25">
      <c r="A269" s="2" t="s">
        <v>911</v>
      </c>
      <c r="B269" s="2" t="s">
        <v>912</v>
      </c>
      <c r="C269" s="2" t="s">
        <v>913</v>
      </c>
      <c r="D269" s="2" t="s">
        <v>914</v>
      </c>
      <c r="E269" s="2" t="str">
        <f ca="1">IFERROR(__xludf.DUMMYFUNCTION("GOOGLETRANSLATE(D269,""en"",""pt"")"),"O MANECTRIC é um Pokémon do tipo elétrico introduzido na geração 3. É conhecido como Pokémon de descarga.
A Manetric tem uma mega evolução, disponível a partir de X&amp;Y.")</f>
        <v>O MANECTRIC é um Pokémon do tipo elétrico introduzido na geração 3. É conhecido como Pokémon de descarga.
A Manetric tem uma mega evolução, disponível a partir de X&amp;Y.</v>
      </c>
      <c r="F269" s="2" t="str">
        <f ca="1">IFERROR(__xludf.DUMMYFUNCTION("GOOGLETRANSLATE(B269,""en"",""pt"")"),"Pokémon de descarga")</f>
        <v>Pokémon de descarga</v>
      </c>
    </row>
    <row r="270" spans="1:6" ht="15.75" customHeight="1" x14ac:dyDescent="0.25">
      <c r="A270" s="2" t="s">
        <v>911</v>
      </c>
      <c r="B270" s="2" t="s">
        <v>912</v>
      </c>
      <c r="C270" s="2" t="s">
        <v>915</v>
      </c>
      <c r="D270" s="2" t="s">
        <v>914</v>
      </c>
      <c r="E270" s="2" t="str">
        <f ca="1">IFERROR(__xludf.DUMMYFUNCTION("GOOGLETRANSLATE(D270,""en"",""pt"")"),"O MANECTRIC é um Pokémon do tipo elétrico introduzido na geração 3. É conhecido como Pokémon de descarga.
A Manetric tem uma mega evolução, disponível a partir de X&amp;Y.")</f>
        <v>O MANECTRIC é um Pokémon do tipo elétrico introduzido na geração 3. É conhecido como Pokémon de descarga.
A Manetric tem uma mega evolução, disponível a partir de X&amp;Y.</v>
      </c>
      <c r="F270" s="2" t="str">
        <f ca="1">IFERROR(__xludf.DUMMYFUNCTION("GOOGLETRANSLATE(B270,""en"",""pt"")"),"Pokémon de descarga")</f>
        <v>Pokémon de descarga</v>
      </c>
    </row>
    <row r="271" spans="1:6" ht="15.75" customHeight="1" x14ac:dyDescent="0.25">
      <c r="A271" s="2" t="s">
        <v>916</v>
      </c>
      <c r="B271" s="2" t="s">
        <v>917</v>
      </c>
      <c r="C271" s="2" t="s">
        <v>918</v>
      </c>
      <c r="D271" s="2" t="s">
        <v>919</v>
      </c>
      <c r="E271" s="2" t="str">
        <f ca="1">IFERROR(__xludf.DUMMYFUNCTION("GOOGLETRANSLATE(D271,""en"",""pt"")"),"Plusle é um Pokémon do tipo elétrico introduzido na geração 3. É conhecido como Pokémon aplaudindo.")</f>
        <v>Plusle é um Pokémon do tipo elétrico introduzido na geração 3. É conhecido como Pokémon aplaudindo.</v>
      </c>
      <c r="F271" s="2" t="str">
        <f ca="1">IFERROR(__xludf.DUMMYFUNCTION("GOOGLETRANSLATE(B271,""en"",""pt"")"),"Pokémon aplaudindo")</f>
        <v>Pokémon aplaudindo</v>
      </c>
    </row>
    <row r="272" spans="1:6" ht="15.75" customHeight="1" x14ac:dyDescent="0.25">
      <c r="A272" s="2" t="s">
        <v>920</v>
      </c>
      <c r="B272" s="2" t="s">
        <v>917</v>
      </c>
      <c r="C272" s="2" t="s">
        <v>921</v>
      </c>
      <c r="D272" s="2" t="s">
        <v>922</v>
      </c>
      <c r="E272" s="2" t="str">
        <f ca="1">IFERROR(__xludf.DUMMYFUNCTION("GOOGLETRANSLATE(D272,""en"",""pt"")"),"Minun é um Pokémon do tipo elétrico introduzido na geração 3. É conhecido como Pokémon aplaudindo.")</f>
        <v>Minun é um Pokémon do tipo elétrico introduzido na geração 3. É conhecido como Pokémon aplaudindo.</v>
      </c>
      <c r="F272" s="2" t="str">
        <f ca="1">IFERROR(__xludf.DUMMYFUNCTION("GOOGLETRANSLATE(B272,""en"",""pt"")"),"Pokémon aplaudindo")</f>
        <v>Pokémon aplaudindo</v>
      </c>
    </row>
    <row r="273" spans="1:6" ht="15.75" customHeight="1" x14ac:dyDescent="0.25">
      <c r="A273" s="2" t="s">
        <v>923</v>
      </c>
      <c r="B273" s="2" t="s">
        <v>924</v>
      </c>
      <c r="C273" s="2" t="s">
        <v>925</v>
      </c>
      <c r="D273" s="2" t="s">
        <v>926</v>
      </c>
      <c r="E273" s="2" t="str">
        <f ca="1">IFERROR(__xludf.DUMMYFUNCTION("GOOGLETRANSLATE(D273,""en"",""pt"")"),"O Volbeat é um Pokémon do tipo bug introduzido na geração 3. É conhecido como Pokémon Firefly.")</f>
        <v>O Volbeat é um Pokémon do tipo bug introduzido na geração 3. É conhecido como Pokémon Firefly.</v>
      </c>
      <c r="F273" s="2" t="str">
        <f ca="1">IFERROR(__xludf.DUMMYFUNCTION("GOOGLETRANSLATE(B273,""en"",""pt"")"),"Pokémon de Firefly")</f>
        <v>Pokémon de Firefly</v>
      </c>
    </row>
    <row r="274" spans="1:6" ht="15.75" customHeight="1" x14ac:dyDescent="0.25">
      <c r="A274" s="2" t="s">
        <v>927</v>
      </c>
      <c r="B274" s="2" t="s">
        <v>924</v>
      </c>
      <c r="C274" s="2" t="s">
        <v>928</v>
      </c>
      <c r="D274" s="2" t="s">
        <v>929</v>
      </c>
      <c r="E274" s="2" t="str">
        <f ca="1">IFERROR(__xludf.DUMMYFUNCTION("GOOGLETRANSLATE(D274,""en"",""pt"")"),"Illumise é um Pokémon do tipo bug introduzido na geração 3. É conhecido como Pokémon Firefly.")</f>
        <v>Illumise é um Pokémon do tipo bug introduzido na geração 3. É conhecido como Pokémon Firefly.</v>
      </c>
      <c r="F274" s="2" t="str">
        <f ca="1">IFERROR(__xludf.DUMMYFUNCTION("GOOGLETRANSLATE(B274,""en"",""pt"")"),"Pokémon de Firefly")</f>
        <v>Pokémon de Firefly</v>
      </c>
    </row>
    <row r="275" spans="1:6" ht="15.75" customHeight="1" x14ac:dyDescent="0.25">
      <c r="A275" s="2" t="s">
        <v>930</v>
      </c>
      <c r="B275" s="2" t="s">
        <v>931</v>
      </c>
      <c r="C275" s="2" t="s">
        <v>932</v>
      </c>
      <c r="D275" s="2" t="s">
        <v>933</v>
      </c>
      <c r="E275" s="2" t="str">
        <f ca="1">IFERROR(__xludf.DUMMYFUNCTION("GOOGLETRANSLATE(D275,""en"",""pt"")"),"Roselia é um Pokémon do tipo grama/veneno introduzido na geração 3. É conhecido como Pokémon Thorn.")</f>
        <v>Roselia é um Pokémon do tipo grama/veneno introduzido na geração 3. É conhecido como Pokémon Thorn.</v>
      </c>
      <c r="F275" s="2" t="str">
        <f ca="1">IFERROR(__xludf.DUMMYFUNCTION("GOOGLETRANSLATE(B275,""en"",""pt"")"),"Pokémon de Thorn")</f>
        <v>Pokémon de Thorn</v>
      </c>
    </row>
    <row r="276" spans="1:6" ht="15.75" customHeight="1" x14ac:dyDescent="0.25">
      <c r="A276" s="2" t="s">
        <v>934</v>
      </c>
      <c r="B276" s="2" t="s">
        <v>935</v>
      </c>
      <c r="C276" s="2" t="s">
        <v>936</v>
      </c>
      <c r="D276" s="2" t="s">
        <v>937</v>
      </c>
      <c r="E276" s="2" t="str">
        <f ca="1">IFERROR(__xludf.DUMMYFUNCTION("GOOGLETRANSLATE(D276,""en"",""pt"")"),"Gulpin é um Pokémon do tipo veneno introduzido na geração 3. É conhecido como Pokémon estomacal.")</f>
        <v>Gulpin é um Pokémon do tipo veneno introduzido na geração 3. É conhecido como Pokémon estomacal.</v>
      </c>
      <c r="F276" s="2" t="str">
        <f ca="1">IFERROR(__xludf.DUMMYFUNCTION("GOOGLETRANSLATE(B276,""en"",""pt"")"),"Pokémon de estômago")</f>
        <v>Pokémon de estômago</v>
      </c>
    </row>
    <row r="277" spans="1:6" ht="15.75" customHeight="1" x14ac:dyDescent="0.25">
      <c r="A277" s="2" t="s">
        <v>938</v>
      </c>
      <c r="B277" s="2" t="s">
        <v>939</v>
      </c>
      <c r="C277" s="2" t="s">
        <v>940</v>
      </c>
      <c r="D277" s="2" t="s">
        <v>941</v>
      </c>
      <c r="E277" s="2" t="str">
        <f ca="1">IFERROR(__xludf.DUMMYFUNCTION("GOOGLETRANSLATE(D277,""en"",""pt"")"),"Swalot é um Pokémon do tipo veneno introduzido na geração 3. É conhecido como Pokémon Pokémon.")</f>
        <v>Swalot é um Pokémon do tipo veneno introduzido na geração 3. É conhecido como Pokémon Pokémon.</v>
      </c>
      <c r="F277" s="2" t="str">
        <f ca="1">IFERROR(__xludf.DUMMYFUNCTION("GOOGLETRANSLATE(B277,""en"",""pt"")"),"Pokémon de bolsa de veneno")</f>
        <v>Pokémon de bolsa de veneno</v>
      </c>
    </row>
    <row r="278" spans="1:6" ht="15.75" customHeight="1" x14ac:dyDescent="0.25">
      <c r="A278" s="2" t="s">
        <v>942</v>
      </c>
      <c r="B278" s="2" t="s">
        <v>943</v>
      </c>
      <c r="C278" s="2" t="s">
        <v>944</v>
      </c>
      <c r="D278" s="2" t="s">
        <v>945</v>
      </c>
      <c r="E278" s="2" t="str">
        <f ca="1">IFERROR(__xludf.DUMMYFUNCTION("GOOGLETRANSLATE(D278,""en"",""pt"")"),"Carvanha é um Pokémon de água/escuro introduzido na geração 3. É conhecido como Pokémon Savage.")</f>
        <v>Carvanha é um Pokémon de água/escuro introduzido na geração 3. É conhecido como Pokémon Savage.</v>
      </c>
      <c r="F278" s="2" t="str">
        <f ca="1">IFERROR(__xludf.DUMMYFUNCTION("GOOGLETRANSLATE(B278,""en"",""pt"")"),"Pokémon selvagem")</f>
        <v>Pokémon selvagem</v>
      </c>
    </row>
    <row r="279" spans="1:6" ht="15.75" customHeight="1" x14ac:dyDescent="0.25">
      <c r="A279" s="2" t="s">
        <v>946</v>
      </c>
      <c r="B279" s="2" t="s">
        <v>947</v>
      </c>
      <c r="C279" s="2" t="s">
        <v>948</v>
      </c>
      <c r="D279" s="2" t="s">
        <v>949</v>
      </c>
      <c r="E279" s="2" t="str">
        <f ca="1">IFERROR(__xludf.DUMMYFUNCTION("GOOGLETRANSLATE(D279,""en"",""pt"")"),"Sharped é um Pokémon de água/tipo escuro introduzido na geração 3. É conhecido como Pokémon brutal.
Sharped tem uma mega evolução, disponível na Omega Ruby &amp; Alpha Sapphire em diante.")</f>
        <v>Sharped é um Pokémon de água/tipo escuro introduzido na geração 3. É conhecido como Pokémon brutal.
Sharped tem uma mega evolução, disponível na Omega Ruby &amp; Alpha Sapphire em diante.</v>
      </c>
      <c r="F279" s="2" t="str">
        <f ca="1">IFERROR(__xludf.DUMMYFUNCTION("GOOGLETRANSLATE(B279,""en"",""pt"")"),"Pokémon brutal")</f>
        <v>Pokémon brutal</v>
      </c>
    </row>
    <row r="280" spans="1:6" ht="15.75" customHeight="1" x14ac:dyDescent="0.25">
      <c r="A280" s="2" t="s">
        <v>946</v>
      </c>
      <c r="B280" s="2" t="s">
        <v>947</v>
      </c>
      <c r="C280" s="2" t="s">
        <v>950</v>
      </c>
      <c r="D280" s="2" t="s">
        <v>949</v>
      </c>
      <c r="E280" s="2" t="str">
        <f ca="1">IFERROR(__xludf.DUMMYFUNCTION("GOOGLETRANSLATE(D280,""en"",""pt"")"),"Sharped é um Pokémon de água/tipo escuro introduzido na geração 3. É conhecido como Pokémon brutal.
Sharped tem uma mega evolução, disponível na Omega Ruby &amp; Alpha Sapphire em diante.")</f>
        <v>Sharped é um Pokémon de água/tipo escuro introduzido na geração 3. É conhecido como Pokémon brutal.
Sharped tem uma mega evolução, disponível na Omega Ruby &amp; Alpha Sapphire em diante.</v>
      </c>
      <c r="F280" s="2" t="str">
        <f ca="1">IFERROR(__xludf.DUMMYFUNCTION("GOOGLETRANSLATE(B280,""en"",""pt"")"),"Pokémon brutal")</f>
        <v>Pokémon brutal</v>
      </c>
    </row>
    <row r="281" spans="1:6" ht="15.75" customHeight="1" x14ac:dyDescent="0.25">
      <c r="A281" s="2" t="s">
        <v>951</v>
      </c>
      <c r="B281" s="2" t="s">
        <v>819</v>
      </c>
      <c r="C281" s="2" t="s">
        <v>952</v>
      </c>
      <c r="D281" s="2" t="s">
        <v>953</v>
      </c>
      <c r="E281" s="2" t="str">
        <f ca="1">IFERROR(__xludf.DUMMYFUNCTION("GOOGLETRANSLATE(D281,""en"",""pt"")"),"Nidoran♂ é um Pokémon do tipo veneno introduzido na geração 1. É conhecido como Pokémon Pin Poison.")</f>
        <v>Nidoran♂ é um Pokémon do tipo veneno introduzido na geração 1. É conhecido como Pokémon Pin Poison.</v>
      </c>
      <c r="F281" s="2" t="str">
        <f ca="1">IFERROR(__xludf.DUMMYFUNCTION("GOOGLETRANSLATE(B281,""en"",""pt"")"),"Pokémon de Pin Poison")</f>
        <v>Pokémon de Pin Poison</v>
      </c>
    </row>
    <row r="282" spans="1:6" ht="15.75" customHeight="1" x14ac:dyDescent="0.25">
      <c r="A282" s="2" t="s">
        <v>954</v>
      </c>
      <c r="B282" s="2" t="s">
        <v>955</v>
      </c>
      <c r="C282" s="2" t="s">
        <v>956</v>
      </c>
      <c r="D282" s="2" t="s">
        <v>957</v>
      </c>
      <c r="E282" s="2" t="str">
        <f ca="1">IFERROR(__xludf.DUMMYFUNCTION("GOOGLETRANSLATE(D282,""en"",""pt"")"),"Wailmer é um Pokémon do tipo água introduzido na geração 3. É conhecido como Pokémon de baleia de bola.")</f>
        <v>Wailmer é um Pokémon do tipo água introduzido na geração 3. É conhecido como Pokémon de baleia de bola.</v>
      </c>
      <c r="F282" s="2" t="str">
        <f ca="1">IFERROR(__xludf.DUMMYFUNCTION("GOOGLETRANSLATE(B282,""en"",""pt"")"),"Pokémon de baleia de bola")</f>
        <v>Pokémon de baleia de bola</v>
      </c>
    </row>
    <row r="283" spans="1:6" ht="15.75" customHeight="1" x14ac:dyDescent="0.25">
      <c r="A283" s="2" t="s">
        <v>958</v>
      </c>
      <c r="B283" s="2" t="s">
        <v>959</v>
      </c>
      <c r="C283" s="2" t="s">
        <v>960</v>
      </c>
      <c r="D283" s="2" t="s">
        <v>961</v>
      </c>
      <c r="E283" s="2" t="str">
        <f ca="1">IFERROR(__xludf.DUMMYFUNCTION("GOOGLETRANSLATE(D283,""en"",""pt"")"),"Wailord é um Pokémon do tipo água introduzido na geração 3. É conhecido como Pokémon de baleia flutuante.")</f>
        <v>Wailord é um Pokémon do tipo água introduzido na geração 3. É conhecido como Pokémon de baleia flutuante.</v>
      </c>
      <c r="F283" s="2" t="str">
        <f ca="1">IFERROR(__xludf.DUMMYFUNCTION("GOOGLETRANSLATE(B283,""en"",""pt"")"),"Pokémon de baleia flutuante")</f>
        <v>Pokémon de baleia flutuante</v>
      </c>
    </row>
    <row r="284" spans="1:6" ht="15.75" customHeight="1" x14ac:dyDescent="0.25">
      <c r="A284" s="2" t="s">
        <v>962</v>
      </c>
      <c r="B284" s="2" t="s">
        <v>963</v>
      </c>
      <c r="C284" s="2" t="s">
        <v>964</v>
      </c>
      <c r="D284" s="2" t="s">
        <v>965</v>
      </c>
      <c r="E284" s="2" t="str">
        <f ca="1">IFERROR(__xludf.DUMMYFUNCTION("GOOGLETRANSLATE(D284,""en"",""pt"")"),"O Numel é um Pokémon do tipo incêndio/terra introduzido na geração 3. É conhecido como Pokémon Numb.")</f>
        <v>O Numel é um Pokémon do tipo incêndio/terra introduzido na geração 3. É conhecido como Pokémon Numb.</v>
      </c>
      <c r="F284" s="2" t="str">
        <f ca="1">IFERROR(__xludf.DUMMYFUNCTION("GOOGLETRANSLATE(B284,""en"",""pt"")"),"Pokémon entorpecido")</f>
        <v>Pokémon entorpecido</v>
      </c>
    </row>
    <row r="285" spans="1:6" ht="15.75" customHeight="1" x14ac:dyDescent="0.25">
      <c r="A285" s="2" t="s">
        <v>966</v>
      </c>
      <c r="B285" s="2" t="s">
        <v>967</v>
      </c>
      <c r="C285" s="2" t="s">
        <v>968</v>
      </c>
      <c r="D285" s="2" t="s">
        <v>969</v>
      </c>
      <c r="E285" s="2" t="str">
        <f ca="1">IFERROR(__xludf.DUMMYFUNCTION("GOOGLETRANSLATE(D285,""en"",""pt"")"),"Camerupt é um Pokémon do tipo fogo/terra introduzido na geração 3. É conhecido como Pokémon de erupção.
Camerupt tem uma mega evolução, disponível na Omega Ruby &amp; Alpha Sapphire em diante.")</f>
        <v>Camerupt é um Pokémon do tipo fogo/terra introduzido na geração 3. É conhecido como Pokémon de erupção.
Camerupt tem uma mega evolução, disponível na Omega Ruby &amp; Alpha Sapphire em diante.</v>
      </c>
      <c r="F285" s="2" t="str">
        <f ca="1">IFERROR(__xludf.DUMMYFUNCTION("GOOGLETRANSLATE(B285,""en"",""pt"")"),"Pokémon de erupção")</f>
        <v>Pokémon de erupção</v>
      </c>
    </row>
    <row r="286" spans="1:6" ht="15.75" customHeight="1" x14ac:dyDescent="0.25">
      <c r="A286" s="2" t="s">
        <v>966</v>
      </c>
      <c r="B286" s="2" t="s">
        <v>967</v>
      </c>
      <c r="C286" s="2" t="s">
        <v>970</v>
      </c>
      <c r="D286" s="2" t="s">
        <v>969</v>
      </c>
      <c r="E286" s="2" t="str">
        <f ca="1">IFERROR(__xludf.DUMMYFUNCTION("GOOGLETRANSLATE(D286,""en"",""pt"")"),"Camerupt é um Pokémon do tipo fogo/terra introduzido na geração 3. É conhecido como Pokémon de erupção.
Camerupt tem uma mega evolução, disponível na Omega Ruby &amp; Alpha Sapphire em diante.")</f>
        <v>Camerupt é um Pokémon do tipo fogo/terra introduzido na geração 3. É conhecido como Pokémon de erupção.
Camerupt tem uma mega evolução, disponível na Omega Ruby &amp; Alpha Sapphire em diante.</v>
      </c>
      <c r="F286" s="2" t="str">
        <f ca="1">IFERROR(__xludf.DUMMYFUNCTION("GOOGLETRANSLATE(B286,""en"",""pt"")"),"Pokémon de erupção")</f>
        <v>Pokémon de erupção</v>
      </c>
    </row>
    <row r="287" spans="1:6" ht="15.75" customHeight="1" x14ac:dyDescent="0.25">
      <c r="A287" s="2" t="s">
        <v>971</v>
      </c>
      <c r="B287" s="2" t="s">
        <v>972</v>
      </c>
      <c r="C287" s="2" t="s">
        <v>973</v>
      </c>
      <c r="D287" s="2" t="s">
        <v>974</v>
      </c>
      <c r="E287" s="2" t="str">
        <f ca="1">IFERROR(__xludf.DUMMYFUNCTION("GOOGLETRANSLATE(D287,""en"",""pt"")"),"Torkoal é um Pokémon do tipo incêndio introduzido na geração 3. É conhecido como Pokémon de carvão.")</f>
        <v>Torkoal é um Pokémon do tipo incêndio introduzido na geração 3. É conhecido como Pokémon de carvão.</v>
      </c>
      <c r="F287" s="2" t="str">
        <f ca="1">IFERROR(__xludf.DUMMYFUNCTION("GOOGLETRANSLATE(B287,""en"",""pt"")"),"Pokémon de carvão")</f>
        <v>Pokémon de carvão</v>
      </c>
    </row>
    <row r="288" spans="1:6" ht="15.75" customHeight="1" x14ac:dyDescent="0.25">
      <c r="A288" s="2" t="s">
        <v>975</v>
      </c>
      <c r="B288" s="2" t="s">
        <v>976</v>
      </c>
      <c r="C288" s="2" t="s">
        <v>977</v>
      </c>
      <c r="D288" s="2" t="s">
        <v>978</v>
      </c>
      <c r="E288" s="2" t="str">
        <f ca="1">IFERROR(__xludf.DUMMYFUNCTION("GOOGLETRANSLATE(D288,""en"",""pt"")"),"Spoink é um Pokémon do tipo psíquico introduzido na geração 3. É conhecido como Pokémon de salto.")</f>
        <v>Spoink é um Pokémon do tipo psíquico introduzido na geração 3. É conhecido como Pokémon de salto.</v>
      </c>
      <c r="F288" s="2" t="str">
        <f ca="1">IFERROR(__xludf.DUMMYFUNCTION("GOOGLETRANSLATE(B288,""en"",""pt"")"),"Pokémon de salto")</f>
        <v>Pokémon de salto</v>
      </c>
    </row>
    <row r="289" spans="1:6" ht="15.75" customHeight="1" x14ac:dyDescent="0.25">
      <c r="A289" s="2" t="s">
        <v>979</v>
      </c>
      <c r="B289" s="2" t="s">
        <v>980</v>
      </c>
      <c r="C289" s="2" t="s">
        <v>981</v>
      </c>
      <c r="D289" s="2" t="s">
        <v>982</v>
      </c>
      <c r="E289" s="2" t="str">
        <f ca="1">IFERROR(__xludf.DUMMYFUNCTION("GOOGLETRANSLATE(D289,""en"",""pt"")"),"Grumpig é um Pokémon do tipo psíquico introduzido na geração 3. É conhecido como Pokémon manipulado.")</f>
        <v>Grumpig é um Pokémon do tipo psíquico introduzido na geração 3. É conhecido como Pokémon manipulado.</v>
      </c>
      <c r="F289" s="2" t="str">
        <f ca="1">IFERROR(__xludf.DUMMYFUNCTION("GOOGLETRANSLATE(B289,""en"",""pt"")"),"Manipular Pokémon")</f>
        <v>Manipular Pokémon</v>
      </c>
    </row>
    <row r="290" spans="1:6" ht="15.75" customHeight="1" x14ac:dyDescent="0.25">
      <c r="A290" s="2" t="s">
        <v>983</v>
      </c>
      <c r="B290" s="2" t="s">
        <v>984</v>
      </c>
      <c r="C290" s="2" t="s">
        <v>985</v>
      </c>
      <c r="D290" s="2" t="s">
        <v>986</v>
      </c>
      <c r="E290" s="2" t="str">
        <f ca="1">IFERROR(__xludf.DUMMYFUNCTION("GOOGLETRANSLATE(D290,""en"",""pt"")"),"Spinda é um Pokémon do tipo normal introduzido na geração 3. É conhecido como Pokémon Panda Spot.")</f>
        <v>Spinda é um Pokémon do tipo normal introduzido na geração 3. É conhecido como Pokémon Panda Spot.</v>
      </c>
      <c r="F290" s="2" t="str">
        <f ca="1">IFERROR(__xludf.DUMMYFUNCTION("GOOGLETRANSLATE(B290,""en"",""pt"")"),"Spot panda Pokémon")</f>
        <v>Spot panda Pokémon</v>
      </c>
    </row>
    <row r="291" spans="1:6" ht="15.75" customHeight="1" x14ac:dyDescent="0.25">
      <c r="A291" s="2" t="s">
        <v>987</v>
      </c>
      <c r="B291" s="2" t="s">
        <v>988</v>
      </c>
      <c r="C291" s="2" t="s">
        <v>989</v>
      </c>
      <c r="D291" s="2" t="s">
        <v>990</v>
      </c>
      <c r="E291" s="2" t="str">
        <f ca="1">IFERROR(__xludf.DUMMYFUNCTION("GOOGLETRANSLATE(D291,""en"",""pt"")"),"Trapinch é um Pokémon do tipo terrestre introduzido na geração 3. É conhecido como Pokémon de Ant Pit.")</f>
        <v>Trapinch é um Pokémon do tipo terrestre introduzido na geração 3. É conhecido como Pokémon de Ant Pit.</v>
      </c>
      <c r="F291" s="2" t="str">
        <f ca="1">IFERROR(__xludf.DUMMYFUNCTION("GOOGLETRANSLATE(B291,""en"",""pt"")"),"Pokémon de pit de formiga")</f>
        <v>Pokémon de pit de formiga</v>
      </c>
    </row>
    <row r="292" spans="1:6" ht="15.75" customHeight="1" x14ac:dyDescent="0.25">
      <c r="A292" s="2" t="s">
        <v>991</v>
      </c>
      <c r="B292" s="2" t="s">
        <v>992</v>
      </c>
      <c r="C292" s="2" t="s">
        <v>993</v>
      </c>
      <c r="D292" s="2" t="s">
        <v>994</v>
      </c>
      <c r="E292" s="2" t="str">
        <f ca="1">IFERROR(__xludf.DUMMYFUNCTION("GOOGLETRANSLATE(D292,""en"",""pt"")"),"Vibrava é um Pokémon do tipo de terra/dragão introduzido na geração 3. É conhecido como Pokémon de vibração.")</f>
        <v>Vibrava é um Pokémon do tipo de terra/dragão introduzido na geração 3. É conhecido como Pokémon de vibração.</v>
      </c>
      <c r="F292" s="2" t="str">
        <f ca="1">IFERROR(__xludf.DUMMYFUNCTION("GOOGLETRANSLATE(B292,""en"",""pt"")"),"Pokémon de vibração")</f>
        <v>Pokémon de vibração</v>
      </c>
    </row>
    <row r="293" spans="1:6" ht="15.75" customHeight="1" x14ac:dyDescent="0.25">
      <c r="A293" s="2" t="s">
        <v>995</v>
      </c>
      <c r="B293" s="2" t="s">
        <v>819</v>
      </c>
      <c r="C293" s="2" t="s">
        <v>996</v>
      </c>
      <c r="D293" s="2" t="s">
        <v>997</v>
      </c>
      <c r="E293" s="2" t="str">
        <f ca="1">IFERROR(__xludf.DUMMYFUNCTION("GOOGLETRANSLATE(D293,""en"",""pt"")"),"Nidorino é um Pokémon do tipo veneno introduzido na geração 1. É conhecido como Pokémon Pin Poison.")</f>
        <v>Nidorino é um Pokémon do tipo veneno introduzido na geração 1. É conhecido como Pokémon Pin Poison.</v>
      </c>
      <c r="F293" s="2" t="str">
        <f ca="1">IFERROR(__xludf.DUMMYFUNCTION("GOOGLETRANSLATE(B293,""en"",""pt"")"),"Pokémon de Pin Poison")</f>
        <v>Pokémon de Pin Poison</v>
      </c>
    </row>
    <row r="294" spans="1:6" ht="15.75" customHeight="1" x14ac:dyDescent="0.25">
      <c r="A294" s="2" t="s">
        <v>998</v>
      </c>
      <c r="B294" s="2" t="s">
        <v>342</v>
      </c>
      <c r="C294" s="2" t="s">
        <v>999</v>
      </c>
      <c r="D294" s="2" t="s">
        <v>1000</v>
      </c>
      <c r="E294" s="2" t="str">
        <f ca="1">IFERROR(__xludf.DUMMYFUNCTION("GOOGLETRANSLATE(D294,""en"",""pt"")"),"O Flygon é um Pokémon do tipo terrestre/dragão introduzido na geração 3. É conhecido como Pokémon Mystic.")</f>
        <v>O Flygon é um Pokémon do tipo terrestre/dragão introduzido na geração 3. É conhecido como Pokémon Mystic.</v>
      </c>
      <c r="F294" s="2" t="str">
        <f ca="1">IFERROR(__xludf.DUMMYFUNCTION("GOOGLETRANSLATE(B294,""en"",""pt"")"),"Pokémon místico")</f>
        <v>Pokémon místico</v>
      </c>
    </row>
    <row r="295" spans="1:6" ht="15.75" customHeight="1" x14ac:dyDescent="0.25">
      <c r="A295" s="2" t="s">
        <v>1001</v>
      </c>
      <c r="B295" s="2" t="s">
        <v>1002</v>
      </c>
      <c r="C295" s="2" t="s">
        <v>1003</v>
      </c>
      <c r="D295" s="2" t="s">
        <v>1004</v>
      </c>
      <c r="E295" s="2" t="str">
        <f ca="1">IFERROR(__xludf.DUMMYFUNCTION("GOOGLETRANSLATE(D295,""en"",""pt"")"),"A cacnea é um Pokémon do tipo grama introduzido na geração 3. É conhecido como Pokémon Cactus.")</f>
        <v>A cacnea é um Pokémon do tipo grama introduzido na geração 3. É conhecido como Pokémon Cactus.</v>
      </c>
      <c r="F295" s="2" t="str">
        <f ca="1">IFERROR(__xludf.DUMMYFUNCTION("GOOGLETRANSLATE(B295,""en"",""pt"")"),"Cactus Pokémon")</f>
        <v>Cactus Pokémon</v>
      </c>
    </row>
    <row r="296" spans="1:6" ht="15.75" customHeight="1" x14ac:dyDescent="0.25">
      <c r="A296" s="2" t="s">
        <v>1005</v>
      </c>
      <c r="B296" s="2" t="s">
        <v>1006</v>
      </c>
      <c r="C296" s="2" t="s">
        <v>1007</v>
      </c>
      <c r="D296" s="2" t="s">
        <v>1008</v>
      </c>
      <c r="E296" s="2" t="str">
        <f ca="1">IFERROR(__xludf.DUMMYFUNCTION("GOOGLETRANSLATE(D296,""en"",""pt"")"),"Cacturne é um Pokémon de grama/escuro introduzido na geração 3. É conhecido como Pokémon Scarecrow.")</f>
        <v>Cacturne é um Pokémon de grama/escuro introduzido na geração 3. É conhecido como Pokémon Scarecrow.</v>
      </c>
      <c r="F296" s="2" t="str">
        <f ca="1">IFERROR(__xludf.DUMMYFUNCTION("GOOGLETRANSLATE(B296,""en"",""pt"")"),"Scarecrow Pokémon")</f>
        <v>Scarecrow Pokémon</v>
      </c>
    </row>
    <row r="297" spans="1:6" ht="15.75" customHeight="1" x14ac:dyDescent="0.25">
      <c r="A297" s="2" t="s">
        <v>1009</v>
      </c>
      <c r="B297" s="2" t="s">
        <v>1010</v>
      </c>
      <c r="C297" s="2" t="s">
        <v>1011</v>
      </c>
      <c r="D297" s="2" t="s">
        <v>1012</v>
      </c>
      <c r="E297" s="2" t="str">
        <f ca="1">IFERROR(__xludf.DUMMYFUNCTION("GOOGLETRANSLATE(D297,""en"",""pt"")"),"O Swablu é um Pokémon normal/voador introduzido na geração 3. É conhecido como Pokémon de pássaro de algodão.")</f>
        <v>O Swablu é um Pokémon normal/voador introduzido na geração 3. É conhecido como Pokémon de pássaro de algodão.</v>
      </c>
      <c r="F297" s="2" t="str">
        <f ca="1">IFERROR(__xludf.DUMMYFUNCTION("GOOGLETRANSLATE(B297,""en"",""pt"")"),"Pokémon de pássaro de algodão")</f>
        <v>Pokémon de pássaro de algodão</v>
      </c>
    </row>
    <row r="298" spans="1:6" ht="15.75" customHeight="1" x14ac:dyDescent="0.25">
      <c r="A298" s="2" t="s">
        <v>1013</v>
      </c>
      <c r="B298" s="2" t="s">
        <v>1014</v>
      </c>
      <c r="C298" s="2" t="s">
        <v>1015</v>
      </c>
      <c r="D298" s="2" t="s">
        <v>1016</v>
      </c>
      <c r="E298" s="2" t="str">
        <f ca="1">IFERROR(__xludf.DUMMYFUNCTION("GOOGLETRANSLATE(D298,""en"",""pt"")"),"Altaria é um Pokémon do tipo dragão/voador introduzido na geração 3. É conhecido como Pokémon Humming.
Altaria tem uma mega evolução, disponível na Omega Ruby &amp; Alpha Sapphire em diante.")</f>
        <v>Altaria é um Pokémon do tipo dragão/voador introduzido na geração 3. É conhecido como Pokémon Humming.
Altaria tem uma mega evolução, disponível na Omega Ruby &amp; Alpha Sapphire em diante.</v>
      </c>
      <c r="F298" s="2" t="str">
        <f ca="1">IFERROR(__xludf.DUMMYFUNCTION("GOOGLETRANSLATE(B298,""en"",""pt"")"),"Pokémon cantarolando")</f>
        <v>Pokémon cantarolando</v>
      </c>
    </row>
    <row r="299" spans="1:6" ht="15.75" customHeight="1" x14ac:dyDescent="0.25">
      <c r="A299" s="2" t="s">
        <v>1013</v>
      </c>
      <c r="B299" s="2" t="s">
        <v>1014</v>
      </c>
      <c r="C299" s="2" t="s">
        <v>1017</v>
      </c>
      <c r="D299" s="2" t="s">
        <v>1016</v>
      </c>
      <c r="E299" s="2" t="str">
        <f ca="1">IFERROR(__xludf.DUMMYFUNCTION("GOOGLETRANSLATE(D299,""en"",""pt"")"),"Altaria é um Pokémon do tipo dragão/voador introduzido na geração 3. É conhecido como Pokémon Humming.
Altaria tem uma mega evolução, disponível na Omega Ruby &amp; Alpha Sapphire em diante.")</f>
        <v>Altaria é um Pokémon do tipo dragão/voador introduzido na geração 3. É conhecido como Pokémon Humming.
Altaria tem uma mega evolução, disponível na Omega Ruby &amp; Alpha Sapphire em diante.</v>
      </c>
      <c r="F299" s="2" t="str">
        <f ca="1">IFERROR(__xludf.DUMMYFUNCTION("GOOGLETRANSLATE(B299,""en"",""pt"")"),"Pokémon cantarolando")</f>
        <v>Pokémon cantarolando</v>
      </c>
    </row>
    <row r="300" spans="1:6" ht="15.75" customHeight="1" x14ac:dyDescent="0.25">
      <c r="A300" s="2" t="s">
        <v>1018</v>
      </c>
      <c r="B300" s="2" t="s">
        <v>1019</v>
      </c>
      <c r="C300" s="2" t="s">
        <v>1020</v>
      </c>
      <c r="D300" s="2" t="s">
        <v>1021</v>
      </c>
      <c r="E300" s="2" t="str">
        <f ca="1">IFERROR(__xludf.DUMMYFUNCTION("GOOGLETRANSLATE(D300,""en"",""pt"")"),"O Zangoose é um Pokémon do tipo normal introduzido na geração 3. É conhecido como Pokémon Ferret Cat.")</f>
        <v>O Zangoose é um Pokémon do tipo normal introduzido na geração 3. É conhecido como Pokémon Ferret Cat.</v>
      </c>
      <c r="F300" s="2" t="str">
        <f ca="1">IFERROR(__xludf.DUMMYFUNCTION("GOOGLETRANSLATE(B300,""en"",""pt"")"),"Pokémon de gato de gato")</f>
        <v>Pokémon de gato de gato</v>
      </c>
    </row>
    <row r="301" spans="1:6" ht="15.75" customHeight="1" x14ac:dyDescent="0.25">
      <c r="A301" s="2" t="s">
        <v>1022</v>
      </c>
      <c r="B301" s="2" t="s">
        <v>1023</v>
      </c>
      <c r="C301" s="2" t="s">
        <v>1024</v>
      </c>
      <c r="D301" s="2" t="s">
        <v>1025</v>
      </c>
      <c r="E301" s="2" t="str">
        <f ca="1">IFERROR(__xludf.DUMMYFUNCTION("GOOGLETRANSLATE(D301,""en"",""pt"")"),"O Seviper é um Pokémon do tipo veneno introduzido na geração 3. É conhecido como Pokémon Snake Fang.")</f>
        <v>O Seviper é um Pokémon do tipo veneno introduzido na geração 3. É conhecido como Pokémon Snake Fang.</v>
      </c>
      <c r="F301" s="2" t="str">
        <f ca="1">IFERROR(__xludf.DUMMYFUNCTION("GOOGLETRANSLATE(B301,""en"",""pt"")"),"Fang Snake Pokémon")</f>
        <v>Fang Snake Pokémon</v>
      </c>
    </row>
    <row r="302" spans="1:6" ht="15.75" customHeight="1" x14ac:dyDescent="0.25">
      <c r="A302" s="2" t="s">
        <v>1026</v>
      </c>
      <c r="B302" s="2" t="s">
        <v>1027</v>
      </c>
      <c r="C302" s="2" t="s">
        <v>1028</v>
      </c>
      <c r="D302" s="2" t="s">
        <v>1029</v>
      </c>
      <c r="E302" s="2" t="str">
        <f ca="1">IFERROR(__xludf.DUMMYFUNCTION("GOOGLETRANSLATE(D302,""en"",""pt"")"),"Lunatone é um Pokémon do tipo rock/psíquico introduzido na geração 3. É conhecido como Pokémon de Meteorito.")</f>
        <v>Lunatone é um Pokémon do tipo rock/psíquico introduzido na geração 3. É conhecido como Pokémon de Meteorito.</v>
      </c>
      <c r="F302" s="2" t="str">
        <f ca="1">IFERROR(__xludf.DUMMYFUNCTION("GOOGLETRANSLATE(B302,""en"",""pt"")"),"Pokémon de meteorito")</f>
        <v>Pokémon de meteorito</v>
      </c>
    </row>
    <row r="303" spans="1:6" ht="15.75" customHeight="1" x14ac:dyDescent="0.25">
      <c r="A303" s="2" t="s">
        <v>1030</v>
      </c>
      <c r="B303" s="2" t="s">
        <v>1027</v>
      </c>
      <c r="C303" s="2" t="s">
        <v>1031</v>
      </c>
      <c r="D303" s="2" t="s">
        <v>1032</v>
      </c>
      <c r="E303" s="2" t="str">
        <f ca="1">IFERROR(__xludf.DUMMYFUNCTION("GOOGLETRANSLATE(D303,""en"",""pt"")"),"Solrock é um Pokémon do tipo rock/psíquico introduzido na geração 3. É conhecido como Pokémon de Meteorito.")</f>
        <v>Solrock é um Pokémon do tipo rock/psíquico introduzido na geração 3. É conhecido como Pokémon de Meteorito.</v>
      </c>
      <c r="F303" s="2" t="str">
        <f ca="1">IFERROR(__xludf.DUMMYFUNCTION("GOOGLETRANSLATE(B303,""en"",""pt"")"),"Pokémon de meteorito")</f>
        <v>Pokémon de meteorito</v>
      </c>
    </row>
    <row r="304" spans="1:6" ht="15.75" customHeight="1" x14ac:dyDescent="0.25">
      <c r="A304" s="2" t="s">
        <v>1033</v>
      </c>
      <c r="B304" s="2" t="s">
        <v>1034</v>
      </c>
      <c r="C304" s="2" t="s">
        <v>1035</v>
      </c>
      <c r="D304" s="2" t="s">
        <v>1036</v>
      </c>
      <c r="E304" s="2" t="str">
        <f ca="1">IFERROR(__xludf.DUMMYFUNCTION("GOOGLETRANSLATE(D304,""en"",""pt"")"),"Barboach é um Pokémon do tipo água/terra introduzido na geração 3. É conhecido como Pokémon dos Whiskers.")</f>
        <v>Barboach é um Pokémon do tipo água/terra introduzido na geração 3. É conhecido como Pokémon dos Whiskers.</v>
      </c>
      <c r="F304" s="2" t="str">
        <f ca="1">IFERROR(__xludf.DUMMYFUNCTION("GOOGLETRANSLATE(B304,""en"",""pt"")"),"Bigodes Pokémon")</f>
        <v>Bigodes Pokémon</v>
      </c>
    </row>
    <row r="305" spans="1:6" ht="15.75" customHeight="1" x14ac:dyDescent="0.25">
      <c r="A305" s="2" t="s">
        <v>1037</v>
      </c>
      <c r="B305" s="2" t="s">
        <v>65</v>
      </c>
      <c r="C305" s="2" t="s">
        <v>1038</v>
      </c>
      <c r="D305" s="2" t="s">
        <v>1039</v>
      </c>
      <c r="E305" s="2" t="str">
        <f ca="1">IFERROR(__xludf.DUMMYFUNCTION("GOOGLETRANSLATE(D305,""en"",""pt"")"),"Nidoking é um Pokémon do tipo veneno/terra introduzido na geração 1. É conhecido como Pokémon Drill.")</f>
        <v>Nidoking é um Pokémon do tipo veneno/terra introduzido na geração 1. É conhecido como Pokémon Drill.</v>
      </c>
      <c r="F305" s="2" t="str">
        <f ca="1">IFERROR(__xludf.DUMMYFUNCTION("GOOGLETRANSLATE(B305,""en"",""pt"")"),"Drill Pokémon")</f>
        <v>Drill Pokémon</v>
      </c>
    </row>
    <row r="306" spans="1:6" ht="15.75" customHeight="1" x14ac:dyDescent="0.25">
      <c r="A306" s="2" t="s">
        <v>1040</v>
      </c>
      <c r="B306" s="2" t="s">
        <v>1034</v>
      </c>
      <c r="C306" s="2" t="s">
        <v>1041</v>
      </c>
      <c r="D306" s="2" t="s">
        <v>1042</v>
      </c>
      <c r="E306" s="2" t="str">
        <f ca="1">IFERROR(__xludf.DUMMYFUNCTION("GOOGLETRANSLATE(D306,""en"",""pt"")"),"Whiscash é um Pokémon do tipo água/terra introduzido na geração 3. É conhecido como Pokémon dos Whiskers.")</f>
        <v>Whiscash é um Pokémon do tipo água/terra introduzido na geração 3. É conhecido como Pokémon dos Whiskers.</v>
      </c>
      <c r="F306" s="2" t="str">
        <f ca="1">IFERROR(__xludf.DUMMYFUNCTION("GOOGLETRANSLATE(B306,""en"",""pt"")"),"Bigodes Pokémon")</f>
        <v>Bigodes Pokémon</v>
      </c>
    </row>
    <row r="307" spans="1:6" ht="15.75" customHeight="1" x14ac:dyDescent="0.25">
      <c r="A307" s="2" t="s">
        <v>1043</v>
      </c>
      <c r="B307" s="2" t="s">
        <v>1044</v>
      </c>
      <c r="C307" s="2" t="s">
        <v>1045</v>
      </c>
      <c r="D307" s="2" t="s">
        <v>1046</v>
      </c>
      <c r="E307" s="2" t="str">
        <f ca="1">IFERROR(__xludf.DUMMYFUNCTION("GOOGLETRANSLATE(D307,""en"",""pt"")"),"Corphish é um Pokémon do tipo água introduzido na geração 3. É conhecido como Pokémon Ruffian.")</f>
        <v>Corphish é um Pokémon do tipo água introduzido na geração 3. É conhecido como Pokémon Ruffian.</v>
      </c>
      <c r="F307" s="2" t="str">
        <f ca="1">IFERROR(__xludf.DUMMYFUNCTION("GOOGLETRANSLATE(B307,""en"",""pt"")"),"Pokémon Ruffian")</f>
        <v>Pokémon Ruffian</v>
      </c>
    </row>
    <row r="308" spans="1:6" ht="15.75" customHeight="1" x14ac:dyDescent="0.25">
      <c r="A308" s="2" t="s">
        <v>1047</v>
      </c>
      <c r="B308" s="2" t="s">
        <v>1048</v>
      </c>
      <c r="C308" s="2" t="s">
        <v>1049</v>
      </c>
      <c r="D308" s="2" t="s">
        <v>1050</v>
      </c>
      <c r="E308" s="2" t="str">
        <f ca="1">IFERROR(__xludf.DUMMYFUNCTION("GOOGLETRANSLATE(D308,""en"",""pt"")"),"Crawdaunt é um Pokémon de água/escuro introduzido na geração 3. É conhecido como Pokémon desonesto.")</f>
        <v>Crawdaunt é um Pokémon de água/escuro introduzido na geração 3. É conhecido como Pokémon desonesto.</v>
      </c>
      <c r="F308" s="2" t="str">
        <f ca="1">IFERROR(__xludf.DUMMYFUNCTION("GOOGLETRANSLATE(B308,""en"",""pt"")"),"Pokémon desonesto")</f>
        <v>Pokémon desonesto</v>
      </c>
    </row>
    <row r="309" spans="1:6" ht="15.75" customHeight="1" x14ac:dyDescent="0.25">
      <c r="A309" s="2" t="s">
        <v>1051</v>
      </c>
      <c r="B309" s="2" t="s">
        <v>1052</v>
      </c>
      <c r="C309" s="2" t="s">
        <v>1053</v>
      </c>
      <c r="D309" s="2" t="s">
        <v>1054</v>
      </c>
      <c r="E309" s="2" t="str">
        <f ca="1">IFERROR(__xludf.DUMMYFUNCTION("GOOGLETRANSLATE(D309,""en"",""pt"")"),"Baltoy é um Pokémon do tipo terrestre/psíquico introduzido na geração 3. É conhecido como Pokémon de Doll Clay.")</f>
        <v>Baltoy é um Pokémon do tipo terrestre/psíquico introduzido na geração 3. É conhecido como Pokémon de Doll Clay.</v>
      </c>
      <c r="F309" s="2" t="str">
        <f ca="1">IFERROR(__xludf.DUMMYFUNCTION("GOOGLETRANSLATE(B309,""en"",""pt"")"),"Pokémon de boneca de barro")</f>
        <v>Pokémon de boneca de barro</v>
      </c>
    </row>
    <row r="310" spans="1:6" ht="15.75" customHeight="1" x14ac:dyDescent="0.25">
      <c r="A310" s="2" t="s">
        <v>1055</v>
      </c>
      <c r="B310" s="2" t="s">
        <v>1052</v>
      </c>
      <c r="C310" s="2" t="s">
        <v>1056</v>
      </c>
      <c r="D310" s="2" t="s">
        <v>1057</v>
      </c>
      <c r="E310" s="2" t="str">
        <f ca="1">IFERROR(__xludf.DUMMYFUNCTION("GOOGLETRANSLATE(D310,""en"",""pt"")"),"Claydol é um Pokémon do tipo terrestre/psíquico introduzido na geração 3. É conhecido como Pokémon de Doll Clay.")</f>
        <v>Claydol é um Pokémon do tipo terrestre/psíquico introduzido na geração 3. É conhecido como Pokémon de Doll Clay.</v>
      </c>
      <c r="F310" s="2" t="str">
        <f ca="1">IFERROR(__xludf.DUMMYFUNCTION("GOOGLETRANSLATE(B310,""en"",""pt"")"),"Pokémon de boneca de barro")</f>
        <v>Pokémon de boneca de barro</v>
      </c>
    </row>
    <row r="311" spans="1:6" ht="15.75" customHeight="1" x14ac:dyDescent="0.25">
      <c r="A311" s="2" t="s">
        <v>1058</v>
      </c>
      <c r="B311" s="2" t="s">
        <v>1059</v>
      </c>
      <c r="C311" s="2" t="s">
        <v>1060</v>
      </c>
      <c r="D311" s="2" t="s">
        <v>1061</v>
      </c>
      <c r="E311" s="2" t="str">
        <f ca="1">IFERROR(__xludf.DUMMYFUNCTION("GOOGLETRANSLATE(D311,""en"",""pt"")"),"Lileep é um Pokémon do tipo rock/grama introduzido na geração 3. É conhecido como Pokémon do lírio marinho.")</f>
        <v>Lileep é um Pokémon do tipo rock/grama introduzido na geração 3. É conhecido como Pokémon do lírio marinho.</v>
      </c>
      <c r="F311" s="2" t="str">
        <f ca="1">IFERROR(__xludf.DUMMYFUNCTION("GOOGLETRANSLATE(B311,""en"",""pt"")"),"Pokémon do lírio marinho")</f>
        <v>Pokémon do lírio marinho</v>
      </c>
    </row>
    <row r="312" spans="1:6" ht="15.75" customHeight="1" x14ac:dyDescent="0.25">
      <c r="A312" s="2" t="s">
        <v>1062</v>
      </c>
      <c r="B312" s="2" t="s">
        <v>1063</v>
      </c>
      <c r="C312" s="2" t="s">
        <v>1064</v>
      </c>
      <c r="D312" s="2" t="s">
        <v>1065</v>
      </c>
      <c r="E312" s="2" t="str">
        <f ca="1">IFERROR(__xludf.DUMMYFUNCTION("GOOGLETRANSLATE(D312,""en"",""pt"")"),"Cradily é um Pokémon do tipo rock/grama introduzido na geração 3. É conhecido como Pokémon de Barnacle.")</f>
        <v>Cradily é um Pokémon do tipo rock/grama introduzido na geração 3. É conhecido como Pokémon de Barnacle.</v>
      </c>
      <c r="F312" s="2" t="str">
        <f ca="1">IFERROR(__xludf.DUMMYFUNCTION("GOOGLETRANSLATE(B312,""en"",""pt"")"),"Pokémon de Barnacle")</f>
        <v>Pokémon de Barnacle</v>
      </c>
    </row>
    <row r="313" spans="1:6" ht="15.75" customHeight="1" x14ac:dyDescent="0.25">
      <c r="A313" s="2" t="s">
        <v>1066</v>
      </c>
      <c r="B313" s="2" t="s">
        <v>1067</v>
      </c>
      <c r="C313" s="2" t="s">
        <v>1068</v>
      </c>
      <c r="D313" s="2" t="s">
        <v>1069</v>
      </c>
      <c r="E313" s="2" t="str">
        <f ca="1">IFERROR(__xludf.DUMMYFUNCTION("GOOGLETRANSLATE(D313,""en"",""pt"")"),"Anorith é um Pokémon do tipo rock/inseto introduzido na geração 3. É conhecido como o velho Pokémon de camarão.")</f>
        <v>Anorith é um Pokémon do tipo rock/inseto introduzido na geração 3. É conhecido como o velho Pokémon de camarão.</v>
      </c>
      <c r="F313" s="2" t="str">
        <f ca="1">IFERROR(__xludf.DUMMYFUNCTION("GOOGLETRANSLATE(B313,""en"",""pt"")"),"Pokémon antigo de camarão")</f>
        <v>Pokémon antigo de camarão</v>
      </c>
    </row>
    <row r="314" spans="1:6" ht="15.75" customHeight="1" x14ac:dyDescent="0.25">
      <c r="A314" s="2" t="s">
        <v>1070</v>
      </c>
      <c r="B314" s="2" t="s">
        <v>1071</v>
      </c>
      <c r="C314" s="2" t="s">
        <v>1072</v>
      </c>
      <c r="D314" s="2" t="s">
        <v>1073</v>
      </c>
      <c r="E314" s="2" t="str">
        <f ca="1">IFERROR(__xludf.DUMMYFUNCTION("GOOGLETRANSLATE(D314,""en"",""pt"")"),"Armaldo é um Pokémon do tipo rocha/inseto introduzido na geração 3. É conhecido como Pokémon da placa.")</f>
        <v>Armaldo é um Pokémon do tipo rocha/inseto introduzido na geração 3. É conhecido como Pokémon da placa.</v>
      </c>
      <c r="F314" s="2" t="str">
        <f ca="1">IFERROR(__xludf.DUMMYFUNCTION("GOOGLETRANSLATE(B314,""en"",""pt"")"),"Pokémon de placa")</f>
        <v>Pokémon de placa</v>
      </c>
    </row>
    <row r="315" spans="1:6" ht="15.75" customHeight="1" x14ac:dyDescent="0.25">
      <c r="A315" s="2" t="s">
        <v>1074</v>
      </c>
      <c r="B315" s="2" t="s">
        <v>136</v>
      </c>
      <c r="C315" s="2" t="s">
        <v>1075</v>
      </c>
      <c r="D315" s="2" t="s">
        <v>1076</v>
      </c>
      <c r="E315" s="2" t="str">
        <f ca="1">IFERROR(__xludf.DUMMYFUNCTION("GOOGLETRANSLATE(D315,""en"",""pt"")"),"Feebas é um Pokémon do tipo água introduzido na geração 3. É conhecido como Pokémon de peixe.
O Feebas é muito raro em Ruby/Sapphire/Emerald, sendo disponível pescando em um dos apenas seis quadrados aleatórios na Rota 119. Da mesma forma em diamante/péro"&amp;"la/platina, só pode ser encontrada em um dos quatro quadrados aleatórios no Monte Coronet.
Feebas também tem uma evolução única. No RSE, o DPPT e o Omega Ruby/Alpha Sapphire, ele evoluirá para o Milotic, maximizando sua estatística de beleza com Poffins. "&amp;"A partir de Black/White, os Feebas evoluirão quando negociados com uma escala de prisma, no entanto, também pode evoluir se migrar de um jogo anterior já tendo o máximo de beleza.")</f>
        <v>Feebas é um Pokémon do tipo água introduzido na geração 3. É conhecido como Pokémon de peixe.
O Feebas é muito raro em Ruby/Sapphire/Emerald, sendo disponível pescando em um dos apenas seis quadrados aleatórios na Rota 119. Da mesma forma em diamante/pérola/platina, só pode ser encontrada em um dos quatro quadrados aleatórios no Monte Coronet.
Feebas também tem uma evolução única. No RSE, o DPPT e o Omega Ruby/Alpha Sapphire, ele evoluirá para o Milotic, maximizando sua estatística de beleza com Poffins. A partir de Black/White, os Feebas evoluirão quando negociados com uma escala de prisma, no entanto, também pode evoluir se migrar de um jogo anterior já tendo o máximo de beleza.</v>
      </c>
      <c r="F315" s="2" t="str">
        <f ca="1">IFERROR(__xludf.DUMMYFUNCTION("GOOGLETRANSLATE(B315,""en"",""pt"")"),"Pokémon de peixe")</f>
        <v>Pokémon de peixe</v>
      </c>
    </row>
    <row r="316" spans="1:6" ht="15.75" customHeight="1" x14ac:dyDescent="0.25">
      <c r="A316" s="2" t="s">
        <v>1077</v>
      </c>
      <c r="B316" s="2" t="s">
        <v>476</v>
      </c>
      <c r="C316" s="2" t="s">
        <v>1078</v>
      </c>
      <c r="D316" s="2" t="s">
        <v>1079</v>
      </c>
      <c r="E316" s="2" t="str">
        <f ca="1">IFERROR(__xludf.DUMMYFUNCTION("GOOGLETRANSLATE(D316,""en"",""pt"")"),"Clefairy é um Pokémon do tipo fada introduzido na geração 1. É conhecido como Pokémon de Fairia.")</f>
        <v>Clefairy é um Pokémon do tipo fada introduzido na geração 1. É conhecido como Pokémon de Fairia.</v>
      </c>
      <c r="F316" s="2" t="str">
        <f ca="1">IFERROR(__xludf.DUMMYFUNCTION("GOOGLETRANSLATE(B316,""en"",""pt"")"),"Pokémon de fada")</f>
        <v>Pokémon de fada</v>
      </c>
    </row>
    <row r="317" spans="1:6" ht="15.75" customHeight="1" x14ac:dyDescent="0.25">
      <c r="A317" s="2" t="s">
        <v>1080</v>
      </c>
      <c r="B317" s="2" t="s">
        <v>1081</v>
      </c>
      <c r="C317" s="2" t="s">
        <v>1082</v>
      </c>
      <c r="D317" s="2" t="s">
        <v>1083</v>
      </c>
      <c r="E317" s="2" t="str">
        <f ca="1">IFERROR(__xludf.DUMMYFUNCTION("GOOGLETRANSLATE(D317,""en"",""pt"")"),"Milotic é um Pokémon do tipo água introduzido na geração 3. É conhecido como Pokémon tenro.
O Milotic evolui de Feebas quando negociado com uma escala de prisma ou, antes de preto/branco, maximizando sua estatística de beleza com Poffins.")</f>
        <v>Milotic é um Pokémon do tipo água introduzido na geração 3. É conhecido como Pokémon tenro.
O Milotic evolui de Feebas quando negociado com uma escala de prisma ou, antes de preto/branco, maximizando sua estatística de beleza com Poffins.</v>
      </c>
      <c r="F317" s="2" t="str">
        <f ca="1">IFERROR(__xludf.DUMMYFUNCTION("GOOGLETRANSLATE(B317,""en"",""pt"")"),"Pokémon macio")</f>
        <v>Pokémon macio</v>
      </c>
    </row>
    <row r="318" spans="1:6" ht="15.75" customHeight="1" x14ac:dyDescent="0.25">
      <c r="A318" s="2" t="s">
        <v>1084</v>
      </c>
      <c r="B318" s="2" t="s">
        <v>1085</v>
      </c>
      <c r="C318" s="2" t="s">
        <v>1086</v>
      </c>
      <c r="D318" s="2" t="s">
        <v>1087</v>
      </c>
      <c r="E318" s="2" t="str">
        <f ca="1">IFERROR(__xludf.DUMMYFUNCTION("GOOGLETRANSLATE(D318,""en"",""pt"")"),"O Castform é um Pokémon do tipo normal introduzido na geração 3. É conhecido como Pokémon meteorológico.")</f>
        <v>O Castform é um Pokémon do tipo normal introduzido na geração 3. É conhecido como Pokémon meteorológico.</v>
      </c>
      <c r="F318" s="2" t="str">
        <f ca="1">IFERROR(__xludf.DUMMYFUNCTION("GOOGLETRANSLATE(B318,""en"",""pt"")"),"Pokémon climático")</f>
        <v>Pokémon climático</v>
      </c>
    </row>
    <row r="319" spans="1:6" ht="15.75" customHeight="1" x14ac:dyDescent="0.25">
      <c r="A319" s="2" t="s">
        <v>1084</v>
      </c>
      <c r="B319" s="2" t="s">
        <v>1085</v>
      </c>
      <c r="C319" s="2" t="s">
        <v>1088</v>
      </c>
      <c r="D319" s="2" t="s">
        <v>1087</v>
      </c>
      <c r="E319" s="2" t="str">
        <f ca="1">IFERROR(__xludf.DUMMYFUNCTION("GOOGLETRANSLATE(D319,""en"",""pt"")"),"O Castform é um Pokémon do tipo normal introduzido na geração 3. É conhecido como Pokémon meteorológico.")</f>
        <v>O Castform é um Pokémon do tipo normal introduzido na geração 3. É conhecido como Pokémon meteorológico.</v>
      </c>
      <c r="F319" s="2" t="str">
        <f ca="1">IFERROR(__xludf.DUMMYFUNCTION("GOOGLETRANSLATE(B319,""en"",""pt"")"),"Pokémon climático")</f>
        <v>Pokémon climático</v>
      </c>
    </row>
    <row r="320" spans="1:6" ht="15.75" customHeight="1" x14ac:dyDescent="0.25">
      <c r="A320" s="2" t="s">
        <v>1084</v>
      </c>
      <c r="B320" s="2" t="s">
        <v>1085</v>
      </c>
      <c r="C320" s="2" t="s">
        <v>1089</v>
      </c>
      <c r="D320" s="2" t="s">
        <v>1087</v>
      </c>
      <c r="E320" s="2" t="str">
        <f ca="1">IFERROR(__xludf.DUMMYFUNCTION("GOOGLETRANSLATE(D320,""en"",""pt"")"),"O Castform é um Pokémon do tipo normal introduzido na geração 3. É conhecido como Pokémon meteorológico.")</f>
        <v>O Castform é um Pokémon do tipo normal introduzido na geração 3. É conhecido como Pokémon meteorológico.</v>
      </c>
      <c r="F320" s="2" t="str">
        <f ca="1">IFERROR(__xludf.DUMMYFUNCTION("GOOGLETRANSLATE(B320,""en"",""pt"")"),"Pokémon climático")</f>
        <v>Pokémon climático</v>
      </c>
    </row>
    <row r="321" spans="1:6" ht="15.75" customHeight="1" x14ac:dyDescent="0.25">
      <c r="A321" s="2" t="s">
        <v>1084</v>
      </c>
      <c r="B321" s="2" t="s">
        <v>1085</v>
      </c>
      <c r="C321" s="2" t="s">
        <v>1090</v>
      </c>
      <c r="D321" s="2" t="s">
        <v>1087</v>
      </c>
      <c r="E321" s="2" t="str">
        <f ca="1">IFERROR(__xludf.DUMMYFUNCTION("GOOGLETRANSLATE(D321,""en"",""pt"")"),"O Castform é um Pokémon do tipo normal introduzido na geração 3. É conhecido como Pokémon meteorológico.")</f>
        <v>O Castform é um Pokémon do tipo normal introduzido na geração 3. É conhecido como Pokémon meteorológico.</v>
      </c>
      <c r="F321" s="2" t="str">
        <f ca="1">IFERROR(__xludf.DUMMYFUNCTION("GOOGLETRANSLATE(B321,""en"",""pt"")"),"Pokémon climático")</f>
        <v>Pokémon climático</v>
      </c>
    </row>
    <row r="322" spans="1:6" ht="15.75" customHeight="1" x14ac:dyDescent="0.25">
      <c r="A322" s="2" t="s">
        <v>1091</v>
      </c>
      <c r="B322" s="2" t="s">
        <v>1092</v>
      </c>
      <c r="C322" s="2" t="s">
        <v>1093</v>
      </c>
      <c r="D322" s="2" t="s">
        <v>1094</v>
      </c>
      <c r="E322" s="2" t="str">
        <f ca="1">IFERROR(__xludf.DUMMYFUNCTION("GOOGLETRANSLATE(D322,""en"",""pt"")"),"Kecleon é um Pokémon do tipo normal introduzido na geração 3. É conhecido como Pokémon de troca de cores.")</f>
        <v>Kecleon é um Pokémon do tipo normal introduzido na geração 3. É conhecido como Pokémon de troca de cores.</v>
      </c>
      <c r="F322" s="2" t="str">
        <f ca="1">IFERROR(__xludf.DUMMYFUNCTION("GOOGLETRANSLATE(B322,""en"",""pt"")"),"Pokémon de troca de cores")</f>
        <v>Pokémon de troca de cores</v>
      </c>
    </row>
    <row r="323" spans="1:6" ht="15.75" customHeight="1" x14ac:dyDescent="0.25">
      <c r="A323" s="2" t="s">
        <v>1095</v>
      </c>
      <c r="B323" s="2" t="s">
        <v>1096</v>
      </c>
      <c r="C323" s="2" t="s">
        <v>1097</v>
      </c>
      <c r="D323" s="2" t="s">
        <v>1098</v>
      </c>
      <c r="E323" s="2" t="str">
        <f ca="1">IFERROR(__xludf.DUMMYFUNCTION("GOOGLETRANSLATE(D323,""en"",""pt"")"),"Shuppet é um Pokémon do tipo fantasma introduzido na geração 3. É conhecido como Pokémon Pontin.")</f>
        <v>Shuppet é um Pokémon do tipo fantasma introduzido na geração 3. É conhecido como Pokémon Pontin.</v>
      </c>
      <c r="F323" s="2" t="str">
        <f ca="1">IFERROR(__xludf.DUMMYFUNCTION("GOOGLETRANSLATE(B323,""en"",""pt"")"),"Pokém de fantoches")</f>
        <v>Pokém de fantoches</v>
      </c>
    </row>
    <row r="324" spans="1:6" ht="15.75" customHeight="1" x14ac:dyDescent="0.25">
      <c r="A324" s="2" t="s">
        <v>1099</v>
      </c>
      <c r="B324" s="2" t="s">
        <v>1100</v>
      </c>
      <c r="C324" s="2" t="s">
        <v>1101</v>
      </c>
      <c r="D324" s="2" t="s">
        <v>1102</v>
      </c>
      <c r="E324" s="2" t="str">
        <f ca="1">IFERROR(__xludf.DUMMYFUNCTION("GOOGLETRANSLATE(D324,""en"",""pt"")"),"Banette é um Pokémon do tipo fantasma introduzido na geração 3. É conhecido como Pokémon Marionette.
Banette tem uma mega evolução, disponível a partir de X&amp;Y.")</f>
        <v>Banette é um Pokémon do tipo fantasma introduzido na geração 3. É conhecido como Pokémon Marionette.
Banette tem uma mega evolução, disponível a partir de X&amp;Y.</v>
      </c>
      <c r="F324" s="2" t="str">
        <f ca="1">IFERROR(__xludf.DUMMYFUNCTION("GOOGLETRANSLATE(B324,""en"",""pt"")"),"Marionete Pokémon")</f>
        <v>Marionete Pokémon</v>
      </c>
    </row>
    <row r="325" spans="1:6" ht="15.75" customHeight="1" x14ac:dyDescent="0.25">
      <c r="A325" s="2" t="s">
        <v>1099</v>
      </c>
      <c r="B325" s="2" t="s">
        <v>1100</v>
      </c>
      <c r="C325" s="2" t="s">
        <v>1103</v>
      </c>
      <c r="D325" s="2" t="s">
        <v>1102</v>
      </c>
      <c r="E325" s="2" t="str">
        <f ca="1">IFERROR(__xludf.DUMMYFUNCTION("GOOGLETRANSLATE(D325,""en"",""pt"")"),"Banette é um Pokémon do tipo fantasma introduzido na geração 3. É conhecido como Pokémon Marionette.
Banette tem uma mega evolução, disponível a partir de X&amp;Y.")</f>
        <v>Banette é um Pokémon do tipo fantasma introduzido na geração 3. É conhecido como Pokémon Marionette.
Banette tem uma mega evolução, disponível a partir de X&amp;Y.</v>
      </c>
      <c r="F325" s="2" t="str">
        <f ca="1">IFERROR(__xludf.DUMMYFUNCTION("GOOGLETRANSLATE(B325,""en"",""pt"")"),"Marionete Pokémon")</f>
        <v>Marionete Pokémon</v>
      </c>
    </row>
    <row r="326" spans="1:6" ht="15.75" customHeight="1" x14ac:dyDescent="0.25">
      <c r="A326" s="2" t="s">
        <v>1104</v>
      </c>
      <c r="B326" s="2" t="s">
        <v>1105</v>
      </c>
      <c r="C326" s="2" t="s">
        <v>1106</v>
      </c>
      <c r="D326" s="2" t="s">
        <v>1107</v>
      </c>
      <c r="E326" s="2" t="str">
        <f ca="1">IFERROR(__xludf.DUMMYFUNCTION("GOOGLETRANSLATE(D326,""en"",""pt"")"),"Duskull é um Pokémon do tipo fantasma introduzido na geração 3. É conhecido como Pokémon Requiem.")</f>
        <v>Duskull é um Pokémon do tipo fantasma introduzido na geração 3. É conhecido como Pokémon Requiem.</v>
      </c>
      <c r="F326" s="2" t="str">
        <f ca="1">IFERROR(__xludf.DUMMYFUNCTION("GOOGLETRANSLATE(B326,""en"",""pt"")"),"Requiem Pokémon")</f>
        <v>Requiem Pokémon</v>
      </c>
    </row>
    <row r="327" spans="1:6" ht="15.75" customHeight="1" x14ac:dyDescent="0.25">
      <c r="A327" s="2" t="s">
        <v>1108</v>
      </c>
      <c r="B327" s="2" t="s">
        <v>1109</v>
      </c>
      <c r="C327" s="2" t="s">
        <v>1110</v>
      </c>
      <c r="D327" s="2" t="s">
        <v>1111</v>
      </c>
      <c r="E327" s="2" t="str">
        <f ca="1">IFERROR(__xludf.DUMMYFUNCTION("GOOGLETRANSLATE(D327,""en"",""pt"")"),"Dusclops é um Pokémon do tipo fantasma introduzido na geração 3. É conhecido como Pokémon Beckon.")</f>
        <v>Dusclops é um Pokémon do tipo fantasma introduzido na geração 3. É conhecido como Pokémon Beckon.</v>
      </c>
      <c r="F327" s="2" t="str">
        <f ca="1">IFERROR(__xludf.DUMMYFUNCTION("GOOGLETRANSLATE(B327,""en"",""pt"")"),"Beckon Pokémon")</f>
        <v>Beckon Pokémon</v>
      </c>
    </row>
    <row r="328" spans="1:6" ht="15.75" customHeight="1" x14ac:dyDescent="0.25">
      <c r="A328" s="2" t="s">
        <v>1112</v>
      </c>
      <c r="B328" s="2" t="s">
        <v>1113</v>
      </c>
      <c r="C328" s="2" t="s">
        <v>1114</v>
      </c>
      <c r="D328" s="2" t="s">
        <v>1115</v>
      </c>
      <c r="E328" s="2" t="str">
        <f ca="1">IFERROR(__xludf.DUMMYFUNCTION("GOOGLETRANSLATE(D328,""en"",""pt"")"),"Tropius é um Pokémon do tipo grama/voador introduzido na geração 3. É conhecido como Pokémon de Frutas.")</f>
        <v>Tropius é um Pokémon do tipo grama/voador introduzido na geração 3. É conhecido como Pokémon de Frutas.</v>
      </c>
      <c r="F328" s="2" t="str">
        <f ca="1">IFERROR(__xludf.DUMMYFUNCTION("GOOGLETRANSLATE(B328,""en"",""pt"")"),"Pokémon de frutas")</f>
        <v>Pokémon de frutas</v>
      </c>
    </row>
    <row r="329" spans="1:6" ht="15.75" customHeight="1" x14ac:dyDescent="0.25">
      <c r="A329" s="2" t="s">
        <v>1116</v>
      </c>
      <c r="B329" s="2" t="s">
        <v>1117</v>
      </c>
      <c r="C329" s="2" t="s">
        <v>1118</v>
      </c>
      <c r="D329" s="2" t="s">
        <v>1119</v>
      </c>
      <c r="E329" s="2" t="str">
        <f ca="1">IFERROR(__xludf.DUMMYFUNCTION("GOOGLETRANSLATE(D329,""en"",""pt"")"),"O Chimecho é um Pokémon do tipo psíquico introduzido na geração 3. É conhecido como Pokémon de carroceria de vento.")</f>
        <v>O Chimecho é um Pokémon do tipo psíquico introduzido na geração 3. É conhecido como Pokémon de carroceria de vento.</v>
      </c>
      <c r="F329" s="2" t="str">
        <f ca="1">IFERROR(__xludf.DUMMYFUNCTION("GOOGLETRANSLATE(B329,""en"",""pt"")"),"Pokémon de carroceria de vento")</f>
        <v>Pokémon de carroceria de vento</v>
      </c>
    </row>
    <row r="330" spans="1:6" ht="15.75" customHeight="1" x14ac:dyDescent="0.25">
      <c r="A330" s="2" t="s">
        <v>1120</v>
      </c>
      <c r="B330" s="2" t="s">
        <v>1121</v>
      </c>
      <c r="C330" s="2" t="s">
        <v>1122</v>
      </c>
      <c r="D330" s="2" t="s">
        <v>1123</v>
      </c>
      <c r="E330" s="2" t="str">
        <f ca="1">IFERROR(__xludf.DUMMYFUNCTION("GOOGLETRANSLATE(D330,""en"",""pt"")"),"Absol é um Pokémon do tipo escuro introduzido na geração 3. É conhecido como Pokémon de Desastre.
Absol tem uma mega evolução, disponível a partir de X&amp;Y.")</f>
        <v>Absol é um Pokémon do tipo escuro introduzido na geração 3. É conhecido como Pokémon de Desastre.
Absol tem uma mega evolução, disponível a partir de X&amp;Y.</v>
      </c>
      <c r="F330" s="2" t="str">
        <f ca="1">IFERROR(__xludf.DUMMYFUNCTION("GOOGLETRANSLATE(B330,""en"",""pt"")"),"Pokémon de desastre")</f>
        <v>Pokémon de desastre</v>
      </c>
    </row>
    <row r="331" spans="1:6" ht="15.75" customHeight="1" x14ac:dyDescent="0.25">
      <c r="A331" s="2" t="s">
        <v>1120</v>
      </c>
      <c r="B331" s="2" t="s">
        <v>1121</v>
      </c>
      <c r="C331" s="2" t="s">
        <v>1124</v>
      </c>
      <c r="D331" s="2" t="s">
        <v>1123</v>
      </c>
      <c r="E331" s="2" t="str">
        <f ca="1">IFERROR(__xludf.DUMMYFUNCTION("GOOGLETRANSLATE(D331,""en"",""pt"")"),"Absol é um Pokémon do tipo escuro introduzido na geração 3. É conhecido como Pokémon de Desastre.
Absol tem uma mega evolução, disponível a partir de X&amp;Y.")</f>
        <v>Absol é um Pokémon do tipo escuro introduzido na geração 3. É conhecido como Pokémon de Desastre.
Absol tem uma mega evolução, disponível a partir de X&amp;Y.</v>
      </c>
      <c r="F331" s="2" t="str">
        <f ca="1">IFERROR(__xludf.DUMMYFUNCTION("GOOGLETRANSLATE(B331,""en"",""pt"")"),"Pokémon de desastre")</f>
        <v>Pokémon de desastre</v>
      </c>
    </row>
    <row r="332" spans="1:6" ht="15.75" customHeight="1" x14ac:dyDescent="0.25">
      <c r="A332" s="2" t="s">
        <v>1125</v>
      </c>
      <c r="B332" s="2" t="s">
        <v>476</v>
      </c>
      <c r="C332" s="2" t="s">
        <v>1126</v>
      </c>
      <c r="D332" s="2" t="s">
        <v>1127</v>
      </c>
      <c r="E332" s="2" t="str">
        <f ca="1">IFERROR(__xludf.DUMMYFUNCTION("GOOGLETRANSLATE(D332,""en"",""pt"")"),"Clefable é um Pokémon do tipo de fada introduzido na geração 1. É conhecido como Pokémon de Fada.")</f>
        <v>Clefable é um Pokémon do tipo de fada introduzido na geração 1. É conhecido como Pokémon de Fada.</v>
      </c>
      <c r="F332" s="2" t="str">
        <f ca="1">IFERROR(__xludf.DUMMYFUNCTION("GOOGLETRANSLATE(B332,""en"",""pt"")"),"Pokémon de fada")</f>
        <v>Pokémon de fada</v>
      </c>
    </row>
    <row r="333" spans="1:6" ht="15.75" customHeight="1" x14ac:dyDescent="0.25">
      <c r="A333" s="2" t="s">
        <v>1128</v>
      </c>
      <c r="B333" s="2" t="s">
        <v>1129</v>
      </c>
      <c r="C333" s="2" t="s">
        <v>1130</v>
      </c>
      <c r="D333" s="2" t="s">
        <v>1131</v>
      </c>
      <c r="E333" s="2" t="str">
        <f ca="1">IFERROR(__xludf.DUMMYFUNCTION("GOOGLETRANSLATE(D333,""en"",""pt"")"),"Wynaut é um Pokémon do tipo psíquico introduzido na geração 3. É conhecido como Pokémon brilhante.")</f>
        <v>Wynaut é um Pokémon do tipo psíquico introduzido na geração 3. É conhecido como Pokémon brilhante.</v>
      </c>
      <c r="F333" s="2" t="str">
        <f ca="1">IFERROR(__xludf.DUMMYFUNCTION("GOOGLETRANSLATE(B333,""en"",""pt"")"),"Pokémon brilhante")</f>
        <v>Pokémon brilhante</v>
      </c>
    </row>
    <row r="334" spans="1:6" ht="15.75" customHeight="1" x14ac:dyDescent="0.25">
      <c r="A334" s="2" t="s">
        <v>1132</v>
      </c>
      <c r="B334" s="2" t="s">
        <v>1133</v>
      </c>
      <c r="C334" s="2" t="s">
        <v>1134</v>
      </c>
      <c r="D334" s="2" t="s">
        <v>1135</v>
      </c>
      <c r="E334" s="2" t="str">
        <f ca="1">IFERROR(__xludf.DUMMYFUNCTION("GOOGLETRANSLATE(D334,""en"",""pt"")"),"Snorunt é um Pokémon do tipo gelo introduzido na geração 3. É conhecido como Pokémon Snow Hat Hat.")</f>
        <v>Snorunt é um Pokémon do tipo gelo introduzido na geração 3. É conhecido como Pokémon Snow Hat Hat.</v>
      </c>
      <c r="F334" s="2" t="str">
        <f ca="1">IFERROR(__xludf.DUMMYFUNCTION("GOOGLETRANSLATE(B334,""en"",""pt"")"),"Pokémon de chapéu de neve")</f>
        <v>Pokémon de chapéu de neve</v>
      </c>
    </row>
    <row r="335" spans="1:6" ht="15.75" customHeight="1" x14ac:dyDescent="0.25">
      <c r="A335" s="2" t="s">
        <v>1136</v>
      </c>
      <c r="B335" s="2" t="s">
        <v>1137</v>
      </c>
      <c r="C335" s="2" t="s">
        <v>1138</v>
      </c>
      <c r="D335" s="2" t="s">
        <v>1139</v>
      </c>
      <c r="E335" s="2" t="str">
        <f ca="1">IFERROR(__xludf.DUMMYFUNCTION("GOOGLETRANSLATE(D335,""en"",""pt"")"),"Glalie é um Pokémon do tipo gelo introduzido na geração 3. É conhecido como Pokémon FACE.
Glalie tem uma mega evolução, disponível na Omega Ruby &amp; Alpha Sapphire em diante.")</f>
        <v>Glalie é um Pokémon do tipo gelo introduzido na geração 3. É conhecido como Pokémon FACE.
Glalie tem uma mega evolução, disponível na Omega Ruby &amp; Alpha Sapphire em diante.</v>
      </c>
      <c r="F335" s="2" t="str">
        <f ca="1">IFERROR(__xludf.DUMMYFUNCTION("GOOGLETRANSLATE(B335,""en"",""pt"")"),"Face Pokémon")</f>
        <v>Face Pokémon</v>
      </c>
    </row>
    <row r="336" spans="1:6" ht="15.75" customHeight="1" x14ac:dyDescent="0.25">
      <c r="A336" s="2" t="s">
        <v>1136</v>
      </c>
      <c r="B336" s="2" t="s">
        <v>1137</v>
      </c>
      <c r="C336" s="2" t="s">
        <v>1140</v>
      </c>
      <c r="D336" s="2" t="s">
        <v>1139</v>
      </c>
      <c r="E336" s="2" t="str">
        <f ca="1">IFERROR(__xludf.DUMMYFUNCTION("GOOGLETRANSLATE(D336,""en"",""pt"")"),"Glalie é um Pokémon do tipo gelo introduzido na geração 3. É conhecido como Pokémon FACE.
Glalie tem uma mega evolução, disponível na Omega Ruby &amp; Alpha Sapphire em diante.")</f>
        <v>Glalie é um Pokémon do tipo gelo introduzido na geração 3. É conhecido como Pokémon FACE.
Glalie tem uma mega evolução, disponível na Omega Ruby &amp; Alpha Sapphire em diante.</v>
      </c>
      <c r="F336" s="2" t="str">
        <f ca="1">IFERROR(__xludf.DUMMYFUNCTION("GOOGLETRANSLATE(B336,""en"",""pt"")"),"Face Pokémon")</f>
        <v>Face Pokémon</v>
      </c>
    </row>
    <row r="337" spans="1:6" ht="15.75" customHeight="1" x14ac:dyDescent="0.25">
      <c r="A337" s="2" t="s">
        <v>1141</v>
      </c>
      <c r="B337" s="2" t="s">
        <v>1142</v>
      </c>
      <c r="C337" s="2" t="s">
        <v>1143</v>
      </c>
      <c r="D337" s="2" t="s">
        <v>1144</v>
      </c>
      <c r="E337" s="2" t="str">
        <f ca="1">IFERROR(__xludf.DUMMYFUNCTION("GOOGLETRANSLATE(D337,""en"",""pt"")"),"Speal é um Pokémon do tipo gelo/água introduzido na geração 3. É conhecido como Pokémon Clap.")</f>
        <v>Speal é um Pokémon do tipo gelo/água introduzido na geração 3. É conhecido como Pokémon Clap.</v>
      </c>
      <c r="F337" s="2" t="str">
        <f ca="1">IFERROR(__xludf.DUMMYFUNCTION("GOOGLETRANSLATE(B337,""en"",""pt"")"),"Pokémon aplaudido")</f>
        <v>Pokémon aplaudido</v>
      </c>
    </row>
    <row r="338" spans="1:6" ht="15.75" customHeight="1" x14ac:dyDescent="0.25">
      <c r="A338" s="2" t="s">
        <v>1145</v>
      </c>
      <c r="B338" s="2" t="s">
        <v>1146</v>
      </c>
      <c r="C338" s="2" t="s">
        <v>1147</v>
      </c>
      <c r="D338" s="2" t="s">
        <v>1148</v>
      </c>
      <c r="E338" s="2" t="str">
        <f ca="1">IFERROR(__xludf.DUMMYFUNCTION("GOOGLETRANSLATE(D338,""en"",""pt"")"),"O Sealeo é um Pokémon do tipo gelo/água introduzido na geração 3. É conhecido como o Pokémon do rolo de bola.")</f>
        <v>O Sealeo é um Pokémon do tipo gelo/água introduzido na geração 3. É conhecido como o Pokémon do rolo de bola.</v>
      </c>
      <c r="F338" s="2" t="str">
        <f ca="1">IFERROR(__xludf.DUMMYFUNCTION("GOOGLETRANSLATE(B338,""en"",""pt"")"),"Pokémon do rolo de bola")</f>
        <v>Pokémon do rolo de bola</v>
      </c>
    </row>
    <row r="339" spans="1:6" ht="15.75" customHeight="1" x14ac:dyDescent="0.25">
      <c r="A339" s="2" t="s">
        <v>1149</v>
      </c>
      <c r="B339" s="2" t="s">
        <v>1150</v>
      </c>
      <c r="C339" s="2" t="s">
        <v>1151</v>
      </c>
      <c r="D339" s="2" t="s">
        <v>1152</v>
      </c>
      <c r="E339" s="2" t="str">
        <f ca="1">IFERROR(__xludf.DUMMYFUNCTION("GOOGLETRANSLATE(D339,""en"",""pt"")"),"Walrein é um Pokémon do tipo gelo/água introduzido na geração 3. É conhecido como Pokémon de quebra de gelo.")</f>
        <v>Walrein é um Pokémon do tipo gelo/água introduzido na geração 3. É conhecido como Pokémon de quebra de gelo.</v>
      </c>
      <c r="F339" s="2" t="str">
        <f ca="1">IFERROR(__xludf.DUMMYFUNCTION("GOOGLETRANSLATE(B339,""en"",""pt"")"),"Pokémon de quebra de gelo")</f>
        <v>Pokémon de quebra de gelo</v>
      </c>
    </row>
    <row r="340" spans="1:6" ht="15.75" customHeight="1" x14ac:dyDescent="0.25">
      <c r="A340" s="2" t="s">
        <v>1153</v>
      </c>
      <c r="B340" s="2" t="s">
        <v>1154</v>
      </c>
      <c r="C340" s="2" t="s">
        <v>1155</v>
      </c>
      <c r="D340" s="2" t="s">
        <v>1156</v>
      </c>
      <c r="E340" s="2" t="str">
        <f ca="1">IFERROR(__xludf.DUMMYFUNCTION("GOOGLETRANSLATE(D340,""en"",""pt"")"),"CLAMPERL é um Pokémon do tipo água introduzido na geração 3. É conhecido como Pokémon bivalve.")</f>
        <v>CLAMPERL é um Pokémon do tipo água introduzido na geração 3. É conhecido como Pokémon bivalve.</v>
      </c>
      <c r="F340" s="2" t="str">
        <f ca="1">IFERROR(__xludf.DUMMYFUNCTION("GOOGLETRANSLATE(B340,""en"",""pt"")"),"Pokémon bivalve")</f>
        <v>Pokémon bivalve</v>
      </c>
    </row>
    <row r="341" spans="1:6" ht="15.75" customHeight="1" x14ac:dyDescent="0.25">
      <c r="A341" s="2" t="s">
        <v>1157</v>
      </c>
      <c r="B341" s="2" t="s">
        <v>1158</v>
      </c>
      <c r="C341" s="2" t="s">
        <v>1159</v>
      </c>
      <c r="D341" s="2" t="s">
        <v>1160</v>
      </c>
      <c r="E341" s="2" t="str">
        <f ca="1">IFERROR(__xludf.DUMMYFUNCTION("GOOGLETRANSLATE(D341,""en"",""pt"")"),"Huntail é um Pokémon do tipo água introduzido na geração 3. É conhecido como Pokémon do Deep Mar.")</f>
        <v>Huntail é um Pokémon do tipo água introduzido na geração 3. É conhecido como Pokémon do Deep Mar.</v>
      </c>
      <c r="F341" s="2" t="str">
        <f ca="1">IFERROR(__xludf.DUMMYFUNCTION("GOOGLETRANSLATE(B341,""en"",""pt"")"),"Pokémon do mar profundo")</f>
        <v>Pokémon do mar profundo</v>
      </c>
    </row>
    <row r="342" spans="1:6" ht="15.75" customHeight="1" x14ac:dyDescent="0.25">
      <c r="A342" s="2" t="s">
        <v>1161</v>
      </c>
      <c r="B342" s="2" t="s">
        <v>1162</v>
      </c>
      <c r="C342" s="2" t="s">
        <v>1163</v>
      </c>
      <c r="D342" s="2" t="s">
        <v>1164</v>
      </c>
      <c r="E342" s="2" t="str">
        <f ca="1">IFERROR(__xludf.DUMMYFUNCTION("GOOGLETRANSLATE(D342,""en"",""pt"")"),"Gorebyss é um Pokémon do tipo água introduzido na geração 3. É conhecido como Pokémon do Mar do Sul.")</f>
        <v>Gorebyss é um Pokémon do tipo água introduzido na geração 3. É conhecido como Pokémon do Mar do Sul.</v>
      </c>
      <c r="F342" s="2" t="str">
        <f ca="1">IFERROR(__xludf.DUMMYFUNCTION("GOOGLETRANSLATE(B342,""en"",""pt"")"),"Pokémon do Mar do Sul")</f>
        <v>Pokémon do Mar do Sul</v>
      </c>
    </row>
    <row r="343" spans="1:6" ht="15.75" customHeight="1" x14ac:dyDescent="0.25">
      <c r="A343" s="2" t="s">
        <v>1165</v>
      </c>
      <c r="B343" s="2" t="s">
        <v>1166</v>
      </c>
      <c r="C343" s="2" t="s">
        <v>1167</v>
      </c>
      <c r="D343" s="2" t="s">
        <v>1168</v>
      </c>
      <c r="E343" s="2" t="str">
        <f ca="1">IFERROR(__xludf.DUMMYFUNCTION("GOOGLETRANSLATE(D343,""en"",""pt"")"),"Relicanth é um Pokémon do tipo água/rocha introduzido na geração 3. É conhecido como Pokémon da longevidade.")</f>
        <v>Relicanth é um Pokémon do tipo água/rocha introduzido na geração 3. É conhecido como Pokémon da longevidade.</v>
      </c>
      <c r="F343" s="2" t="str">
        <f ca="1">IFERROR(__xludf.DUMMYFUNCTION("GOOGLETRANSLATE(B343,""en"",""pt"")"),"Pokémon de longevidade")</f>
        <v>Pokémon de longevidade</v>
      </c>
    </row>
    <row r="344" spans="1:6" ht="15.75" customHeight="1" x14ac:dyDescent="0.25">
      <c r="A344" s="2" t="s">
        <v>1169</v>
      </c>
      <c r="B344" s="2" t="s">
        <v>1170</v>
      </c>
      <c r="C344" s="2" t="s">
        <v>1171</v>
      </c>
      <c r="D344" s="2" t="s">
        <v>1172</v>
      </c>
      <c r="E344" s="2" t="str">
        <f ca="1">IFERROR(__xludf.DUMMYFUNCTION("GOOGLETRANSLATE(D344,""en"",""pt"")"),"Vulpix é um Pokémon do tipo incêndio introduzido na geração 1. É conhecido como Pokémon Fox.
Vulpix tem uma nova forma Alolan introduzida em Pokémon Sun/Moon.")</f>
        <v>Vulpix é um Pokémon do tipo incêndio introduzido na geração 1. É conhecido como Pokémon Fox.
Vulpix tem uma nova forma Alolan introduzida em Pokémon Sun/Moon.</v>
      </c>
      <c r="F344" s="2" t="str">
        <f ca="1">IFERROR(__xludf.DUMMYFUNCTION("GOOGLETRANSLATE(B344,""en"",""pt"")"),"Fox Pokémon")</f>
        <v>Fox Pokémon</v>
      </c>
    </row>
    <row r="345" spans="1:6" ht="15.75" customHeight="1" x14ac:dyDescent="0.25">
      <c r="A345" s="2" t="s">
        <v>1169</v>
      </c>
      <c r="B345" s="2" t="s">
        <v>1170</v>
      </c>
      <c r="C345" s="2" t="s">
        <v>1173</v>
      </c>
      <c r="D345" s="2" t="s">
        <v>1172</v>
      </c>
      <c r="E345" s="2" t="str">
        <f ca="1">IFERROR(__xludf.DUMMYFUNCTION("GOOGLETRANSLATE(D345,""en"",""pt"")"),"Vulpix é um Pokémon do tipo incêndio introduzido na geração 1. É conhecido como Pokémon Fox.
Vulpix tem uma nova forma Alolan introduzida em Pokémon Sun/Moon.")</f>
        <v>Vulpix é um Pokémon do tipo incêndio introduzido na geração 1. É conhecido como Pokémon Fox.
Vulpix tem uma nova forma Alolan introduzida em Pokémon Sun/Moon.</v>
      </c>
      <c r="F345" s="2" t="str">
        <f ca="1">IFERROR(__xludf.DUMMYFUNCTION("GOOGLETRANSLATE(B345,""en"",""pt"")"),"Fox Pokémon")</f>
        <v>Fox Pokémon</v>
      </c>
    </row>
    <row r="346" spans="1:6" ht="15.75" customHeight="1" x14ac:dyDescent="0.25">
      <c r="A346" s="2" t="s">
        <v>1174</v>
      </c>
      <c r="B346" s="2" t="s">
        <v>1175</v>
      </c>
      <c r="C346" s="2" t="s">
        <v>1176</v>
      </c>
      <c r="D346" s="2" t="s">
        <v>1177</v>
      </c>
      <c r="E346" s="2" t="str">
        <f ca="1">IFERROR(__xludf.DUMMYFUNCTION("GOOGLETRANSLATE(D346,""en"",""pt"")"),"Luvdisc é um Pokémon do tipo água introduzido na geração 3. É conhecido como Pokémon Rendezvous.")</f>
        <v>Luvdisc é um Pokémon do tipo água introduzido na geração 3. É conhecido como Pokémon Rendezvous.</v>
      </c>
      <c r="F346" s="2" t="str">
        <f ca="1">IFERROR(__xludf.DUMMYFUNCTION("GOOGLETRANSLATE(B346,""en"",""pt"")"),"Pokémon de Rendezvous")</f>
        <v>Pokémon de Rendezvous</v>
      </c>
    </row>
    <row r="347" spans="1:6" ht="15.75" customHeight="1" x14ac:dyDescent="0.25">
      <c r="A347" s="2" t="s">
        <v>1178</v>
      </c>
      <c r="B347" s="2" t="s">
        <v>1179</v>
      </c>
      <c r="C347" s="2" t="s">
        <v>1180</v>
      </c>
      <c r="D347" s="2" t="s">
        <v>1181</v>
      </c>
      <c r="E347" s="2" t="str">
        <f ca="1">IFERROR(__xludf.DUMMYFUNCTION("GOOGLETRANSLATE(D347,""en"",""pt"")"),"Bagon é um Pokémon do tipo dragão introduzido na geração 3. É conhecido como Pokémon da cabeça da rocha.")</f>
        <v>Bagon é um Pokémon do tipo dragão introduzido na geração 3. É conhecido como Pokémon da cabeça da rocha.</v>
      </c>
      <c r="F347" s="2" t="str">
        <f ca="1">IFERROR(__xludf.DUMMYFUNCTION("GOOGLETRANSLATE(B347,""en"",""pt"")"),"Pokémon de cabeça de rock")</f>
        <v>Pokémon de cabeça de rock</v>
      </c>
    </row>
    <row r="348" spans="1:6" ht="15.75" customHeight="1" x14ac:dyDescent="0.25">
      <c r="A348" s="2" t="s">
        <v>1182</v>
      </c>
      <c r="B348" s="2" t="s">
        <v>1183</v>
      </c>
      <c r="C348" s="2" t="s">
        <v>1184</v>
      </c>
      <c r="D348" s="2" t="s">
        <v>1185</v>
      </c>
      <c r="E348" s="2" t="str">
        <f ca="1">IFERROR(__xludf.DUMMYFUNCTION("GOOGLETRANSLATE(D348,""en"",""pt"")"),"Shelgon é um Pokémon do tipo dragão introduzido na geração 3. É conhecido como Pokémon de resistência.")</f>
        <v>Shelgon é um Pokémon do tipo dragão introduzido na geração 3. É conhecido como Pokémon de resistência.</v>
      </c>
      <c r="F348" s="2" t="str">
        <f ca="1">IFERROR(__xludf.DUMMYFUNCTION("GOOGLETRANSLATE(B348,""en"",""pt"")"),"Pokémon de resistência")</f>
        <v>Pokémon de resistência</v>
      </c>
    </row>
    <row r="349" spans="1:6" ht="15.75" customHeight="1" x14ac:dyDescent="0.25">
      <c r="A349" s="2" t="s">
        <v>1186</v>
      </c>
      <c r="B349" s="2" t="s">
        <v>81</v>
      </c>
      <c r="C349" s="2" t="s">
        <v>1187</v>
      </c>
      <c r="D349" s="2" t="s">
        <v>1188</v>
      </c>
      <c r="E349" s="2" t="str">
        <f ca="1">IFERROR(__xludf.DUMMYFUNCTION("GOOGLETRANSLATE(D349,""en"",""pt"")"),"Salamence é um Pokémon do tipo dragão/voador introduzido na geração 3. É conhecido como Pokémon Dragon.
A Salamence tem uma mega evolução, disponível na Omega Ruby &amp; Alpha Sapphire em diante.")</f>
        <v>Salamence é um Pokémon do tipo dragão/voador introduzido na geração 3. É conhecido como Pokémon Dragon.
A Salamence tem uma mega evolução, disponível na Omega Ruby &amp; Alpha Sapphire em diante.</v>
      </c>
      <c r="F349" s="2" t="str">
        <f ca="1">IFERROR(__xludf.DUMMYFUNCTION("GOOGLETRANSLATE(B349,""en"",""pt"")"),"Dragão Pokémon")</f>
        <v>Dragão Pokémon</v>
      </c>
    </row>
    <row r="350" spans="1:6" ht="15.75" customHeight="1" x14ac:dyDescent="0.25">
      <c r="A350" s="2" t="s">
        <v>1186</v>
      </c>
      <c r="B350" s="2" t="s">
        <v>81</v>
      </c>
      <c r="C350" s="2" t="s">
        <v>1189</v>
      </c>
      <c r="D350" s="2" t="s">
        <v>1188</v>
      </c>
      <c r="E350" s="2" t="str">
        <f ca="1">IFERROR(__xludf.DUMMYFUNCTION("GOOGLETRANSLATE(D350,""en"",""pt"")"),"Salamence é um Pokémon do tipo dragão/voador introduzido na geração 3. É conhecido como Pokémon Dragon.
A Salamence tem uma mega evolução, disponível na Omega Ruby &amp; Alpha Sapphire em diante.")</f>
        <v>Salamence é um Pokémon do tipo dragão/voador introduzido na geração 3. É conhecido como Pokémon Dragon.
A Salamence tem uma mega evolução, disponível na Omega Ruby &amp; Alpha Sapphire em diante.</v>
      </c>
      <c r="F350" s="2" t="str">
        <f ca="1">IFERROR(__xludf.DUMMYFUNCTION("GOOGLETRANSLATE(B350,""en"",""pt"")"),"Dragão Pokémon")</f>
        <v>Dragão Pokémon</v>
      </c>
    </row>
    <row r="351" spans="1:6" ht="15.75" customHeight="1" x14ac:dyDescent="0.25">
      <c r="A351" s="2" t="s">
        <v>1190</v>
      </c>
      <c r="B351" s="2" t="s">
        <v>1191</v>
      </c>
      <c r="C351" s="2" t="s">
        <v>1192</v>
      </c>
      <c r="D351" s="2" t="s">
        <v>1193</v>
      </c>
      <c r="E351" s="2" t="str">
        <f ca="1">IFERROR(__xludf.DUMMYFUNCTION("GOOGLETRANSLATE(D351,""en"",""pt"")"),"Beldum é um Pokémon do tipo aço/psíquico introduzido na geração 3. É conhecido como Pokémon de Iron Ball.")</f>
        <v>Beldum é um Pokémon do tipo aço/psíquico introduzido na geração 3. É conhecido como Pokémon de Iron Ball.</v>
      </c>
      <c r="F351" s="2" t="str">
        <f ca="1">IFERROR(__xludf.DUMMYFUNCTION("GOOGLETRANSLATE(B351,""en"",""pt"")"),"Pokémon de bola de ferro")</f>
        <v>Pokémon de bola de ferro</v>
      </c>
    </row>
    <row r="352" spans="1:6" ht="15.75" customHeight="1" x14ac:dyDescent="0.25">
      <c r="A352" s="2" t="s">
        <v>1194</v>
      </c>
      <c r="B352" s="2" t="s">
        <v>1195</v>
      </c>
      <c r="C352" s="2" t="s">
        <v>1196</v>
      </c>
      <c r="D352" s="2" t="s">
        <v>1197</v>
      </c>
      <c r="E352" s="2" t="str">
        <f ca="1">IFERROR(__xludf.DUMMYFUNCTION("GOOGLETRANSLATE(D352,""en"",""pt"")"),"O Metang é um Pokémon do tipo aço/psíquico introduzido na geração 3. É conhecido como Pokémon da garra de ferro.")</f>
        <v>O Metang é um Pokémon do tipo aço/psíquico introduzido na geração 3. É conhecido como Pokémon da garra de ferro.</v>
      </c>
      <c r="F352" s="2" t="str">
        <f ca="1">IFERROR(__xludf.DUMMYFUNCTION("GOOGLETRANSLATE(B352,""en"",""pt"")"),"Pokémon da garra de ferro")</f>
        <v>Pokémon da garra de ferro</v>
      </c>
    </row>
    <row r="353" spans="1:6" ht="15.75" customHeight="1" x14ac:dyDescent="0.25">
      <c r="A353" s="2" t="s">
        <v>1198</v>
      </c>
      <c r="B353" s="2" t="s">
        <v>1199</v>
      </c>
      <c r="C353" s="2" t="s">
        <v>1200</v>
      </c>
      <c r="D353" s="2" t="s">
        <v>1201</v>
      </c>
      <c r="E353" s="2" t="str">
        <f ca="1">IFERROR(__xludf.DUMMYFUNCTION("GOOGLETRANSLATE(D353,""en"",""pt"")"),"O Metagross é um Pokémon do tipo aço/psíquico introduzido na geração 3. É conhecido como Pokémon da perna de ferro.
O Metagross tem uma mega evolução, disponível na Omega Ruby &amp; Alpha Sapphire em diante.")</f>
        <v>O Metagross é um Pokémon do tipo aço/psíquico introduzido na geração 3. É conhecido como Pokémon da perna de ferro.
O Metagross tem uma mega evolução, disponível na Omega Ruby &amp; Alpha Sapphire em diante.</v>
      </c>
      <c r="F353" s="2" t="str">
        <f ca="1">IFERROR(__xludf.DUMMYFUNCTION("GOOGLETRANSLATE(B353,""en"",""pt"")"),"Pokémon de perna de ferro")</f>
        <v>Pokémon de perna de ferro</v>
      </c>
    </row>
    <row r="354" spans="1:6" ht="15.75" customHeight="1" x14ac:dyDescent="0.25">
      <c r="A354" s="2" t="s">
        <v>1198</v>
      </c>
      <c r="B354" s="2" t="s">
        <v>1199</v>
      </c>
      <c r="C354" s="2" t="s">
        <v>1202</v>
      </c>
      <c r="D354" s="2" t="s">
        <v>1201</v>
      </c>
      <c r="E354" s="2" t="str">
        <f ca="1">IFERROR(__xludf.DUMMYFUNCTION("GOOGLETRANSLATE(D354,""en"",""pt"")"),"O Metagross é um Pokémon do tipo aço/psíquico introduzido na geração 3. É conhecido como Pokémon da perna de ferro.
O Metagross tem uma mega evolução, disponível na Omega Ruby &amp; Alpha Sapphire em diante.")</f>
        <v>O Metagross é um Pokémon do tipo aço/psíquico introduzido na geração 3. É conhecido como Pokémon da perna de ferro.
O Metagross tem uma mega evolução, disponível na Omega Ruby &amp; Alpha Sapphire em diante.</v>
      </c>
      <c r="F354" s="2" t="str">
        <f ca="1">IFERROR(__xludf.DUMMYFUNCTION("GOOGLETRANSLATE(B354,""en"",""pt"")"),"Pokémon de perna de ferro")</f>
        <v>Pokémon de perna de ferro</v>
      </c>
    </row>
    <row r="355" spans="1:6" ht="15.75" customHeight="1" x14ac:dyDescent="0.25">
      <c r="A355" s="2" t="s">
        <v>1203</v>
      </c>
      <c r="B355" s="2" t="s">
        <v>1204</v>
      </c>
      <c r="C355" s="2" t="s">
        <v>1205</v>
      </c>
      <c r="D355" s="2" t="s">
        <v>1206</v>
      </c>
      <c r="E355" s="2" t="str">
        <f ca="1">IFERROR(__xludf.DUMMYFUNCTION("GOOGLETRANSLATE(D355,""en"",""pt"")"),"Regirock é um Pokémon do tipo rock introduzido na geração 3. É conhecido como Pokémon Pak de Rock.")</f>
        <v>Regirock é um Pokémon do tipo rock introduzido na geração 3. É conhecido como Pokémon Pak de Rock.</v>
      </c>
      <c r="F355" s="2" t="str">
        <f ca="1">IFERROR(__xludf.DUMMYFUNCTION("GOOGLETRANSLATE(B355,""en"",""pt"")"),"Pokémon de pico do rock")</f>
        <v>Pokémon de pico do rock</v>
      </c>
    </row>
    <row r="356" spans="1:6" ht="15.75" customHeight="1" x14ac:dyDescent="0.25">
      <c r="A356" s="2" t="s">
        <v>1207</v>
      </c>
      <c r="B356" s="2" t="s">
        <v>1208</v>
      </c>
      <c r="C356" s="2" t="s">
        <v>1209</v>
      </c>
      <c r="D356" s="2" t="s">
        <v>1210</v>
      </c>
      <c r="E356" s="2" t="str">
        <f ca="1">IFERROR(__xludf.DUMMYFUNCTION("GOOGLETRANSLATE(D356,""en"",""pt"")"),"Regice é um Pokémon do tipo gelo introduzido na geração 3. É conhecido como Pokémon iceberg.")</f>
        <v>Regice é um Pokémon do tipo gelo introduzido na geração 3. É conhecido como Pokémon iceberg.</v>
      </c>
      <c r="F356" s="2" t="str">
        <f ca="1">IFERROR(__xludf.DUMMYFUNCTION("GOOGLETRANSLATE(B356,""en"",""pt"")"),"Iceberg Pokémon")</f>
        <v>Iceberg Pokémon</v>
      </c>
    </row>
    <row r="357" spans="1:6" ht="15.75" customHeight="1" x14ac:dyDescent="0.25">
      <c r="A357" s="2" t="s">
        <v>1211</v>
      </c>
      <c r="B357" s="2" t="s">
        <v>1212</v>
      </c>
      <c r="C357" s="2" t="s">
        <v>1213</v>
      </c>
      <c r="D357" s="2" t="s">
        <v>1214</v>
      </c>
      <c r="E357" s="2" t="str">
        <f ca="1">IFERROR(__xludf.DUMMYFUNCTION("GOOGLETRANSLATE(D357,""en"",""pt"")"),"Registel é um Pokémon do tipo aço introduzido na geração 3. É conhecido como Pokémon de Ferro.")</f>
        <v>Registel é um Pokémon do tipo aço introduzido na geração 3. É conhecido como Pokémon de Ferro.</v>
      </c>
      <c r="F357" s="2" t="str">
        <f ca="1">IFERROR(__xludf.DUMMYFUNCTION("GOOGLETRANSLATE(B357,""en"",""pt"")"),"Pokémon de ferro")</f>
        <v>Pokémon de ferro</v>
      </c>
    </row>
    <row r="358" spans="1:6" ht="15.75" customHeight="1" x14ac:dyDescent="0.25">
      <c r="A358" s="2" t="s">
        <v>1215</v>
      </c>
      <c r="B358" s="2" t="s">
        <v>1170</v>
      </c>
      <c r="C358" s="2" t="s">
        <v>1216</v>
      </c>
      <c r="D358" s="2" t="s">
        <v>1217</v>
      </c>
      <c r="E358" s="2" t="str">
        <f ca="1">IFERROR(__xludf.DUMMYFUNCTION("GOOGLETRANSLATE(D358,""en"",""pt"")"),"Ninetales é um Pokémon do tipo incêndio introduzido na geração 1. É conhecido como Pokémon Fox.")</f>
        <v>Ninetales é um Pokémon do tipo incêndio introduzido na geração 1. É conhecido como Pokémon Fox.</v>
      </c>
      <c r="F358" s="2" t="str">
        <f ca="1">IFERROR(__xludf.DUMMYFUNCTION("GOOGLETRANSLATE(B358,""en"",""pt"")"),"Fox Pokémon")</f>
        <v>Fox Pokémon</v>
      </c>
    </row>
    <row r="359" spans="1:6" ht="15.75" customHeight="1" x14ac:dyDescent="0.25">
      <c r="A359" s="2" t="s">
        <v>1215</v>
      </c>
      <c r="B359" s="2" t="s">
        <v>1170</v>
      </c>
      <c r="C359" s="2" t="s">
        <v>1218</v>
      </c>
      <c r="D359" s="2" t="s">
        <v>1217</v>
      </c>
      <c r="E359" s="2" t="str">
        <f ca="1">IFERROR(__xludf.DUMMYFUNCTION("GOOGLETRANSLATE(D359,""en"",""pt"")"),"Ninetales é um Pokémon do tipo incêndio introduzido na geração 1. É conhecido como Pokémon Fox.")</f>
        <v>Ninetales é um Pokémon do tipo incêndio introduzido na geração 1. É conhecido como Pokémon Fox.</v>
      </c>
      <c r="F359" s="2" t="str">
        <f ca="1">IFERROR(__xludf.DUMMYFUNCTION("GOOGLETRANSLATE(B359,""en"",""pt"")"),"Fox Pokémon")</f>
        <v>Fox Pokémon</v>
      </c>
    </row>
    <row r="360" spans="1:6" ht="15.75" customHeight="1" x14ac:dyDescent="0.25">
      <c r="A360" s="2" t="s">
        <v>1219</v>
      </c>
      <c r="B360" s="2" t="s">
        <v>1220</v>
      </c>
      <c r="C360" s="2" t="s">
        <v>1221</v>
      </c>
      <c r="D360" s="2" t="s">
        <v>1222</v>
      </c>
      <c r="E360" s="2" t="str">
        <f ca="1">IFERROR(__xludf.DUMMYFUNCTION("GOOGLETRANSLATE(D360,""en"",""pt"")"),"Latias é um Pokémon do tipo dragão/psíquico introduzido na geração 3. É conhecido como Pokémon Eon.
Latias tem uma mega evolução, disponível na Omega Ruby &amp; Alpha Sapphire em diante.")</f>
        <v>Latias é um Pokémon do tipo dragão/psíquico introduzido na geração 3. É conhecido como Pokémon Eon.
Latias tem uma mega evolução, disponível na Omega Ruby &amp; Alpha Sapphire em diante.</v>
      </c>
      <c r="F360" s="2" t="str">
        <f ca="1">IFERROR(__xludf.DUMMYFUNCTION("GOOGLETRANSLATE(B360,""en"",""pt"")"),"Eon Pokémon")</f>
        <v>Eon Pokémon</v>
      </c>
    </row>
    <row r="361" spans="1:6" ht="15.75" customHeight="1" x14ac:dyDescent="0.25">
      <c r="A361" s="2" t="s">
        <v>1219</v>
      </c>
      <c r="B361" s="2" t="s">
        <v>1220</v>
      </c>
      <c r="C361" s="2" t="s">
        <v>1223</v>
      </c>
      <c r="D361" s="2" t="s">
        <v>1222</v>
      </c>
      <c r="E361" s="2" t="str">
        <f ca="1">IFERROR(__xludf.DUMMYFUNCTION("GOOGLETRANSLATE(D361,""en"",""pt"")"),"Latias é um Pokémon do tipo dragão/psíquico introduzido na geração 3. É conhecido como Pokémon Eon.
Latias tem uma mega evolução, disponível na Omega Ruby &amp; Alpha Sapphire em diante.")</f>
        <v>Latias é um Pokémon do tipo dragão/psíquico introduzido na geração 3. É conhecido como Pokémon Eon.
Latias tem uma mega evolução, disponível na Omega Ruby &amp; Alpha Sapphire em diante.</v>
      </c>
      <c r="F361" s="2" t="str">
        <f ca="1">IFERROR(__xludf.DUMMYFUNCTION("GOOGLETRANSLATE(B361,""en"",""pt"")"),"Eon Pokémon")</f>
        <v>Eon Pokémon</v>
      </c>
    </row>
    <row r="362" spans="1:6" ht="15.75" customHeight="1" x14ac:dyDescent="0.25">
      <c r="A362" s="2" t="s">
        <v>1224</v>
      </c>
      <c r="B362" s="2" t="s">
        <v>1220</v>
      </c>
      <c r="C362" s="2" t="s">
        <v>1225</v>
      </c>
      <c r="D362" s="2" t="s">
        <v>1226</v>
      </c>
      <c r="E362" s="2" t="str">
        <f ca="1">IFERROR(__xludf.DUMMYFUNCTION("GOOGLETRANSLATE(D362,""en"",""pt"")"),"Latios é um Pokémon do tipo dragão/psíquico introduzido na geração 3. É conhecido como Pokémon Eon.
Latios tem uma mega evolução, disponível na Omega Ruby &amp; Alpha Sapphire em diante.")</f>
        <v>Latios é um Pokémon do tipo dragão/psíquico introduzido na geração 3. É conhecido como Pokémon Eon.
Latios tem uma mega evolução, disponível na Omega Ruby &amp; Alpha Sapphire em diante.</v>
      </c>
      <c r="F362" s="2" t="str">
        <f ca="1">IFERROR(__xludf.DUMMYFUNCTION("GOOGLETRANSLATE(B362,""en"",""pt"")"),"Eon Pokémon")</f>
        <v>Eon Pokémon</v>
      </c>
    </row>
    <row r="363" spans="1:6" ht="15.75" customHeight="1" x14ac:dyDescent="0.25">
      <c r="A363" s="2" t="s">
        <v>1224</v>
      </c>
      <c r="B363" s="2" t="s">
        <v>1220</v>
      </c>
      <c r="C363" s="2" t="s">
        <v>1227</v>
      </c>
      <c r="D363" s="2" t="s">
        <v>1226</v>
      </c>
      <c r="E363" s="2" t="str">
        <f ca="1">IFERROR(__xludf.DUMMYFUNCTION("GOOGLETRANSLATE(D363,""en"",""pt"")"),"Latios é um Pokémon do tipo dragão/psíquico introduzido na geração 3. É conhecido como Pokémon Eon.
Latios tem uma mega evolução, disponível na Omega Ruby &amp; Alpha Sapphire em diante.")</f>
        <v>Latios é um Pokémon do tipo dragão/psíquico introduzido na geração 3. É conhecido como Pokémon Eon.
Latios tem uma mega evolução, disponível na Omega Ruby &amp; Alpha Sapphire em diante.</v>
      </c>
      <c r="F363" s="2" t="str">
        <f ca="1">IFERROR(__xludf.DUMMYFUNCTION("GOOGLETRANSLATE(B363,""en"",""pt"")"),"Eon Pokémon")</f>
        <v>Eon Pokémon</v>
      </c>
    </row>
    <row r="364" spans="1:6" ht="15.75" customHeight="1" x14ac:dyDescent="0.25">
      <c r="A364" s="2" t="s">
        <v>1228</v>
      </c>
      <c r="B364" s="2" t="s">
        <v>1229</v>
      </c>
      <c r="C364" s="2" t="s">
        <v>1230</v>
      </c>
      <c r="D364" s="2" t="s">
        <v>1231</v>
      </c>
      <c r="E364" s="2" t="str">
        <f ca="1">IFERROR(__xludf.DUMMYFUNCTION("GOOGLETRANSLATE(D364,""en"",""pt"")"),"Kyogre é um Pokémon do tipo água introduzido na geração 3. É conhecido como Pokémon da bacia do mar.")</f>
        <v>Kyogre é um Pokémon do tipo água introduzido na geração 3. É conhecido como Pokémon da bacia do mar.</v>
      </c>
      <c r="F364" s="2" t="str">
        <f ca="1">IFERROR(__xludf.DUMMYFUNCTION("GOOGLETRANSLATE(B364,""en"",""pt"")"),"Pokémon da bacia do mar")</f>
        <v>Pokémon da bacia do mar</v>
      </c>
    </row>
    <row r="365" spans="1:6" ht="15.75" customHeight="1" x14ac:dyDescent="0.25">
      <c r="A365" s="2" t="s">
        <v>1228</v>
      </c>
      <c r="B365" s="2" t="s">
        <v>1229</v>
      </c>
      <c r="C365" s="2" t="s">
        <v>1232</v>
      </c>
      <c r="D365" s="2" t="s">
        <v>1231</v>
      </c>
      <c r="E365" s="2" t="str">
        <f ca="1">IFERROR(__xludf.DUMMYFUNCTION("GOOGLETRANSLATE(D365,""en"",""pt"")"),"Kyogre é um Pokémon do tipo água introduzido na geração 3. É conhecido como Pokémon da bacia do mar.")</f>
        <v>Kyogre é um Pokémon do tipo água introduzido na geração 3. É conhecido como Pokémon da bacia do mar.</v>
      </c>
      <c r="F365" s="2" t="str">
        <f ca="1">IFERROR(__xludf.DUMMYFUNCTION("GOOGLETRANSLATE(B365,""en"",""pt"")"),"Pokémon da bacia do mar")</f>
        <v>Pokémon da bacia do mar</v>
      </c>
    </row>
    <row r="366" spans="1:6" ht="15.75" customHeight="1" x14ac:dyDescent="0.25">
      <c r="A366" s="2" t="s">
        <v>1233</v>
      </c>
      <c r="B366" s="2" t="s">
        <v>1234</v>
      </c>
      <c r="C366" s="2" t="s">
        <v>1235</v>
      </c>
      <c r="D366" s="2" t="s">
        <v>1236</v>
      </c>
      <c r="E366" s="2" t="str">
        <f ca="1">IFERROR(__xludf.DUMMYFUNCTION("GOOGLETRANSLATE(D366,""en"",""pt"")"),"Groudon é um Pokémon do tipo terra introduzido na geração 3. É conhecido como Pokémon do Continente.")</f>
        <v>Groudon é um Pokémon do tipo terra introduzido na geração 3. É conhecido como Pokémon do Continente.</v>
      </c>
      <c r="F366" s="2" t="str">
        <f ca="1">IFERROR(__xludf.DUMMYFUNCTION("GOOGLETRANSLATE(B366,""en"",""pt"")"),"Pokémon do continente")</f>
        <v>Pokémon do continente</v>
      </c>
    </row>
    <row r="367" spans="1:6" ht="15.75" customHeight="1" x14ac:dyDescent="0.25">
      <c r="A367" s="2" t="s">
        <v>1233</v>
      </c>
      <c r="B367" s="2" t="s">
        <v>1234</v>
      </c>
      <c r="C367" s="2" t="s">
        <v>1237</v>
      </c>
      <c r="D367" s="2" t="s">
        <v>1236</v>
      </c>
      <c r="E367" s="2" t="str">
        <f ca="1">IFERROR(__xludf.DUMMYFUNCTION("GOOGLETRANSLATE(D367,""en"",""pt"")"),"Groudon é um Pokémon do tipo terra introduzido na geração 3. É conhecido como Pokémon do Continente.")</f>
        <v>Groudon é um Pokémon do tipo terra introduzido na geração 3. É conhecido como Pokémon do Continente.</v>
      </c>
      <c r="F367" s="2" t="str">
        <f ca="1">IFERROR(__xludf.DUMMYFUNCTION("GOOGLETRANSLATE(B367,""en"",""pt"")"),"Pokémon do continente")</f>
        <v>Pokémon do continente</v>
      </c>
    </row>
    <row r="368" spans="1:6" ht="15.75" customHeight="1" x14ac:dyDescent="0.25">
      <c r="A368" s="2" t="s">
        <v>1238</v>
      </c>
      <c r="B368" s="2" t="s">
        <v>1239</v>
      </c>
      <c r="C368" s="2" t="s">
        <v>1240</v>
      </c>
      <c r="D368" s="2" t="s">
        <v>1241</v>
      </c>
      <c r="E368" s="2" t="str">
        <f ca="1">IFERROR(__xludf.DUMMYFUNCTION("GOOGLETRANSLATE(D368,""en"",""pt"")"),"Rayquaza é um Pokémon do tipo dragão/voador introduzido na geração 3. É conhecido como Pokémon Sky High.
Rayquaza tem uma mega evolução, disponível na Omega Ruby &amp; Alpha Sapphire.")</f>
        <v>Rayquaza é um Pokémon do tipo dragão/voador introduzido na geração 3. É conhecido como Pokémon Sky High.
Rayquaza tem uma mega evolução, disponível na Omega Ruby &amp; Alpha Sapphire.</v>
      </c>
      <c r="F368" s="2" t="str">
        <f ca="1">IFERROR(__xludf.DUMMYFUNCTION("GOOGLETRANSLATE(B368,""en"",""pt"")"),"Sky High Pokémon")</f>
        <v>Sky High Pokémon</v>
      </c>
    </row>
    <row r="369" spans="1:6" ht="15.75" customHeight="1" x14ac:dyDescent="0.25">
      <c r="A369" s="2" t="s">
        <v>1238</v>
      </c>
      <c r="B369" s="2" t="s">
        <v>1239</v>
      </c>
      <c r="C369" s="2" t="s">
        <v>1242</v>
      </c>
      <c r="D369" s="2" t="s">
        <v>1241</v>
      </c>
      <c r="E369" s="2" t="str">
        <f ca="1">IFERROR(__xludf.DUMMYFUNCTION("GOOGLETRANSLATE(D369,""en"",""pt"")"),"Rayquaza é um Pokémon do tipo dragão/voador introduzido na geração 3. É conhecido como Pokémon Sky High.
Rayquaza tem uma mega evolução, disponível na Omega Ruby &amp; Alpha Sapphire.")</f>
        <v>Rayquaza é um Pokémon do tipo dragão/voador introduzido na geração 3. É conhecido como Pokémon Sky High.
Rayquaza tem uma mega evolução, disponível na Omega Ruby &amp; Alpha Sapphire.</v>
      </c>
      <c r="F369" s="2" t="str">
        <f ca="1">IFERROR(__xludf.DUMMYFUNCTION("GOOGLETRANSLATE(B369,""en"",""pt"")"),"Sky High Pokémon")</f>
        <v>Sky High Pokémon</v>
      </c>
    </row>
    <row r="370" spans="1:6" ht="15.75" customHeight="1" x14ac:dyDescent="0.25">
      <c r="A370" s="2" t="s">
        <v>1243</v>
      </c>
      <c r="B370" s="2" t="s">
        <v>1244</v>
      </c>
      <c r="C370" s="2" t="s">
        <v>1245</v>
      </c>
      <c r="D370" s="2" t="s">
        <v>1246</v>
      </c>
      <c r="E370" s="2" t="str">
        <f ca="1">IFERROR(__xludf.DUMMYFUNCTION("GOOGLETRANSLATE(D370,""en"",""pt"")"),"Jirachi é um Pokémon do tipo aço/psíquico introduzido na geração 3. É conhecido como Pokémon Wish.")</f>
        <v>Jirachi é um Pokémon do tipo aço/psíquico introduzido na geração 3. É conhecido como Pokémon Wish.</v>
      </c>
      <c r="F370" s="2" t="str">
        <f ca="1">IFERROR(__xludf.DUMMYFUNCTION("GOOGLETRANSLATE(B370,""en"",""pt"")"),"Desejo Pokémon")</f>
        <v>Desejo Pokémon</v>
      </c>
    </row>
    <row r="371" spans="1:6" ht="15.75" customHeight="1" x14ac:dyDescent="0.25">
      <c r="A371" s="2" t="s">
        <v>1247</v>
      </c>
      <c r="B371" s="2" t="s">
        <v>1248</v>
      </c>
      <c r="C371" s="2" t="s">
        <v>1249</v>
      </c>
      <c r="D371" s="2" t="s">
        <v>1250</v>
      </c>
      <c r="E371" s="2" t="str">
        <f ca="1">IFERROR(__xludf.DUMMYFUNCTION("GOOGLETRANSLATE(D371,""en"",""pt"")"),"Deoxys é um Pokémon do tipo psíquico introduzido na geração 3. É conhecido como Pokémon de DNA.")</f>
        <v>Deoxys é um Pokémon do tipo psíquico introduzido na geração 3. É conhecido como Pokémon de DNA.</v>
      </c>
      <c r="F371" s="2" t="str">
        <f ca="1">IFERROR(__xludf.DUMMYFUNCTION("GOOGLETRANSLATE(B371,""en"",""pt"")"),"Pokémon de DNA")</f>
        <v>Pokémon de DNA</v>
      </c>
    </row>
    <row r="372" spans="1:6" ht="15.75" customHeight="1" x14ac:dyDescent="0.25">
      <c r="A372" s="2" t="s">
        <v>1247</v>
      </c>
      <c r="B372" s="2" t="s">
        <v>1248</v>
      </c>
      <c r="C372" s="2" t="s">
        <v>1251</v>
      </c>
      <c r="D372" s="2" t="s">
        <v>1250</v>
      </c>
      <c r="E372" s="2" t="str">
        <f ca="1">IFERROR(__xludf.DUMMYFUNCTION("GOOGLETRANSLATE(D372,""en"",""pt"")"),"Deoxys é um Pokémon do tipo psíquico introduzido na geração 3. É conhecido como Pokémon de DNA.")</f>
        <v>Deoxys é um Pokémon do tipo psíquico introduzido na geração 3. É conhecido como Pokémon de DNA.</v>
      </c>
      <c r="F372" s="2" t="str">
        <f ca="1">IFERROR(__xludf.DUMMYFUNCTION("GOOGLETRANSLATE(B372,""en"",""pt"")"),"Pokémon de DNA")</f>
        <v>Pokémon de DNA</v>
      </c>
    </row>
    <row r="373" spans="1:6" ht="15.75" customHeight="1" x14ac:dyDescent="0.25">
      <c r="A373" s="2" t="s">
        <v>1247</v>
      </c>
      <c r="B373" s="2" t="s">
        <v>1248</v>
      </c>
      <c r="C373" s="2" t="s">
        <v>1252</v>
      </c>
      <c r="D373" s="2" t="s">
        <v>1250</v>
      </c>
      <c r="E373" s="2" t="str">
        <f ca="1">IFERROR(__xludf.DUMMYFUNCTION("GOOGLETRANSLATE(D373,""en"",""pt"")"),"Deoxys é um Pokémon do tipo psíquico introduzido na geração 3. É conhecido como Pokémon de DNA.")</f>
        <v>Deoxys é um Pokémon do tipo psíquico introduzido na geração 3. É conhecido como Pokémon de DNA.</v>
      </c>
      <c r="F373" s="2" t="str">
        <f ca="1">IFERROR(__xludf.DUMMYFUNCTION("GOOGLETRANSLATE(B373,""en"",""pt"")"),"Pokémon de DNA")</f>
        <v>Pokémon de DNA</v>
      </c>
    </row>
    <row r="374" spans="1:6" ht="15.75" customHeight="1" x14ac:dyDescent="0.25">
      <c r="A374" s="2" t="s">
        <v>1247</v>
      </c>
      <c r="B374" s="2" t="s">
        <v>1248</v>
      </c>
      <c r="C374" s="2" t="s">
        <v>1253</v>
      </c>
      <c r="D374" s="2" t="s">
        <v>1250</v>
      </c>
      <c r="E374" s="2" t="str">
        <f ca="1">IFERROR(__xludf.DUMMYFUNCTION("GOOGLETRANSLATE(D374,""en"",""pt"")"),"Deoxys é um Pokémon do tipo psíquico introduzido na geração 3. É conhecido como Pokémon de DNA.")</f>
        <v>Deoxys é um Pokémon do tipo psíquico introduzido na geração 3. É conhecido como Pokémon de DNA.</v>
      </c>
      <c r="F374" s="2" t="str">
        <f ca="1">IFERROR(__xludf.DUMMYFUNCTION("GOOGLETRANSLATE(B374,""en"",""pt"")"),"Pokémon de DNA")</f>
        <v>Pokémon de DNA</v>
      </c>
    </row>
    <row r="375" spans="1:6" ht="15.75" customHeight="1" x14ac:dyDescent="0.25">
      <c r="A375" s="2" t="s">
        <v>1254</v>
      </c>
      <c r="B375" s="2" t="s">
        <v>1255</v>
      </c>
      <c r="C375" s="2" t="s">
        <v>1256</v>
      </c>
      <c r="D375" s="2" t="s">
        <v>1257</v>
      </c>
      <c r="E375" s="2" t="str">
        <f ca="1">IFERROR(__xludf.DUMMYFUNCTION("GOOGLETRANSLATE(D375,""en"",""pt"")"),"Turtwig é um Pokémon do tipo grama introduzido na geração 4. É conhecido como o pequeno Pokémon Leaf.")</f>
        <v>Turtwig é um Pokémon do tipo grama introduzido na geração 4. É conhecido como o pequeno Pokémon Leaf.</v>
      </c>
      <c r="F375" s="2" t="str">
        <f ca="1">IFERROR(__xludf.DUMMYFUNCTION("GOOGLETRANSLATE(B375,""en"",""pt"")"),"Pokémon de folhas minúsculas")</f>
        <v>Pokémon de folhas minúsculas</v>
      </c>
    </row>
    <row r="376" spans="1:6" ht="15.75" customHeight="1" x14ac:dyDescent="0.25">
      <c r="A376" s="2" t="s">
        <v>1258</v>
      </c>
      <c r="B376" s="2" t="s">
        <v>1259</v>
      </c>
      <c r="C376" s="2" t="s">
        <v>1260</v>
      </c>
      <c r="D376" s="2" t="s">
        <v>1261</v>
      </c>
      <c r="E376" s="2" t="str">
        <f ca="1">IFERROR(__xludf.DUMMYFUNCTION("GOOGLETRANSLATE(D376,""en"",""pt"")"),"Grotle é um Pokémon do tipo grama introduzido na geração 4. É conhecido como Pokémon Grove.")</f>
        <v>Grotle é um Pokémon do tipo grama introduzido na geração 4. É conhecido como Pokémon Grove.</v>
      </c>
      <c r="F376" s="2" t="str">
        <f ca="1">IFERROR(__xludf.DUMMYFUNCTION("GOOGLETRANSLATE(B376,""en"",""pt"")"),"Grove Pokémon")</f>
        <v>Grove Pokémon</v>
      </c>
    </row>
    <row r="377" spans="1:6" ht="15.75" customHeight="1" x14ac:dyDescent="0.25">
      <c r="A377" s="2" t="s">
        <v>1262</v>
      </c>
      <c r="B377" s="2" t="s">
        <v>1234</v>
      </c>
      <c r="C377" s="2" t="s">
        <v>1263</v>
      </c>
      <c r="D377" s="2" t="s">
        <v>1264</v>
      </c>
      <c r="E377" s="2" t="str">
        <f ca="1">IFERROR(__xludf.DUMMYFUNCTION("GOOGLETRANSLATE(D377,""en"",""pt"")"),"Torterra é um Pokémon do tipo grama/terra introduzido na geração 4. É conhecido como Pokémon do Continente.")</f>
        <v>Torterra é um Pokémon do tipo grama/terra introduzido na geração 4. É conhecido como Pokémon do Continente.</v>
      </c>
      <c r="F377" s="2" t="str">
        <f ca="1">IFERROR(__xludf.DUMMYFUNCTION("GOOGLETRANSLATE(B377,""en"",""pt"")"),"Pokémon do continente")</f>
        <v>Pokémon do continente</v>
      </c>
    </row>
    <row r="378" spans="1:6" ht="15.75" customHeight="1" x14ac:dyDescent="0.25">
      <c r="A378" s="2" t="s">
        <v>1265</v>
      </c>
      <c r="B378" s="2" t="s">
        <v>327</v>
      </c>
      <c r="C378" s="2" t="s">
        <v>1266</v>
      </c>
      <c r="D378" s="2" t="s">
        <v>1267</v>
      </c>
      <c r="E378" s="2" t="str">
        <f ca="1">IFERROR(__xludf.DUMMYFUNCTION("GOOGLETRANSLATE(D378,""en"",""pt"")"),"Jigglypuff é um Pokémon normal/do tipo fada introduzido na geração 1. É conhecido como Pokémon Balloon.")</f>
        <v>Jigglypuff é um Pokémon normal/do tipo fada introduzido na geração 1. É conhecido como Pokémon Balloon.</v>
      </c>
      <c r="F378" s="2" t="str">
        <f ca="1">IFERROR(__xludf.DUMMYFUNCTION("GOOGLETRANSLATE(B378,""en"",""pt"")"),"Pokémon de balão")</f>
        <v>Pokémon de balão</v>
      </c>
    </row>
    <row r="379" spans="1:6" ht="15.75" customHeight="1" x14ac:dyDescent="0.25">
      <c r="A379" s="2" t="s">
        <v>1268</v>
      </c>
      <c r="B379" s="2" t="s">
        <v>1269</v>
      </c>
      <c r="C379" s="2" t="s">
        <v>1270</v>
      </c>
      <c r="D379" s="2" t="s">
        <v>1271</v>
      </c>
      <c r="E379" s="2" t="str">
        <f ca="1">IFERROR(__xludf.DUMMYFUNCTION("GOOGLETRANSLATE(D379,""en"",""pt"")"),"Chimchar é um Pokémon do tipo incêndio introduzido na geração 4. É conhecido como Pokémon Chimp.")</f>
        <v>Chimchar é um Pokémon do tipo incêndio introduzido na geração 4. É conhecido como Pokémon Chimp.</v>
      </c>
      <c r="F379" s="2" t="str">
        <f ca="1">IFERROR(__xludf.DUMMYFUNCTION("GOOGLETRANSLATE(B379,""en"",""pt"")"),"Chimp Pokémon")</f>
        <v>Chimp Pokémon</v>
      </c>
    </row>
    <row r="380" spans="1:6" ht="15.75" customHeight="1" x14ac:dyDescent="0.25">
      <c r="A380" s="2" t="s">
        <v>1272</v>
      </c>
      <c r="B380" s="2" t="s">
        <v>1273</v>
      </c>
      <c r="C380" s="2" t="s">
        <v>1274</v>
      </c>
      <c r="D380" s="2" t="s">
        <v>1275</v>
      </c>
      <c r="E380" s="2" t="str">
        <f ca="1">IFERROR(__xludf.DUMMYFUNCTION("GOOGLETRANSLATE(D380,""en"",""pt"")"),"Monferno é um Pokémon do tipo Fire/Fighting introduzido na geração 4. É conhecido como Pokémon lúdico.")</f>
        <v>Monferno é um Pokémon do tipo Fire/Fighting introduzido na geração 4. É conhecido como Pokémon lúdico.</v>
      </c>
      <c r="F380" s="2" t="str">
        <f ca="1">IFERROR(__xludf.DUMMYFUNCTION("GOOGLETRANSLATE(B380,""en"",""pt"")"),"Pokémon brincalhão")</f>
        <v>Pokémon brincalhão</v>
      </c>
    </row>
    <row r="381" spans="1:6" ht="15.75" customHeight="1" x14ac:dyDescent="0.25">
      <c r="A381" s="2" t="s">
        <v>1276</v>
      </c>
      <c r="B381" s="2" t="s">
        <v>170</v>
      </c>
      <c r="C381" s="2" t="s">
        <v>1277</v>
      </c>
      <c r="D381" s="2" t="s">
        <v>1278</v>
      </c>
      <c r="E381" s="2" t="str">
        <f ca="1">IFERROR(__xludf.DUMMYFUNCTION("GOOGLETRANSLATE(D381,""en"",""pt"")"),"Infernape é um Pokémon do tipo Fire/Fighting introduzido na geração 4. É conhecido como Pokémon Flame.")</f>
        <v>Infernape é um Pokémon do tipo Fire/Fighting introduzido na geração 4. É conhecido como Pokémon Flame.</v>
      </c>
      <c r="F381" s="2" t="str">
        <f ca="1">IFERROR(__xludf.DUMMYFUNCTION("GOOGLETRANSLATE(B381,""en"",""pt"")"),"Pokémon de chama")</f>
        <v>Pokémon de chama</v>
      </c>
    </row>
    <row r="382" spans="1:6" ht="15.75" customHeight="1" x14ac:dyDescent="0.25">
      <c r="A382" s="2" t="s">
        <v>1279</v>
      </c>
      <c r="B382" s="2" t="s">
        <v>1280</v>
      </c>
      <c r="C382" s="2" t="s">
        <v>1281</v>
      </c>
      <c r="D382" s="2" t="s">
        <v>1282</v>
      </c>
      <c r="E382" s="2" t="str">
        <f ca="1">IFERROR(__xludf.DUMMYFUNCTION("GOOGLETRANSLATE(D382,""en"",""pt"")"),"O PiPLUP é um Pokémon do tipo água introduzido na geração 4. É conhecido como Penguin Pokémon.")</f>
        <v>O PiPLUP é um Pokémon do tipo água introduzido na geração 4. É conhecido como Penguin Pokémon.</v>
      </c>
      <c r="F382" s="2" t="str">
        <f ca="1">IFERROR(__xludf.DUMMYFUNCTION("GOOGLETRANSLATE(B382,""en"",""pt"")"),"Pokémon Penguin")</f>
        <v>Pokémon Penguin</v>
      </c>
    </row>
    <row r="383" spans="1:6" ht="15.75" customHeight="1" x14ac:dyDescent="0.25">
      <c r="A383" s="2" t="s">
        <v>1283</v>
      </c>
      <c r="B383" s="2" t="s">
        <v>1280</v>
      </c>
      <c r="C383" s="2" t="s">
        <v>1284</v>
      </c>
      <c r="D383" s="2" t="s">
        <v>1285</v>
      </c>
      <c r="E383" s="2" t="str">
        <f ca="1">IFERROR(__xludf.DUMMYFUNCTION("GOOGLETRANSLATE(D383,""en"",""pt"")"),"O PRINPLUP é um Pokémon do tipo água introduzido na geração 4. É conhecido como Penguin Pokémon.")</f>
        <v>O PRINPLUP é um Pokémon do tipo água introduzido na geração 4. É conhecido como Penguin Pokémon.</v>
      </c>
      <c r="F383" s="2" t="str">
        <f ca="1">IFERROR(__xludf.DUMMYFUNCTION("GOOGLETRANSLATE(B383,""en"",""pt"")"),"Pokémon Penguin")</f>
        <v>Pokémon Penguin</v>
      </c>
    </row>
    <row r="384" spans="1:6" ht="15.75" customHeight="1" x14ac:dyDescent="0.25">
      <c r="A384" s="2" t="s">
        <v>1286</v>
      </c>
      <c r="B384" s="2" t="s">
        <v>1287</v>
      </c>
      <c r="C384" s="2" t="s">
        <v>1288</v>
      </c>
      <c r="D384" s="2" t="s">
        <v>1289</v>
      </c>
      <c r="E384" s="2" t="str">
        <f ca="1">IFERROR(__xludf.DUMMYFUNCTION("GOOGLETRANSLATE(D384,""en"",""pt"")"),"Empoleon é um Pokémon do tipo água/aço introduzido na geração 4. É conhecido como Pokémon Imperador.")</f>
        <v>Empoleon é um Pokémon do tipo água/aço introduzido na geração 4. É conhecido como Pokémon Imperador.</v>
      </c>
      <c r="F384" s="2" t="str">
        <f ca="1">IFERROR(__xludf.DUMMYFUNCTION("GOOGLETRANSLATE(B384,""en"",""pt"")"),"Imperador Pokémon")</f>
        <v>Imperador Pokémon</v>
      </c>
    </row>
    <row r="385" spans="1:6" ht="15.75" customHeight="1" x14ac:dyDescent="0.25">
      <c r="A385" s="2" t="s">
        <v>1290</v>
      </c>
      <c r="B385" s="2" t="s">
        <v>1291</v>
      </c>
      <c r="C385" s="2" t="s">
        <v>1292</v>
      </c>
      <c r="D385" s="2" t="s">
        <v>1293</v>
      </c>
      <c r="E385" s="2" t="str">
        <f ca="1">IFERROR(__xludf.DUMMYFUNCTION("GOOGLETRANSLATE(D385,""en"",""pt"")"),"Starly é um Pokémon Normal/Flying Type introduzido na geração 4. É conhecido como Pokémon Starling.")</f>
        <v>Starly é um Pokémon Normal/Flying Type introduzido na geração 4. É conhecido como Pokémon Starling.</v>
      </c>
      <c r="F385" s="2" t="str">
        <f ca="1">IFERROR(__xludf.DUMMYFUNCTION("GOOGLETRANSLATE(B385,""en"",""pt"")"),"Pokémon Starling")</f>
        <v>Pokémon Starling</v>
      </c>
    </row>
    <row r="386" spans="1:6" ht="15.75" customHeight="1" x14ac:dyDescent="0.25">
      <c r="A386" s="2" t="s">
        <v>1294</v>
      </c>
      <c r="B386" s="2" t="s">
        <v>1291</v>
      </c>
      <c r="C386" s="2" t="s">
        <v>1295</v>
      </c>
      <c r="D386" s="2" t="s">
        <v>1296</v>
      </c>
      <c r="E386" s="2" t="str">
        <f ca="1">IFERROR(__xludf.DUMMYFUNCTION("GOOGLETRANSLATE(D386,""en"",""pt"")"),"Staravia é um Pokémon normal/voador introduzido na geração 4. É conhecido como Pokémon Starling.")</f>
        <v>Staravia é um Pokémon normal/voador introduzido na geração 4. É conhecido como Pokémon Starling.</v>
      </c>
      <c r="F386" s="2" t="str">
        <f ca="1">IFERROR(__xludf.DUMMYFUNCTION("GOOGLETRANSLATE(B386,""en"",""pt"")"),"Pokémon Starling")</f>
        <v>Pokémon Starling</v>
      </c>
    </row>
    <row r="387" spans="1:6" ht="15.75" customHeight="1" x14ac:dyDescent="0.25">
      <c r="A387" s="2" t="s">
        <v>1297</v>
      </c>
      <c r="B387" s="2" t="s">
        <v>1298</v>
      </c>
      <c r="C387" s="2" t="s">
        <v>1299</v>
      </c>
      <c r="D387" s="2" t="s">
        <v>1300</v>
      </c>
      <c r="E387" s="2" t="str">
        <f ca="1">IFERROR(__xludf.DUMMYFUNCTION("GOOGLETRANSLATE(D387,""en"",""pt"")"),"O Staraptor é um Pokémon normal/voador introduzido na geração 4. É conhecido como Pokémon Predator.")</f>
        <v>O Staraptor é um Pokémon normal/voador introduzido na geração 4. É conhecido como Pokémon Predator.</v>
      </c>
      <c r="F387" s="2" t="str">
        <f ca="1">IFERROR(__xludf.DUMMYFUNCTION("GOOGLETRANSLATE(B387,""en"",""pt"")"),"Pokémon predador")</f>
        <v>Pokémon predador</v>
      </c>
    </row>
    <row r="388" spans="1:6" ht="15.75" customHeight="1" x14ac:dyDescent="0.25">
      <c r="A388" s="2" t="s">
        <v>1301</v>
      </c>
      <c r="B388" s="2" t="s">
        <v>1302</v>
      </c>
      <c r="C388" s="2" t="s">
        <v>1303</v>
      </c>
      <c r="D388" s="2" t="s">
        <v>1304</v>
      </c>
      <c r="E388" s="2" t="str">
        <f ca="1">IFERROR(__xludf.DUMMYFUNCTION("GOOGLETRANSLATE(D388,""en"",""pt"")"),"O Bidoof é um Pokémon do tipo normal introduzido na geração 4. É conhecido como Pokémon de mouse gordo.")</f>
        <v>O Bidoof é um Pokémon do tipo normal introduzido na geração 4. É conhecido como Pokémon de mouse gordo.</v>
      </c>
      <c r="F388" s="2" t="str">
        <f ca="1">IFERROR(__xludf.DUMMYFUNCTION("GOOGLETRANSLATE(B388,""en"",""pt"")"),"Pokémon de mouse gordo")</f>
        <v>Pokémon de mouse gordo</v>
      </c>
    </row>
    <row r="389" spans="1:6" ht="15.75" customHeight="1" x14ac:dyDescent="0.25">
      <c r="A389" s="2" t="s">
        <v>1305</v>
      </c>
      <c r="B389" s="2" t="s">
        <v>1306</v>
      </c>
      <c r="C389" s="2" t="s">
        <v>1307</v>
      </c>
      <c r="D389" s="2" t="s">
        <v>1308</v>
      </c>
      <c r="E389" s="2" t="str">
        <f ca="1">IFERROR(__xludf.DUMMYFUNCTION("GOOGLETRANSLATE(D389,""en"",""pt"")"),"Charmander é um Pokémon do tipo incêndio introduzido na geração 1. É conhecido como Pokémon Lizard.")</f>
        <v>Charmander é um Pokémon do tipo incêndio introduzido na geração 1. É conhecido como Pokémon Lizard.</v>
      </c>
      <c r="F389" s="2" t="str">
        <f ca="1">IFERROR(__xludf.DUMMYFUNCTION("GOOGLETRANSLATE(B389,""en"",""pt"")"),"Pokémon de lagarto")</f>
        <v>Pokémon de lagarto</v>
      </c>
    </row>
    <row r="390" spans="1:6" ht="15.75" customHeight="1" x14ac:dyDescent="0.25">
      <c r="A390" s="2" t="s">
        <v>1309</v>
      </c>
      <c r="B390" s="2" t="s">
        <v>327</v>
      </c>
      <c r="C390" s="2" t="s">
        <v>1310</v>
      </c>
      <c r="D390" s="2" t="s">
        <v>1311</v>
      </c>
      <c r="E390" s="2" t="str">
        <f ca="1">IFERROR(__xludf.DUMMYFUNCTION("GOOGLETRANSLATE(D390,""en"",""pt"")"),"Wigglytuff é um Pokémon normal/do tipo fada introduzido na geração 1. É conhecido como Pokémon Balloon.")</f>
        <v>Wigglytuff é um Pokémon normal/do tipo fada introduzido na geração 1. É conhecido como Pokémon Balloon.</v>
      </c>
      <c r="F390" s="2" t="str">
        <f ca="1">IFERROR(__xludf.DUMMYFUNCTION("GOOGLETRANSLATE(B390,""en"",""pt"")"),"Pokémon de balão")</f>
        <v>Pokémon de balão</v>
      </c>
    </row>
    <row r="391" spans="1:6" ht="15.75" customHeight="1" x14ac:dyDescent="0.25">
      <c r="A391" s="2" t="s">
        <v>1312</v>
      </c>
      <c r="B391" s="2" t="s">
        <v>1313</v>
      </c>
      <c r="C391" s="2" t="s">
        <v>1314</v>
      </c>
      <c r="D391" s="2" t="s">
        <v>1315</v>
      </c>
      <c r="E391" s="2" t="str">
        <f ca="1">IFERROR(__xludf.DUMMYFUNCTION("GOOGLETRANSLATE(D391,""en"",""pt"")"),"Bibarel é um Pokémon normal/do tipo água introduzido na geração 4. É conhecido como Pokémon Beaver.")</f>
        <v>Bibarel é um Pokémon normal/do tipo água introduzido na geração 4. É conhecido como Pokémon Beaver.</v>
      </c>
      <c r="F391" s="2" t="str">
        <f ca="1">IFERROR(__xludf.DUMMYFUNCTION("GOOGLETRANSLATE(B391,""en"",""pt"")"),"Pokémon do castor")</f>
        <v>Pokémon do castor</v>
      </c>
    </row>
    <row r="392" spans="1:6" ht="15.75" customHeight="1" x14ac:dyDescent="0.25">
      <c r="A392" s="2" t="s">
        <v>1316</v>
      </c>
      <c r="B392" s="2" t="s">
        <v>1317</v>
      </c>
      <c r="C392" s="2" t="s">
        <v>1318</v>
      </c>
      <c r="D392" s="2" t="s">
        <v>1319</v>
      </c>
      <c r="E392" s="2" t="str">
        <f ca="1">IFERROR(__xludf.DUMMYFUNCTION("GOOGLETRANSLATE(D392,""en"",""pt"")"),"Kricketot é um Pokémon do tipo bug introduzido na geração 4. É conhecido como Pokémon de Críquete.")</f>
        <v>Kricketot é um Pokémon do tipo bug introduzido na geração 4. É conhecido como Pokémon de Críquete.</v>
      </c>
      <c r="F392" s="2" t="str">
        <f ca="1">IFERROR(__xludf.DUMMYFUNCTION("GOOGLETRANSLATE(B392,""en"",""pt"")"),"Pokémon de críquete")</f>
        <v>Pokémon de críquete</v>
      </c>
    </row>
    <row r="393" spans="1:6" ht="15.75" customHeight="1" x14ac:dyDescent="0.25">
      <c r="A393" s="2" t="s">
        <v>1320</v>
      </c>
      <c r="B393" s="2" t="s">
        <v>1317</v>
      </c>
      <c r="C393" s="2" t="s">
        <v>1321</v>
      </c>
      <c r="D393" s="2" t="s">
        <v>1322</v>
      </c>
      <c r="E393" s="2" t="str">
        <f ca="1">IFERROR(__xludf.DUMMYFUNCTION("GOOGLETRANSLATE(D393,""en"",""pt"")"),"Kricketune é um Pokémon do tipo bug introduzido na geração 4. É conhecido como Pokémon de Críquete.")</f>
        <v>Kricketune é um Pokémon do tipo bug introduzido na geração 4. É conhecido como Pokémon de Críquete.</v>
      </c>
      <c r="F393" s="2" t="str">
        <f ca="1">IFERROR(__xludf.DUMMYFUNCTION("GOOGLETRANSLATE(B393,""en"",""pt"")"),"Pokémon de críquete")</f>
        <v>Pokémon de críquete</v>
      </c>
    </row>
    <row r="394" spans="1:6" ht="15.75" customHeight="1" x14ac:dyDescent="0.25">
      <c r="A394" s="2" t="s">
        <v>1323</v>
      </c>
      <c r="B394" s="2" t="s">
        <v>1324</v>
      </c>
      <c r="C394" s="2" t="s">
        <v>1325</v>
      </c>
      <c r="D394" s="2" t="s">
        <v>1326</v>
      </c>
      <c r="E394" s="2" t="str">
        <f ca="1">IFERROR(__xludf.DUMMYFUNCTION("GOOGLETRANSLATE(D394,""en"",""pt"")"),"O Shinx é um Pokémon do tipo elétrico introduzido na geração 4. É conhecido como Pokémon Flash.")</f>
        <v>O Shinx é um Pokémon do tipo elétrico introduzido na geração 4. É conhecido como Pokémon Flash.</v>
      </c>
      <c r="F394" s="2" t="str">
        <f ca="1">IFERROR(__xludf.DUMMYFUNCTION("GOOGLETRANSLATE(B394,""en"",""pt"")"),"Pokémon Flash")</f>
        <v>Pokémon Flash</v>
      </c>
    </row>
    <row r="395" spans="1:6" ht="15.75" customHeight="1" x14ac:dyDescent="0.25">
      <c r="A395" s="2" t="s">
        <v>1327</v>
      </c>
      <c r="B395" s="2" t="s">
        <v>1328</v>
      </c>
      <c r="C395" s="2" t="s">
        <v>1329</v>
      </c>
      <c r="D395" s="2" t="s">
        <v>1330</v>
      </c>
      <c r="E395" s="2" t="str">
        <f ca="1">IFERROR(__xludf.DUMMYFUNCTION("GOOGLETRANSLATE(D395,""en"",""pt"")"),"O Luxio é um Pokémon do tipo elétrico introduzido na geração 4. É conhecido como o Spark Pokémon.")</f>
        <v>O Luxio é um Pokémon do tipo elétrico introduzido na geração 4. É conhecido como o Spark Pokémon.</v>
      </c>
      <c r="F395" s="2" t="str">
        <f ca="1">IFERROR(__xludf.DUMMYFUNCTION("GOOGLETRANSLATE(B395,""en"",""pt"")"),"Spark Pokémon")</f>
        <v>Spark Pokémon</v>
      </c>
    </row>
    <row r="396" spans="1:6" ht="15.75" customHeight="1" x14ac:dyDescent="0.25">
      <c r="A396" s="2" t="s">
        <v>1331</v>
      </c>
      <c r="B396" s="2" t="s">
        <v>1332</v>
      </c>
      <c r="C396" s="2" t="s">
        <v>1333</v>
      </c>
      <c r="D396" s="2" t="s">
        <v>1334</v>
      </c>
      <c r="E396" s="2" t="str">
        <f ca="1">IFERROR(__xludf.DUMMYFUNCTION("GOOGLETRANSLATE(D396,""en"",""pt"")"),"O Luxray é um Pokémon do tipo elétrico introduzido na geração 4. É conhecido como Pokémon Gleam Eyes.")</f>
        <v>O Luxray é um Pokémon do tipo elétrico introduzido na geração 4. É conhecido como Pokémon Gleam Eyes.</v>
      </c>
      <c r="F396" s="2" t="str">
        <f ca="1">IFERROR(__xludf.DUMMYFUNCTION("GOOGLETRANSLATE(B396,""en"",""pt"")"),"Pokémon de olhos brilhantes")</f>
        <v>Pokémon de olhos brilhantes</v>
      </c>
    </row>
    <row r="397" spans="1:6" ht="15.75" customHeight="1" x14ac:dyDescent="0.25">
      <c r="A397" s="2" t="s">
        <v>1335</v>
      </c>
      <c r="B397" s="2" t="s">
        <v>1336</v>
      </c>
      <c r="C397" s="2" t="s">
        <v>1337</v>
      </c>
      <c r="D397" s="2" t="s">
        <v>1338</v>
      </c>
      <c r="E397" s="2" t="str">
        <f ca="1">IFERROR(__xludf.DUMMYFUNCTION("GOOGLETRANSLATE(D397,""en"",""pt"")"),"Budew é um Pokémon do tipo grama/veneno introduzido na geração 4. É conhecido como Pokémon Bud.")</f>
        <v>Budew é um Pokémon do tipo grama/veneno introduzido na geração 4. É conhecido como Pokémon Bud.</v>
      </c>
      <c r="F397" s="2" t="str">
        <f ca="1">IFERROR(__xludf.DUMMYFUNCTION("GOOGLETRANSLATE(B397,""en"",""pt"")"),"Bud Pokémon")</f>
        <v>Bud Pokémon</v>
      </c>
    </row>
    <row r="398" spans="1:6" ht="15.75" customHeight="1" x14ac:dyDescent="0.25">
      <c r="A398" s="2" t="s">
        <v>1339</v>
      </c>
      <c r="B398" s="2" t="s">
        <v>1340</v>
      </c>
      <c r="C398" s="2" t="s">
        <v>1341</v>
      </c>
      <c r="D398" s="2" t="s">
        <v>1342</v>
      </c>
      <c r="E398" s="2" t="str">
        <f ca="1">IFERROR(__xludf.DUMMYFUNCTION("GOOGLETRANSLATE(D398,""en"",""pt"")"),"Roserade é um Pokémon do tipo grama/veneno introduzido na geração 4. É conhecido como Pokémon Bouquet.")</f>
        <v>Roserade é um Pokémon do tipo grama/veneno introduzido na geração 4. É conhecido como Pokémon Bouquet.</v>
      </c>
      <c r="F398" s="2" t="str">
        <f ca="1">IFERROR(__xludf.DUMMYFUNCTION("GOOGLETRANSLATE(B398,""en"",""pt"")"),"Bouquet Pokémon")</f>
        <v>Bouquet Pokémon</v>
      </c>
    </row>
    <row r="399" spans="1:6" ht="15.75" customHeight="1" x14ac:dyDescent="0.25">
      <c r="A399" s="2" t="s">
        <v>1343</v>
      </c>
      <c r="B399" s="2" t="s">
        <v>1344</v>
      </c>
      <c r="C399" s="2" t="s">
        <v>1345</v>
      </c>
      <c r="D399" s="2" t="s">
        <v>1346</v>
      </c>
      <c r="E399" s="2" t="str">
        <f ca="1">IFERROR(__xludf.DUMMYFUNCTION("GOOGLETRANSLATE(D399,""en"",""pt"")"),"Os cranidos são um Pokémon do tipo rock introduzido na geração 4. É conhecido como Pokémon da cabeça da cabeça.")</f>
        <v>Os cranidos são um Pokémon do tipo rock introduzido na geração 4. É conhecido como Pokémon da cabeça da cabeça.</v>
      </c>
      <c r="F399" s="2" t="str">
        <f ca="1">IFERROR(__xludf.DUMMYFUNCTION("GOOGLETRANSLATE(B399,""en"",""pt"")"),"Pokémon da cabeça da cabeça")</f>
        <v>Pokémon da cabeça da cabeça</v>
      </c>
    </row>
    <row r="400" spans="1:6" ht="15.75" customHeight="1" x14ac:dyDescent="0.25">
      <c r="A400" s="2" t="s">
        <v>1347</v>
      </c>
      <c r="B400" s="2" t="s">
        <v>1344</v>
      </c>
      <c r="C400" s="2" t="s">
        <v>1348</v>
      </c>
      <c r="D400" s="2" t="s">
        <v>1349</v>
      </c>
      <c r="E400" s="2" t="str">
        <f ca="1">IFERROR(__xludf.DUMMYFUNCTION("GOOGLETRANSLATE(D400,""en"",""pt"")"),"Rampardos é um Pokémon do tipo rocha introduzido na geração 4. É conhecido como Pokémon da cabeça da cabeça.")</f>
        <v>Rampardos é um Pokémon do tipo rocha introduzido na geração 4. É conhecido como Pokémon da cabeça da cabeça.</v>
      </c>
      <c r="F400" s="2" t="str">
        <f ca="1">IFERROR(__xludf.DUMMYFUNCTION("GOOGLETRANSLATE(B400,""en"",""pt"")"),"Pokémon da cabeça da cabeça")</f>
        <v>Pokémon da cabeça da cabeça</v>
      </c>
    </row>
    <row r="401" spans="1:6" ht="15.75" customHeight="1" x14ac:dyDescent="0.25">
      <c r="A401" s="2" t="s">
        <v>1350</v>
      </c>
      <c r="B401" s="2" t="s">
        <v>304</v>
      </c>
      <c r="C401" s="2" t="s">
        <v>1351</v>
      </c>
      <c r="D401" s="2" t="s">
        <v>1352</v>
      </c>
      <c r="E401" s="2" t="str">
        <f ca="1">IFERROR(__xludf.DUMMYFUNCTION("GOOGLETRANSLATE(D401,""en"",""pt"")"),"O Zubat é um Pokémon de veneno/voador introduzido na geração 1. É conhecido como Pokémon Bat.")</f>
        <v>O Zubat é um Pokémon de veneno/voador introduzido na geração 1. É conhecido como Pokémon Bat.</v>
      </c>
      <c r="F401" s="2" t="str">
        <f ca="1">IFERROR(__xludf.DUMMYFUNCTION("GOOGLETRANSLATE(B401,""en"",""pt"")"),"Pokémon de morcego")</f>
        <v>Pokémon de morcego</v>
      </c>
    </row>
    <row r="402" spans="1:6" ht="15.75" customHeight="1" x14ac:dyDescent="0.25">
      <c r="A402" s="2" t="s">
        <v>1353</v>
      </c>
      <c r="B402" s="2" t="s">
        <v>1354</v>
      </c>
      <c r="C402" s="2" t="s">
        <v>1355</v>
      </c>
      <c r="D402" s="2" t="s">
        <v>1356</v>
      </c>
      <c r="E402" s="2" t="str">
        <f ca="1">IFERROR(__xludf.DUMMYFUNCTION("GOOGLETRANSLATE(D402,""en"",""pt"")"),"O Shieldon é um Pokémon do tipo rocha/aço introduzido na geração 4. É conhecido como Pokémon Shield.")</f>
        <v>O Shieldon é um Pokémon do tipo rocha/aço introduzido na geração 4. É conhecido como Pokémon Shield.</v>
      </c>
      <c r="F402" s="2" t="str">
        <f ca="1">IFERROR(__xludf.DUMMYFUNCTION("GOOGLETRANSLATE(B402,""en"",""pt"")"),"Pokémon escudo")</f>
        <v>Pokémon escudo</v>
      </c>
    </row>
    <row r="403" spans="1:6" ht="15.75" customHeight="1" x14ac:dyDescent="0.25">
      <c r="A403" s="2" t="s">
        <v>1357</v>
      </c>
      <c r="B403" s="2" t="s">
        <v>1354</v>
      </c>
      <c r="C403" s="2" t="s">
        <v>1358</v>
      </c>
      <c r="D403" s="2" t="s">
        <v>1359</v>
      </c>
      <c r="E403" s="2" t="str">
        <f ca="1">IFERROR(__xludf.DUMMYFUNCTION("GOOGLETRANSLATE(D403,""en"",""pt"")"),"O Bastiodon é um Pokémon do tipo rocha/aço introduzido na geração 4. É conhecido como Pokémon Shield.")</f>
        <v>O Bastiodon é um Pokémon do tipo rocha/aço introduzido na geração 4. É conhecido como Pokémon Shield.</v>
      </c>
      <c r="F403" s="2" t="str">
        <f ca="1">IFERROR(__xludf.DUMMYFUNCTION("GOOGLETRANSLATE(B403,""en"",""pt"")"),"Pokémon escudo")</f>
        <v>Pokémon escudo</v>
      </c>
    </row>
    <row r="404" spans="1:6" ht="15.75" customHeight="1" x14ac:dyDescent="0.25">
      <c r="A404" s="2" t="s">
        <v>1360</v>
      </c>
      <c r="B404" s="2" t="s">
        <v>456</v>
      </c>
      <c r="C404" s="2" t="s">
        <v>1361</v>
      </c>
      <c r="D404" s="2" t="s">
        <v>1362</v>
      </c>
      <c r="E404" s="2" t="str">
        <f ca="1">IFERROR(__xludf.DUMMYFUNCTION("GOOGLETRANSLATE(D404,""en"",""pt"")"),"Burmy é um Pokémon do tipo inseto introduzido na geração 4. É conhecido como Pokémon de Bagworm.")</f>
        <v>Burmy é um Pokémon do tipo inseto introduzido na geração 4. É conhecido como Pokémon de Bagworm.</v>
      </c>
      <c r="F404" s="2" t="str">
        <f ca="1">IFERROR(__xludf.DUMMYFUNCTION("GOOGLETRANSLATE(B404,""en"",""pt"")"),"Pokémon Pokémon")</f>
        <v>Pokémon Pokémon</v>
      </c>
    </row>
    <row r="405" spans="1:6" ht="15.75" customHeight="1" x14ac:dyDescent="0.25">
      <c r="A405" s="2" t="s">
        <v>1363</v>
      </c>
      <c r="B405" s="2" t="s">
        <v>456</v>
      </c>
      <c r="C405" s="2" t="s">
        <v>1364</v>
      </c>
      <c r="D405" s="2" t="s">
        <v>1365</v>
      </c>
      <c r="E405" s="2" t="str">
        <f ca="1">IFERROR(__xludf.DUMMYFUNCTION("GOOGLETRANSLATE(D405,""en"",""pt"")"),"Wormadam é um Pokémon do tipo bug/grama introduzido na geração 4. É conhecido como Pokémon de Bagworm.")</f>
        <v>Wormadam é um Pokémon do tipo bug/grama introduzido na geração 4. É conhecido como Pokémon de Bagworm.</v>
      </c>
      <c r="F405" s="2" t="str">
        <f ca="1">IFERROR(__xludf.DUMMYFUNCTION("GOOGLETRANSLATE(B405,""en"",""pt"")"),"Pokémon Pokémon")</f>
        <v>Pokémon Pokémon</v>
      </c>
    </row>
    <row r="406" spans="1:6" ht="15.75" customHeight="1" x14ac:dyDescent="0.25">
      <c r="A406" s="2" t="s">
        <v>1363</v>
      </c>
      <c r="B406" s="2" t="s">
        <v>456</v>
      </c>
      <c r="C406" s="2" t="s">
        <v>1366</v>
      </c>
      <c r="D406" s="2" t="s">
        <v>1365</v>
      </c>
      <c r="E406" s="2" t="str">
        <f ca="1">IFERROR(__xludf.DUMMYFUNCTION("GOOGLETRANSLATE(D406,""en"",""pt"")"),"Wormadam é um Pokémon do tipo bug/grama introduzido na geração 4. É conhecido como Pokémon de Bagworm.")</f>
        <v>Wormadam é um Pokémon do tipo bug/grama introduzido na geração 4. É conhecido como Pokémon de Bagworm.</v>
      </c>
      <c r="F406" s="2" t="str">
        <f ca="1">IFERROR(__xludf.DUMMYFUNCTION("GOOGLETRANSLATE(B406,""en"",""pt"")"),"Pokémon Pokémon")</f>
        <v>Pokémon Pokémon</v>
      </c>
    </row>
    <row r="407" spans="1:6" ht="15.75" customHeight="1" x14ac:dyDescent="0.25">
      <c r="A407" s="2" t="s">
        <v>1363</v>
      </c>
      <c r="B407" s="2" t="s">
        <v>456</v>
      </c>
      <c r="C407" s="2" t="s">
        <v>1367</v>
      </c>
      <c r="D407" s="2" t="s">
        <v>1365</v>
      </c>
      <c r="E407" s="2" t="str">
        <f ca="1">IFERROR(__xludf.DUMMYFUNCTION("GOOGLETRANSLATE(D407,""en"",""pt"")"),"Wormadam é um Pokémon do tipo bug/grama introduzido na geração 4. É conhecido como Pokémon de Bagworm.")</f>
        <v>Wormadam é um Pokémon do tipo bug/grama introduzido na geração 4. É conhecido como Pokémon de Bagworm.</v>
      </c>
      <c r="F407" s="2" t="str">
        <f ca="1">IFERROR(__xludf.DUMMYFUNCTION("GOOGLETRANSLATE(B407,""en"",""pt"")"),"Pokémon Pokémon")</f>
        <v>Pokémon Pokémon</v>
      </c>
    </row>
    <row r="408" spans="1:6" ht="15.75" customHeight="1" x14ac:dyDescent="0.25">
      <c r="A408" s="2" t="s">
        <v>1368</v>
      </c>
      <c r="B408" s="2" t="s">
        <v>1369</v>
      </c>
      <c r="C408" s="2" t="s">
        <v>1370</v>
      </c>
      <c r="D408" s="2" t="s">
        <v>1371</v>
      </c>
      <c r="E408" s="2" t="str">
        <f ca="1">IFERROR(__xludf.DUMMYFUNCTION("GOOGLETRANSLATE(D408,""en"",""pt"")"),"Mothim é um Pokémon do tipo bug/voador introduzido na geração 4. É conhecido como Pokémon Moth.")</f>
        <v>Mothim é um Pokémon do tipo bug/voador introduzido na geração 4. É conhecido como Pokémon Moth.</v>
      </c>
      <c r="F408" s="2" t="str">
        <f ca="1">IFERROR(__xludf.DUMMYFUNCTION("GOOGLETRANSLATE(B408,""en"",""pt"")"),"Pokémon de mariposa")</f>
        <v>Pokémon de mariposa</v>
      </c>
    </row>
    <row r="409" spans="1:6" ht="15.75" customHeight="1" x14ac:dyDescent="0.25">
      <c r="A409" s="2" t="s">
        <v>1372</v>
      </c>
      <c r="B409" s="2" t="s">
        <v>1373</v>
      </c>
      <c r="C409" s="2" t="s">
        <v>1374</v>
      </c>
      <c r="D409" s="2" t="s">
        <v>1375</v>
      </c>
      <c r="E409" s="2" t="str">
        <f ca="1">IFERROR(__xludf.DUMMYFUNCTION("GOOGLETRANSLATE(D409,""en"",""pt"")"),"Combee é um Pokémon do tipo bug/voador introduzido na geração 4. É conhecido como o pequeno Pokémon de abelha.")</f>
        <v>Combee é um Pokémon do tipo bug/voador introduzido na geração 4. É conhecido como o pequeno Pokémon de abelha.</v>
      </c>
      <c r="F409" s="2" t="str">
        <f ca="1">IFERROR(__xludf.DUMMYFUNCTION("GOOGLETRANSLATE(B409,""en"",""pt"")"),"Pokémon de abelha minúscula")</f>
        <v>Pokémon de abelha minúscula</v>
      </c>
    </row>
    <row r="410" spans="1:6" ht="15.75" customHeight="1" x14ac:dyDescent="0.25">
      <c r="A410" s="2" t="s">
        <v>1376</v>
      </c>
      <c r="B410" s="2" t="s">
        <v>1377</v>
      </c>
      <c r="C410" s="2" t="s">
        <v>1378</v>
      </c>
      <c r="D410" s="2" t="s">
        <v>1379</v>
      </c>
      <c r="E410" s="2" t="str">
        <f ca="1">IFERROR(__xludf.DUMMYFUNCTION("GOOGLETRANSLATE(D410,""en"",""pt"")"),"Vespiquen é um Pokémon do tipo bug/voador introduzido na geração 4. É conhecido como Pokémon da colméia.")</f>
        <v>Vespiquen é um Pokémon do tipo bug/voador introduzido na geração 4. É conhecido como Pokémon da colméia.</v>
      </c>
      <c r="F410" s="2" t="str">
        <f ca="1">IFERROR(__xludf.DUMMYFUNCTION("GOOGLETRANSLATE(B410,""en"",""pt"")"),"Pokémon de colméia")</f>
        <v>Pokémon de colméia</v>
      </c>
    </row>
    <row r="411" spans="1:6" ht="15.75" customHeight="1" x14ac:dyDescent="0.25">
      <c r="A411" s="2" t="s">
        <v>1380</v>
      </c>
      <c r="B411" s="2" t="s">
        <v>1381</v>
      </c>
      <c r="C411" s="2" t="s">
        <v>1382</v>
      </c>
      <c r="D411" s="2" t="s">
        <v>1383</v>
      </c>
      <c r="E411" s="2" t="str">
        <f ca="1">IFERROR(__xludf.DUMMYFUNCTION("GOOGLETRANSLATE(D411,""en"",""pt"")"),"Pachirisu é um Pokémon do tipo elétrico introduzido na geração 4. É conhecido como Pokémon Elesquirrel.")</f>
        <v>Pachirisu é um Pokémon do tipo elétrico introduzido na geração 4. É conhecido como Pokémon Elesquirrel.</v>
      </c>
      <c r="F411" s="2" t="str">
        <f ca="1">IFERROR(__xludf.DUMMYFUNCTION("GOOGLETRANSLATE(B411,""en"",""pt"")"),"ELESQUIRREL POKÉMON")</f>
        <v>ELESQUIRREL POKÉMON</v>
      </c>
    </row>
    <row r="412" spans="1:6" ht="15.75" customHeight="1" x14ac:dyDescent="0.25">
      <c r="A412" s="2" t="s">
        <v>1384</v>
      </c>
      <c r="B412" s="2" t="s">
        <v>1385</v>
      </c>
      <c r="C412" s="2" t="s">
        <v>1386</v>
      </c>
      <c r="D412" s="2" t="s">
        <v>1387</v>
      </c>
      <c r="E412" s="2" t="str">
        <f ca="1">IFERROR(__xludf.DUMMYFUNCTION("GOOGLETRANSLATE(D412,""en"",""pt"")"),"Buizel é um Pokémon do tipo água introduzido na geração 4. É conhecido como Pokémon do Sea Weasel.")</f>
        <v>Buizel é um Pokémon do tipo água introduzido na geração 4. É conhecido como Pokémon do Sea Weasel.</v>
      </c>
      <c r="F412" s="2" t="str">
        <f ca="1">IFERROR(__xludf.DUMMYFUNCTION("GOOGLETRANSLATE(B412,""en"",""pt"")"),"Pokémon de doninha -do -mar")</f>
        <v>Pokémon de doninha -do -mar</v>
      </c>
    </row>
    <row r="413" spans="1:6" ht="15.75" customHeight="1" x14ac:dyDescent="0.25">
      <c r="A413" s="2" t="s">
        <v>1388</v>
      </c>
      <c r="B413" s="2" t="s">
        <v>1385</v>
      </c>
      <c r="C413" s="2" t="s">
        <v>1389</v>
      </c>
      <c r="D413" s="2" t="s">
        <v>1390</v>
      </c>
      <c r="E413" s="2" t="str">
        <f ca="1">IFERROR(__xludf.DUMMYFUNCTION("GOOGLETRANSLATE(D413,""en"",""pt"")"),"O Floatzel é um Pokémon do tipo água introduzido na geração 4. É conhecido como Pokémon do Sea Weasel.")</f>
        <v>O Floatzel é um Pokémon do tipo água introduzido na geração 4. É conhecido como Pokémon do Sea Weasel.</v>
      </c>
      <c r="F413" s="2" t="str">
        <f ca="1">IFERROR(__xludf.DUMMYFUNCTION("GOOGLETRANSLATE(B413,""en"",""pt"")"),"Pokémon de doninha -do -mar")</f>
        <v>Pokémon de doninha -do -mar</v>
      </c>
    </row>
    <row r="414" spans="1:6" ht="15.75" customHeight="1" x14ac:dyDescent="0.25">
      <c r="A414" s="2" t="s">
        <v>1391</v>
      </c>
      <c r="B414" s="2" t="s">
        <v>304</v>
      </c>
      <c r="C414" s="2" t="s">
        <v>1392</v>
      </c>
      <c r="D414" s="2" t="s">
        <v>1393</v>
      </c>
      <c r="E414" s="2" t="str">
        <f ca="1">IFERROR(__xludf.DUMMYFUNCTION("GOOGLETRANSLATE(D414,""en"",""pt"")"),"Golbat é um Pokémon Poison/Flying Type introduzido na geração 1. É conhecido como Pokémon Bat.")</f>
        <v>Golbat é um Pokémon Poison/Flying Type introduzido na geração 1. É conhecido como Pokémon Bat.</v>
      </c>
      <c r="F414" s="2" t="str">
        <f ca="1">IFERROR(__xludf.DUMMYFUNCTION("GOOGLETRANSLATE(B414,""en"",""pt"")"),"Pokémon de morcego")</f>
        <v>Pokémon de morcego</v>
      </c>
    </row>
    <row r="415" spans="1:6" ht="15.75" customHeight="1" x14ac:dyDescent="0.25">
      <c r="A415" s="2" t="s">
        <v>1394</v>
      </c>
      <c r="B415" s="2" t="s">
        <v>1395</v>
      </c>
      <c r="C415" s="2" t="s">
        <v>1396</v>
      </c>
      <c r="D415" s="2" t="s">
        <v>1397</v>
      </c>
      <c r="E415" s="2" t="str">
        <f ca="1">IFERROR(__xludf.DUMMYFUNCTION("GOOGLETRANSLATE(D415,""en"",""pt"")"),"Cherubi é um Pokémon do tipo grama introduzido na geração 4. É conhecido como Pokémon Cherry.")</f>
        <v>Cherubi é um Pokémon do tipo grama introduzido na geração 4. É conhecido como Pokémon Cherry.</v>
      </c>
      <c r="F415" s="2" t="str">
        <f ca="1">IFERROR(__xludf.DUMMYFUNCTION("GOOGLETRANSLATE(B415,""en"",""pt"")"),"Pokémon de cereja")</f>
        <v>Pokémon de cereja</v>
      </c>
    </row>
    <row r="416" spans="1:6" ht="15.75" customHeight="1" x14ac:dyDescent="0.25">
      <c r="A416" s="2" t="s">
        <v>1398</v>
      </c>
      <c r="B416" s="2" t="s">
        <v>1399</v>
      </c>
      <c r="C416" s="2" t="s">
        <v>1400</v>
      </c>
      <c r="D416" s="2" t="s">
        <v>1401</v>
      </c>
      <c r="E416" s="2" t="str">
        <f ca="1">IFERROR(__xludf.DUMMYFUNCTION("GOOGLETRANSLATE(D416,""en"",""pt"")"),"Cherrim é um Pokémon do tipo grama introduzido na geração 4. É conhecido como Pokémon da flor.")</f>
        <v>Cherrim é um Pokémon do tipo grama introduzido na geração 4. É conhecido como Pokémon da flor.</v>
      </c>
      <c r="F416" s="2" t="str">
        <f ca="1">IFERROR(__xludf.DUMMYFUNCTION("GOOGLETRANSLATE(B416,""en"",""pt"")"),"Blossom Pokémon")</f>
        <v>Blossom Pokémon</v>
      </c>
    </row>
    <row r="417" spans="1:6" ht="15.75" customHeight="1" x14ac:dyDescent="0.25">
      <c r="A417" s="2" t="s">
        <v>1402</v>
      </c>
      <c r="B417" s="2" t="s">
        <v>1403</v>
      </c>
      <c r="C417" s="2" t="s">
        <v>1404</v>
      </c>
      <c r="D417" s="2" t="s">
        <v>1405</v>
      </c>
      <c r="E417" s="2" t="str">
        <f ca="1">IFERROR(__xludf.DUMMYFUNCTION("GOOGLETRANSLATE(D417,""en"",""pt"")"),"Shellos é um Pokémon do tipo água introduzido na geração 4. É conhecido como Pokémon Slug Sea.")</f>
        <v>Shellos é um Pokémon do tipo água introduzido na geração 4. É conhecido como Pokémon Slug Sea.</v>
      </c>
      <c r="F417" s="2" t="str">
        <f ca="1">IFERROR(__xludf.DUMMYFUNCTION("GOOGLETRANSLATE(B417,""en"",""pt"")"),"Pokémon de lesma do mar")</f>
        <v>Pokémon de lesma do mar</v>
      </c>
    </row>
    <row r="418" spans="1:6" ht="15.75" customHeight="1" x14ac:dyDescent="0.25">
      <c r="A418" s="2" t="s">
        <v>1406</v>
      </c>
      <c r="B418" s="2" t="s">
        <v>1403</v>
      </c>
      <c r="C418" s="2" t="s">
        <v>1407</v>
      </c>
      <c r="D418" s="2" t="s">
        <v>1408</v>
      </c>
      <c r="E418" s="2" t="str">
        <f ca="1">IFERROR(__xludf.DUMMYFUNCTION("GOOGLETRANSLATE(D418,""en"",""pt"")"),"Gastrodon é um Pokémon do tipo água/terra introduzido na geração 4. É conhecido como Pokémon Slug Sea.")</f>
        <v>Gastrodon é um Pokémon do tipo água/terra introduzido na geração 4. É conhecido como Pokémon Slug Sea.</v>
      </c>
      <c r="F418" s="2" t="str">
        <f ca="1">IFERROR(__xludf.DUMMYFUNCTION("GOOGLETRANSLATE(B418,""en"",""pt"")"),"Pokémon de lesma do mar")</f>
        <v>Pokémon de lesma do mar</v>
      </c>
    </row>
    <row r="419" spans="1:6" ht="15.75" customHeight="1" x14ac:dyDescent="0.25">
      <c r="A419" s="2" t="s">
        <v>1409</v>
      </c>
      <c r="B419" s="2" t="s">
        <v>396</v>
      </c>
      <c r="C419" s="2" t="s">
        <v>1410</v>
      </c>
      <c r="D419" s="2" t="s">
        <v>1411</v>
      </c>
      <c r="E419" s="2" t="str">
        <f ca="1">IFERROR(__xludf.DUMMYFUNCTION("GOOGLETRANSLATE(D419,""en"",""pt"")"),"Ambipom é um Pokémon do tipo normal introduzido na geração 4. É conhecido como Pokémon de cauda longa.")</f>
        <v>Ambipom é um Pokémon do tipo normal introduzido na geração 4. É conhecido como Pokémon de cauda longa.</v>
      </c>
      <c r="F419" s="2" t="str">
        <f ca="1">IFERROR(__xludf.DUMMYFUNCTION("GOOGLETRANSLATE(B419,""en"",""pt"")"),"Pokémon de cauda longa")</f>
        <v>Pokémon de cauda longa</v>
      </c>
    </row>
    <row r="420" spans="1:6" ht="15.75" customHeight="1" x14ac:dyDescent="0.25">
      <c r="A420" s="2" t="s">
        <v>1412</v>
      </c>
      <c r="B420" s="2" t="s">
        <v>327</v>
      </c>
      <c r="C420" s="2" t="s">
        <v>1413</v>
      </c>
      <c r="D420" s="2" t="s">
        <v>1414</v>
      </c>
      <c r="E420" s="2" t="str">
        <f ca="1">IFERROR(__xludf.DUMMYFUNCTION("GOOGLETRANSLATE(D420,""en"",""pt"")"),"Drifloon é um Pokémon Ghost/Flying Type introduzido na geração 4. É conhecido como Pokémon Balloon.")</f>
        <v>Drifloon é um Pokémon Ghost/Flying Type introduzido na geração 4. É conhecido como Pokémon Balloon.</v>
      </c>
      <c r="F420" s="2" t="str">
        <f ca="1">IFERROR(__xludf.DUMMYFUNCTION("GOOGLETRANSLATE(B420,""en"",""pt"")"),"Pokémon de balão")</f>
        <v>Pokémon de balão</v>
      </c>
    </row>
    <row r="421" spans="1:6" ht="15.75" customHeight="1" x14ac:dyDescent="0.25">
      <c r="A421" s="2" t="s">
        <v>1415</v>
      </c>
      <c r="B421" s="2" t="s">
        <v>1416</v>
      </c>
      <c r="C421" s="2" t="s">
        <v>1417</v>
      </c>
      <c r="D421" s="2" t="s">
        <v>1418</v>
      </c>
      <c r="E421" s="2" t="str">
        <f ca="1">IFERROR(__xludf.DUMMYFUNCTION("GOOGLETRANSLATE(D421,""en"",""pt"")"),"Drifblim é um Pokémon Ghost/Flying Type introduzido na geração 4. É conhecido como Pokémon do Blimp.")</f>
        <v>Drifblim é um Pokémon Ghost/Flying Type introduzido na geração 4. É conhecido como Pokémon do Blimp.</v>
      </c>
      <c r="F421" s="2" t="str">
        <f ca="1">IFERROR(__xludf.DUMMYFUNCTION("GOOGLETRANSLATE(B421,""en"",""pt"")"),"Pokémon do dirigível")</f>
        <v>Pokémon do dirigível</v>
      </c>
    </row>
    <row r="422" spans="1:6" ht="15.75" customHeight="1" x14ac:dyDescent="0.25">
      <c r="A422" s="2" t="s">
        <v>1419</v>
      </c>
      <c r="B422" s="2" t="s">
        <v>1420</v>
      </c>
      <c r="C422" s="2" t="s">
        <v>1421</v>
      </c>
      <c r="D422" s="2" t="s">
        <v>1422</v>
      </c>
      <c r="E422" s="2" t="str">
        <f ca="1">IFERROR(__xludf.DUMMYFUNCTION("GOOGLETRANSLATE(D422,""en"",""pt"")"),"Buneary é um Pokémon do tipo normal introduzido na geração 4. É conhecido como Pokémon de coelho.")</f>
        <v>Buneary é um Pokémon do tipo normal introduzido na geração 4. É conhecido como Pokémon de coelho.</v>
      </c>
      <c r="F422" s="2" t="str">
        <f ca="1">IFERROR(__xludf.DUMMYFUNCTION("GOOGLETRANSLATE(B422,""en"",""pt"")"),"Pokémon de coelho")</f>
        <v>Pokémon de coelho</v>
      </c>
    </row>
    <row r="423" spans="1:6" ht="15.75" customHeight="1" x14ac:dyDescent="0.25">
      <c r="A423" s="2" t="s">
        <v>1423</v>
      </c>
      <c r="B423" s="2" t="s">
        <v>1420</v>
      </c>
      <c r="C423" s="2" t="s">
        <v>1424</v>
      </c>
      <c r="D423" s="2" t="s">
        <v>1425</v>
      </c>
      <c r="E423" s="2" t="str">
        <f ca="1">IFERROR(__xludf.DUMMYFUNCTION("GOOGLETRANSLATE(D423,""en"",""pt"")"),"Lopunny é um Pokémon do tipo normal introduzido na geração 4. É conhecido como Pokémon de coelho.
Lopunny tem uma mega evolução, disponível na Omega Ruby &amp; Alpha Sapphire.")</f>
        <v>Lopunny é um Pokémon do tipo normal introduzido na geração 4. É conhecido como Pokémon de coelho.
Lopunny tem uma mega evolução, disponível na Omega Ruby &amp; Alpha Sapphire.</v>
      </c>
      <c r="F423" s="2" t="str">
        <f ca="1">IFERROR(__xludf.DUMMYFUNCTION("GOOGLETRANSLATE(B423,""en"",""pt"")"),"Pokémon de coelho")</f>
        <v>Pokémon de coelho</v>
      </c>
    </row>
    <row r="424" spans="1:6" ht="15.75" customHeight="1" x14ac:dyDescent="0.25">
      <c r="A424" s="2" t="s">
        <v>1423</v>
      </c>
      <c r="B424" s="2" t="s">
        <v>1420</v>
      </c>
      <c r="C424" s="2" t="s">
        <v>1426</v>
      </c>
      <c r="D424" s="2" t="s">
        <v>1425</v>
      </c>
      <c r="E424" s="2" t="str">
        <f ca="1">IFERROR(__xludf.DUMMYFUNCTION("GOOGLETRANSLATE(D424,""en"",""pt"")"),"Lopunny é um Pokémon do tipo normal introduzido na geração 4. É conhecido como Pokémon de coelho.
Lopunny tem uma mega evolução, disponível na Omega Ruby &amp; Alpha Sapphire.")</f>
        <v>Lopunny é um Pokémon do tipo normal introduzido na geração 4. É conhecido como Pokémon de coelho.
Lopunny tem uma mega evolução, disponível na Omega Ruby &amp; Alpha Sapphire.</v>
      </c>
      <c r="F424" s="2" t="str">
        <f ca="1">IFERROR(__xludf.DUMMYFUNCTION("GOOGLETRANSLATE(B424,""en"",""pt"")"),"Pokémon de coelho")</f>
        <v>Pokémon de coelho</v>
      </c>
    </row>
    <row r="425" spans="1:6" ht="15.75" customHeight="1" x14ac:dyDescent="0.25">
      <c r="A425" s="2" t="s">
        <v>1427</v>
      </c>
      <c r="B425" s="2" t="s">
        <v>1428</v>
      </c>
      <c r="C425" s="2" t="s">
        <v>1429</v>
      </c>
      <c r="D425" s="2" t="s">
        <v>1430</v>
      </c>
      <c r="E425" s="2" t="str">
        <f ca="1">IFERROR(__xludf.DUMMYFUNCTION("GOOGLETRANSLATE(D425,""en"",""pt"")"),"Mismagius é um Pokémon do tipo fantasma introduzido na geração 4. É conhecido como Pokémon Mágico.")</f>
        <v>Mismagius é um Pokémon do tipo fantasma introduzido na geração 4. É conhecido como Pokémon Mágico.</v>
      </c>
      <c r="F425" s="2" t="str">
        <f ca="1">IFERROR(__xludf.DUMMYFUNCTION("GOOGLETRANSLATE(B425,""en"",""pt"")"),"Pokémon mágico")</f>
        <v>Pokémon mágico</v>
      </c>
    </row>
    <row r="426" spans="1:6" ht="15.75" customHeight="1" x14ac:dyDescent="0.25">
      <c r="A426" s="2" t="s">
        <v>1431</v>
      </c>
      <c r="B426" s="2" t="s">
        <v>1432</v>
      </c>
      <c r="C426" s="2" t="s">
        <v>1433</v>
      </c>
      <c r="D426" s="2" t="s">
        <v>1434</v>
      </c>
      <c r="E426" s="2" t="str">
        <f ca="1">IFERROR(__xludf.DUMMYFUNCTION("GOOGLETRANSLATE(D426,""en"",""pt"")"),"Oddish é um Pokémon do tipo grama/veneno introduzido na geração 1. É conhecido como Pokémon de ervas daninhas.")</f>
        <v>Oddish é um Pokémon do tipo grama/veneno introduzido na geração 1. É conhecido como Pokémon de ervas daninhas.</v>
      </c>
      <c r="F426" s="2" t="str">
        <f ca="1">IFERROR(__xludf.DUMMYFUNCTION("GOOGLETRANSLATE(B426,""en"",""pt"")"),"Pokémon de ervas daninhas")</f>
        <v>Pokémon de ervas daninhas</v>
      </c>
    </row>
    <row r="427" spans="1:6" ht="15.75" customHeight="1" x14ac:dyDescent="0.25">
      <c r="A427" s="2" t="s">
        <v>1435</v>
      </c>
      <c r="B427" s="2" t="s">
        <v>1436</v>
      </c>
      <c r="C427" s="2" t="s">
        <v>1437</v>
      </c>
      <c r="D427" s="2" t="s">
        <v>1438</v>
      </c>
      <c r="E427" s="2" t="str">
        <f ca="1">IFERROR(__xludf.DUMMYFUNCTION("GOOGLETRANSLATE(D427,""en"",""pt"")"),"HONCHKROW é um Pokémon do tipo escuro/voador introduzido na geração 4. É conhecido como o Pokémon Big Boss.")</f>
        <v>HONCHKROW é um Pokémon do tipo escuro/voador introduzido na geração 4. É conhecido como o Pokémon Big Boss.</v>
      </c>
      <c r="F427" s="2" t="str">
        <f ca="1">IFERROR(__xludf.DUMMYFUNCTION("GOOGLETRANSLATE(B427,""en"",""pt"")"),"Big Boss Pokémon")</f>
        <v>Big Boss Pokémon</v>
      </c>
    </row>
    <row r="428" spans="1:6" ht="15.75" customHeight="1" x14ac:dyDescent="0.25">
      <c r="A428" s="2" t="s">
        <v>1439</v>
      </c>
      <c r="B428" s="2" t="s">
        <v>1440</v>
      </c>
      <c r="C428" s="2" t="s">
        <v>1441</v>
      </c>
      <c r="D428" s="2" t="s">
        <v>1442</v>
      </c>
      <c r="E428" s="2" t="str">
        <f ca="1">IFERROR(__xludf.DUMMYFUNCTION("GOOGLETRANSLATE(D428,""en"",""pt"")"),"Glameow é um Pokémon do tipo normal introduzido na geração 4. É conhecido como Pokémon Catty.")</f>
        <v>Glameow é um Pokémon do tipo normal introduzido na geração 4. É conhecido como Pokémon Catty.</v>
      </c>
      <c r="F428" s="2" t="str">
        <f ca="1">IFERROR(__xludf.DUMMYFUNCTION("GOOGLETRANSLATE(B428,""en"",""pt"")"),"Pokémon Catty")</f>
        <v>Pokémon Catty</v>
      </c>
    </row>
    <row r="429" spans="1:6" ht="15.75" customHeight="1" x14ac:dyDescent="0.25">
      <c r="A429" s="2" t="s">
        <v>1443</v>
      </c>
      <c r="B429" s="2" t="s">
        <v>1444</v>
      </c>
      <c r="C429" s="2" t="s">
        <v>1445</v>
      </c>
      <c r="D429" s="2" t="s">
        <v>1446</v>
      </c>
      <c r="E429" s="2" t="str">
        <f ca="1">IFERROR(__xludf.DUMMYFUNCTION("GOOGLETRANSLATE(D429,""en"",""pt"")"),"O Purugly é um Pokémon do tipo normal introduzido na geração 4. É conhecido como Pokémon Tiger Cat.")</f>
        <v>O Purugly é um Pokémon do tipo normal introduzido na geração 4. É conhecido como Pokémon Tiger Cat.</v>
      </c>
      <c r="F429" s="2" t="str">
        <f ca="1">IFERROR(__xludf.DUMMYFUNCTION("GOOGLETRANSLATE(B429,""en"",""pt"")"),"Pokémon de gato tigre")</f>
        <v>Pokémon de gato tigre</v>
      </c>
    </row>
    <row r="430" spans="1:6" ht="15.75" customHeight="1" x14ac:dyDescent="0.25">
      <c r="A430" s="2" t="s">
        <v>1447</v>
      </c>
      <c r="B430" s="2" t="s">
        <v>1448</v>
      </c>
      <c r="C430" s="2" t="s">
        <v>1449</v>
      </c>
      <c r="D430" s="2" t="s">
        <v>1450</v>
      </c>
      <c r="E430" s="2" t="str">
        <f ca="1">IFERROR(__xludf.DUMMYFUNCTION("GOOGLETRANSLATE(D430,""en"",""pt"")"),"Chingling é um Pokémon do tipo psíquico introduzido na geração 4. É conhecido como Pokémon Bell.")</f>
        <v>Chingling é um Pokémon do tipo psíquico introduzido na geração 4. É conhecido como Pokémon Bell.</v>
      </c>
      <c r="F430" s="2" t="str">
        <f ca="1">IFERROR(__xludf.DUMMYFUNCTION("GOOGLETRANSLATE(B430,""en"",""pt"")"),"Bell Pokémon")</f>
        <v>Bell Pokémon</v>
      </c>
    </row>
    <row r="431" spans="1:6" ht="15.75" customHeight="1" x14ac:dyDescent="0.25">
      <c r="A431" s="2" t="s">
        <v>1451</v>
      </c>
      <c r="B431" s="2" t="s">
        <v>1452</v>
      </c>
      <c r="C431" s="2" t="s">
        <v>1453</v>
      </c>
      <c r="D431" s="2" t="s">
        <v>1454</v>
      </c>
      <c r="E431" s="2" t="str">
        <f ca="1">IFERROR(__xludf.DUMMYFUNCTION("GOOGLETRANSLATE(D431,""en"",""pt"")"),"Fotkyy é um Pokémon Poison/Dark -Type introduzido na geração 4. É conhecido como Pokémon Skunk.")</f>
        <v>Fotkyy é um Pokémon Poison/Dark -Type introduzido na geração 4. É conhecido como Pokémon Skunk.</v>
      </c>
      <c r="F431" s="2" t="str">
        <f ca="1">IFERROR(__xludf.DUMMYFUNCTION("GOOGLETRANSLATE(B431,""en"",""pt"")"),"Pokémon de gambá")</f>
        <v>Pokémon de gambá</v>
      </c>
    </row>
    <row r="432" spans="1:6" ht="15.75" customHeight="1" x14ac:dyDescent="0.25">
      <c r="A432" s="2" t="s">
        <v>1455</v>
      </c>
      <c r="B432" s="2" t="s">
        <v>1452</v>
      </c>
      <c r="C432" s="2" t="s">
        <v>1456</v>
      </c>
      <c r="D432" s="2" t="s">
        <v>1457</v>
      </c>
      <c r="E432" s="2" t="str">
        <f ca="1">IFERROR(__xludf.DUMMYFUNCTION("GOOGLETRANSLATE(D432,""en"",""pt"")"),"Skuntank é um Pokémon Poison/Dark Type Introduzido na Geração 4. É conhecido como Pokémon Skunk.")</f>
        <v>Skuntank é um Pokémon Poison/Dark Type Introduzido na Geração 4. É conhecido como Pokémon Skunk.</v>
      </c>
      <c r="F432" s="2" t="str">
        <f ca="1">IFERROR(__xludf.DUMMYFUNCTION("GOOGLETRANSLATE(B432,""en"",""pt"")"),"Pokémon de gambá")</f>
        <v>Pokémon de gambá</v>
      </c>
    </row>
    <row r="433" spans="1:6" ht="15.75" customHeight="1" x14ac:dyDescent="0.25">
      <c r="A433" s="2" t="s">
        <v>1458</v>
      </c>
      <c r="B433" s="2" t="s">
        <v>1459</v>
      </c>
      <c r="C433" s="2" t="s">
        <v>1460</v>
      </c>
      <c r="D433" s="2" t="s">
        <v>1461</v>
      </c>
      <c r="E433" s="2" t="str">
        <f ca="1">IFERROR(__xludf.DUMMYFUNCTION("GOOGLETRANSLATE(D433,""en"",""pt"")"),"O Bronzor é um Pokémon do tipo aço/psíquico introduzido na geração 4. É conhecido como Pokémon de Bronze.")</f>
        <v>O Bronzor é um Pokémon do tipo aço/psíquico introduzido na geração 4. É conhecido como Pokémon de Bronze.</v>
      </c>
      <c r="F433" s="2" t="str">
        <f ca="1">IFERROR(__xludf.DUMMYFUNCTION("GOOGLETRANSLATE(B433,""en"",""pt"")"),"Pokémon de bronze")</f>
        <v>Pokémon de bronze</v>
      </c>
    </row>
    <row r="434" spans="1:6" ht="15.75" customHeight="1" x14ac:dyDescent="0.25">
      <c r="A434" s="2" t="s">
        <v>1462</v>
      </c>
      <c r="B434" s="2" t="s">
        <v>1463</v>
      </c>
      <c r="C434" s="2" t="s">
        <v>1464</v>
      </c>
      <c r="D434" s="2" t="s">
        <v>1465</v>
      </c>
      <c r="E434" s="2" t="str">
        <f ca="1">IFERROR(__xludf.DUMMYFUNCTION("GOOGLETRANSLATE(D434,""en"",""pt"")"),"Bronzong é um Pokémon do tipo aço/psíquico introduzido na geração 4. É conhecido como Pokémon Bell Bronze.")</f>
        <v>Bronzong é um Pokémon do tipo aço/psíquico introduzido na geração 4. É conhecido como Pokémon Bell Bronze.</v>
      </c>
      <c r="F434" s="2" t="str">
        <f ca="1">IFERROR(__xludf.DUMMYFUNCTION("GOOGLETRANSLATE(B434,""en"",""pt"")"),"Pokémon de broto de bronze")</f>
        <v>Pokémon de broto de bronze</v>
      </c>
    </row>
    <row r="435" spans="1:6" ht="15.75" customHeight="1" x14ac:dyDescent="0.25">
      <c r="A435" s="2" t="s">
        <v>1466</v>
      </c>
      <c r="B435" s="2" t="s">
        <v>1467</v>
      </c>
      <c r="C435" s="2" t="s">
        <v>1468</v>
      </c>
      <c r="D435" s="2" t="s">
        <v>1469</v>
      </c>
      <c r="E435" s="2" t="str">
        <f ca="1">IFERROR(__xludf.DUMMYFUNCTION("GOOGLETRANSLATE(D435,""en"",""pt"")"),"Bonsly é um Pokémon do tipo rock introduzido na geração 4. É conhecido como Pokémon Bonsai.")</f>
        <v>Bonsly é um Pokémon do tipo rock introduzido na geração 4. É conhecido como Pokémon Bonsai.</v>
      </c>
      <c r="F435" s="2" t="str">
        <f ca="1">IFERROR(__xludf.DUMMYFUNCTION("GOOGLETRANSLATE(B435,""en"",""pt"")"),"Pokémon de Bonsai")</f>
        <v>Pokémon de Bonsai</v>
      </c>
    </row>
    <row r="436" spans="1:6" ht="15.75" customHeight="1" x14ac:dyDescent="0.25">
      <c r="A436" s="2" t="s">
        <v>1470</v>
      </c>
      <c r="B436" s="2" t="s">
        <v>1471</v>
      </c>
      <c r="C436" s="2" t="s">
        <v>1472</v>
      </c>
      <c r="D436" s="2" t="s">
        <v>1473</v>
      </c>
      <c r="E436" s="2" t="str">
        <f ca="1">IFERROR(__xludf.DUMMYFUNCTION("GOOGLETRANSLATE(D436,""en"",""pt"")"),"Mime Jr. é um Pokémon Psychic/Fairy, introduzido na geração 4. É conhecido como Mime Pokémon.")</f>
        <v>Mime Jr. é um Pokémon Psychic/Fairy, introduzido na geração 4. É conhecido como Mime Pokémon.</v>
      </c>
      <c r="F436" s="2" t="str">
        <f ca="1">IFERROR(__xludf.DUMMYFUNCTION("GOOGLETRANSLATE(B436,""en"",""pt"")"),"Pokémon MIME")</f>
        <v>Pokémon MIME</v>
      </c>
    </row>
    <row r="437" spans="1:6" ht="15.75" customHeight="1" x14ac:dyDescent="0.25">
      <c r="A437" s="2" t="s">
        <v>1474</v>
      </c>
      <c r="B437" s="2" t="s">
        <v>1432</v>
      </c>
      <c r="C437" s="2" t="s">
        <v>1475</v>
      </c>
      <c r="D437" s="2" t="s">
        <v>1476</v>
      </c>
      <c r="E437" s="2" t="str">
        <f ca="1">IFERROR(__xludf.DUMMYFUNCTION("GOOGLETRANSLATE(D437,""en"",""pt"")"),"A melancolia é um Pokémon do tipo grama/veneno introduzido na geração 1. É conhecido como Pokémon de ervas daninhas.")</f>
        <v>A melancolia é um Pokémon do tipo grama/veneno introduzido na geração 1. É conhecido como Pokémon de ervas daninhas.</v>
      </c>
      <c r="F437" s="2" t="str">
        <f ca="1">IFERROR(__xludf.DUMMYFUNCTION("GOOGLETRANSLATE(B437,""en"",""pt"")"),"Pokémon de ervas daninhas")</f>
        <v>Pokémon de ervas daninhas</v>
      </c>
    </row>
    <row r="438" spans="1:6" ht="15.75" customHeight="1" x14ac:dyDescent="0.25">
      <c r="A438" s="2" t="s">
        <v>1477</v>
      </c>
      <c r="B438" s="2" t="s">
        <v>1478</v>
      </c>
      <c r="C438" s="2" t="s">
        <v>1479</v>
      </c>
      <c r="D438" s="2" t="s">
        <v>1480</v>
      </c>
      <c r="E438" s="2" t="str">
        <f ca="1">IFERROR(__xludf.DUMMYFUNCTION("GOOGLETRANSLATE(D438,""en"",""pt"")"),"Happiny é um Pokémon do tipo normal introduzido na geração 4. É conhecido como Payhouse Pokémon.")</f>
        <v>Happiny é um Pokémon do tipo normal introduzido na geração 4. É conhecido como Payhouse Pokémon.</v>
      </c>
      <c r="F438" s="2" t="str">
        <f ca="1">IFERROR(__xludf.DUMMYFUNCTION("GOOGLETRANSLATE(B438,""en"",""pt"")"),"Pokhoumon Playhouse")</f>
        <v>Pokhoumon Playhouse</v>
      </c>
    </row>
    <row r="439" spans="1:6" ht="15.75" customHeight="1" x14ac:dyDescent="0.25">
      <c r="A439" s="2" t="s">
        <v>1481</v>
      </c>
      <c r="B439" s="2" t="s">
        <v>1482</v>
      </c>
      <c r="C439" s="2" t="s">
        <v>1483</v>
      </c>
      <c r="D439" s="2" t="s">
        <v>1484</v>
      </c>
      <c r="E439" s="2" t="str">
        <f ca="1">IFERROR(__xludf.DUMMYFUNCTION("GOOGLETRANSLATE(D439,""en"",""pt"")"),"Chatot é um Pokémon normal/voador introduzido na geração 4. É conhecido como Pokémon da Nota Music.")</f>
        <v>Chatot é um Pokémon normal/voador introduzido na geração 4. É conhecido como Pokémon da Nota Music.</v>
      </c>
      <c r="F439" s="2" t="str">
        <f ca="1">IFERROR(__xludf.DUMMYFUNCTION("GOOGLETRANSLATE(B439,""en"",""pt"")"),"Nota de música Pokémon")</f>
        <v>Nota de música Pokémon</v>
      </c>
    </row>
    <row r="440" spans="1:6" ht="15.75" customHeight="1" x14ac:dyDescent="0.25">
      <c r="A440" s="2" t="s">
        <v>1485</v>
      </c>
      <c r="B440" s="2" t="s">
        <v>1486</v>
      </c>
      <c r="C440" s="2" t="s">
        <v>1487</v>
      </c>
      <c r="D440" s="2" t="s">
        <v>1488</v>
      </c>
      <c r="E440" s="2" t="str">
        <f ca="1">IFERROR(__xludf.DUMMYFUNCTION("GOOGLETRANSLATE(D440,""en"",""pt"")"),"Spiritomb é um Pokémon Ghost/Dark Type Introduzido na Geração 4. É conhecido como Pokémon Proibido.")</f>
        <v>Spiritomb é um Pokémon Ghost/Dark Type Introduzido na Geração 4. É conhecido como Pokémon Proibido.</v>
      </c>
      <c r="F440" s="2" t="str">
        <f ca="1">IFERROR(__xludf.DUMMYFUNCTION("GOOGLETRANSLATE(B440,""en"",""pt"")"),"Pokémon proibido")</f>
        <v>Pokémon proibido</v>
      </c>
    </row>
    <row r="441" spans="1:6" ht="15.75" customHeight="1" x14ac:dyDescent="0.25">
      <c r="A441" s="2" t="s">
        <v>1489</v>
      </c>
      <c r="B441" s="2" t="s">
        <v>1490</v>
      </c>
      <c r="C441" s="2" t="s">
        <v>1491</v>
      </c>
      <c r="D441" s="2" t="s">
        <v>1492</v>
      </c>
      <c r="E441" s="2" t="str">
        <f ca="1">IFERROR(__xludf.DUMMYFUNCTION("GOOGLETRANSLATE(D441,""en"",""pt"")"),"A Gible é um Pokémon do tipo dragão/terra introduzido na geração 4. É conhecido como Pokémon de tubarão terrestre.")</f>
        <v>A Gible é um Pokémon do tipo dragão/terra introduzido na geração 4. É conhecido como Pokémon de tubarão terrestre.</v>
      </c>
      <c r="F441" s="2" t="str">
        <f ca="1">IFERROR(__xludf.DUMMYFUNCTION("GOOGLETRANSLATE(B441,""en"",""pt"")"),"Pokémon de tubarão terrestre")</f>
        <v>Pokémon de tubarão terrestre</v>
      </c>
    </row>
    <row r="442" spans="1:6" ht="15.75" customHeight="1" x14ac:dyDescent="0.25">
      <c r="A442" s="2" t="s">
        <v>1493</v>
      </c>
      <c r="B442" s="2" t="s">
        <v>1494</v>
      </c>
      <c r="C442" s="2" t="s">
        <v>1495</v>
      </c>
      <c r="D442" s="2" t="s">
        <v>1496</v>
      </c>
      <c r="E442" s="2" t="str">
        <f ca="1">IFERROR(__xludf.DUMMYFUNCTION("GOOGLETRANSLATE(D442,""en"",""pt"")"),"Gabite é um Pokémon do tipo dragão/terra introduzido na geração 4. É conhecido como Pokémon da caverna.")</f>
        <v>Gabite é um Pokémon do tipo dragão/terra introduzido na geração 4. É conhecido como Pokémon da caverna.</v>
      </c>
      <c r="F442" s="2" t="str">
        <f ca="1">IFERROR(__xludf.DUMMYFUNCTION("GOOGLETRANSLATE(B442,""en"",""pt"")"),"Pokémon da caverna")</f>
        <v>Pokémon da caverna</v>
      </c>
    </row>
    <row r="443" spans="1:6" ht="15.75" customHeight="1" x14ac:dyDescent="0.25">
      <c r="A443" s="2" t="s">
        <v>1497</v>
      </c>
      <c r="B443" s="2" t="s">
        <v>1498</v>
      </c>
      <c r="C443" s="2" t="s">
        <v>1499</v>
      </c>
      <c r="D443" s="2" t="s">
        <v>1500</v>
      </c>
      <c r="E443" s="2" t="str">
        <f ca="1">IFERROR(__xludf.DUMMYFUNCTION("GOOGLETRANSLATE(D443,""en"",""pt"")"),"Garchomp é um Pokémon do tipo dragão/terra introduzido na geração 4. É conhecido como Mach Pokémon.
Garchomp tem uma mega evolução, disponível a partir de X&amp;Y.")</f>
        <v>Garchomp é um Pokémon do tipo dragão/terra introduzido na geração 4. É conhecido como Mach Pokémon.
Garchomp tem uma mega evolução, disponível a partir de X&amp;Y.</v>
      </c>
      <c r="F443" s="2" t="str">
        <f ca="1">IFERROR(__xludf.DUMMYFUNCTION("GOOGLETRANSLATE(B443,""en"",""pt"")"),"Mach Pokémon")</f>
        <v>Mach Pokémon</v>
      </c>
    </row>
    <row r="444" spans="1:6" ht="15.75" customHeight="1" x14ac:dyDescent="0.25">
      <c r="A444" s="2" t="s">
        <v>1497</v>
      </c>
      <c r="B444" s="2" t="s">
        <v>1498</v>
      </c>
      <c r="C444" s="2" t="s">
        <v>1501</v>
      </c>
      <c r="D444" s="2" t="s">
        <v>1500</v>
      </c>
      <c r="E444" s="2" t="str">
        <f ca="1">IFERROR(__xludf.DUMMYFUNCTION("GOOGLETRANSLATE(D444,""en"",""pt"")"),"Garchomp é um Pokémon do tipo dragão/terra introduzido na geração 4. É conhecido como Mach Pokémon.
Garchomp tem uma mega evolução, disponível a partir de X&amp;Y.")</f>
        <v>Garchomp é um Pokémon do tipo dragão/terra introduzido na geração 4. É conhecido como Mach Pokémon.
Garchomp tem uma mega evolução, disponível a partir de X&amp;Y.</v>
      </c>
      <c r="F444" s="2" t="str">
        <f ca="1">IFERROR(__xludf.DUMMYFUNCTION("GOOGLETRANSLATE(B444,""en"",""pt"")"),"Mach Pokémon")</f>
        <v>Mach Pokémon</v>
      </c>
    </row>
    <row r="445" spans="1:6" ht="15.75" customHeight="1" x14ac:dyDescent="0.25">
      <c r="A445" s="2" t="s">
        <v>1502</v>
      </c>
      <c r="B445" s="2" t="s">
        <v>1503</v>
      </c>
      <c r="C445" s="2" t="s">
        <v>1504</v>
      </c>
      <c r="D445" s="2" t="s">
        <v>1505</v>
      </c>
      <c r="E445" s="2" t="str">
        <f ca="1">IFERROR(__xludf.DUMMYFUNCTION("GOOGLETRANSLATE(D445,""en"",""pt"")"),"Munchlax é um Pokémon do tipo normal introduzido na geração 4. É conhecido como Pokémon Big Eater.")</f>
        <v>Munchlax é um Pokémon do tipo normal introduzido na geração 4. É conhecido como Pokémon Big Eater.</v>
      </c>
      <c r="F445" s="2" t="str">
        <f ca="1">IFERROR(__xludf.DUMMYFUNCTION("GOOGLETRANSLATE(B445,""en"",""pt"")"),"Pokémon de grande comedor")</f>
        <v>Pokémon de grande comedor</v>
      </c>
    </row>
    <row r="446" spans="1:6" ht="15.75" customHeight="1" x14ac:dyDescent="0.25">
      <c r="A446" s="2" t="s">
        <v>1506</v>
      </c>
      <c r="B446" s="2" t="s">
        <v>1507</v>
      </c>
      <c r="C446" s="2" t="s">
        <v>1508</v>
      </c>
      <c r="D446" s="2" t="s">
        <v>1509</v>
      </c>
      <c r="E446" s="2" t="str">
        <f ca="1">IFERROR(__xludf.DUMMYFUNCTION("GOOGLETRANSLATE(D446,""en"",""pt"")"),"Riolu é um Pokémon do tipo de luta introduzido na geração 4. É conhecido como Pokémon emanação.")</f>
        <v>Riolu é um Pokémon do tipo de luta introduzido na geração 4. É conhecido como Pokémon emanação.</v>
      </c>
      <c r="F446" s="2" t="str">
        <f ca="1">IFERROR(__xludf.DUMMYFUNCTION("GOOGLETRANSLATE(B446,""en"",""pt"")"),"Pokémon emanation")</f>
        <v>Pokémon emanation</v>
      </c>
    </row>
    <row r="447" spans="1:6" ht="15.75" customHeight="1" x14ac:dyDescent="0.25">
      <c r="A447" s="2" t="s">
        <v>1510</v>
      </c>
      <c r="B447" s="2" t="s">
        <v>1511</v>
      </c>
      <c r="C447" s="2" t="s">
        <v>1512</v>
      </c>
      <c r="D447" s="2" t="s">
        <v>1513</v>
      </c>
      <c r="E447" s="2" t="str">
        <f ca="1">IFERROR(__xludf.DUMMYFUNCTION("GOOGLETRANSLATE(D447,""en"",""pt"")"),"O Lucario é um Pokémon de luta/aço introduzido na geração 4. É conhecido como Pokémon Aura.
Lucario tem uma mega evolução, disponível a partir de X&amp;Y.")</f>
        <v>O Lucario é um Pokémon de luta/aço introduzido na geração 4. É conhecido como Pokémon Aura.
Lucario tem uma mega evolução, disponível a partir de X&amp;Y.</v>
      </c>
      <c r="F447" s="2" t="str">
        <f ca="1">IFERROR(__xludf.DUMMYFUNCTION("GOOGLETRANSLATE(B447,""en"",""pt"")"),"Aura Pokémon")</f>
        <v>Aura Pokémon</v>
      </c>
    </row>
    <row r="448" spans="1:6" ht="15.75" customHeight="1" x14ac:dyDescent="0.25">
      <c r="A448" s="2" t="s">
        <v>1510</v>
      </c>
      <c r="B448" s="2" t="s">
        <v>1511</v>
      </c>
      <c r="C448" s="2" t="s">
        <v>1514</v>
      </c>
      <c r="D448" s="2" t="s">
        <v>1513</v>
      </c>
      <c r="E448" s="2" t="str">
        <f ca="1">IFERROR(__xludf.DUMMYFUNCTION("GOOGLETRANSLATE(D448,""en"",""pt"")"),"O Lucario é um Pokémon de luta/aço introduzido na geração 4. É conhecido como Pokémon Aura.
Lucario tem uma mega evolução, disponível a partir de X&amp;Y.")</f>
        <v>O Lucario é um Pokémon de luta/aço introduzido na geração 4. É conhecido como Pokémon Aura.
Lucario tem uma mega evolução, disponível a partir de X&amp;Y.</v>
      </c>
      <c r="F448" s="2" t="str">
        <f ca="1">IFERROR(__xludf.DUMMYFUNCTION("GOOGLETRANSLATE(B448,""en"",""pt"")"),"Aura Pokémon")</f>
        <v>Aura Pokémon</v>
      </c>
    </row>
    <row r="449" spans="1:6" ht="15.75" customHeight="1" x14ac:dyDescent="0.25">
      <c r="A449" s="2" t="s">
        <v>1515</v>
      </c>
      <c r="B449" s="2" t="s">
        <v>1516</v>
      </c>
      <c r="C449" s="2" t="s">
        <v>1517</v>
      </c>
      <c r="D449" s="2" t="s">
        <v>1518</v>
      </c>
      <c r="E449" s="2" t="str">
        <f ca="1">IFERROR(__xludf.DUMMYFUNCTION("GOOGLETRANSLATE(D449,""en"",""pt"")"),"Hippopotas é um Pokémon do tipo terra introduzido na geração 4. É conhecido como Pokémon Hippo.")</f>
        <v>Hippopotas é um Pokémon do tipo terra introduzido na geração 4. É conhecido como Pokémon Hippo.</v>
      </c>
      <c r="F449" s="2" t="str">
        <f ca="1">IFERROR(__xludf.DUMMYFUNCTION("GOOGLETRANSLATE(B449,""en"",""pt"")"),"Hippo Pokémon")</f>
        <v>Hippo Pokémon</v>
      </c>
    </row>
    <row r="450" spans="1:6" ht="15.75" customHeight="1" x14ac:dyDescent="0.25">
      <c r="A450" s="2" t="s">
        <v>1519</v>
      </c>
      <c r="B450" s="2" t="s">
        <v>361</v>
      </c>
      <c r="C450" s="2" t="s">
        <v>1520</v>
      </c>
      <c r="D450" s="2" t="s">
        <v>1521</v>
      </c>
      <c r="E450" s="2" t="str">
        <f ca="1">IFERROR(__xludf.DUMMYFUNCTION("GOOGLETRANSLATE(D450,""en"",""pt"")"),"Vileplume é um Pokémon do tipo grama/veneno introduzido na geração 1. É conhecido como Pokémon Flower.")</f>
        <v>Vileplume é um Pokémon do tipo grama/veneno introduzido na geração 1. É conhecido como Pokémon Flower.</v>
      </c>
      <c r="F450" s="2" t="str">
        <f ca="1">IFERROR(__xludf.DUMMYFUNCTION("GOOGLETRANSLATE(B450,""en"",""pt"")"),"Pokémon de flor")</f>
        <v>Pokémon de flor</v>
      </c>
    </row>
    <row r="451" spans="1:6" ht="15.75" customHeight="1" x14ac:dyDescent="0.25">
      <c r="A451" s="2" t="s">
        <v>1522</v>
      </c>
      <c r="B451" s="2" t="s">
        <v>1523</v>
      </c>
      <c r="C451" s="2" t="s">
        <v>1524</v>
      </c>
      <c r="D451" s="2" t="s">
        <v>1525</v>
      </c>
      <c r="E451" s="2" t="str">
        <f ca="1">IFERROR(__xludf.DUMMYFUNCTION("GOOGLETRANSLATE(D451,""en"",""pt"")"),"Hippowdon é um Pokémon do tipo terra introduzido na geração 4. É conhecido como Pokémon dos pesos pesados.")</f>
        <v>Hippowdon é um Pokémon do tipo terra introduzido na geração 4. É conhecido como Pokémon dos pesos pesados.</v>
      </c>
      <c r="F451" s="2" t="str">
        <f ca="1">IFERROR(__xludf.DUMMYFUNCTION("GOOGLETRANSLATE(B451,""en"",""pt"")"),"Pokémon de peso pesado")</f>
        <v>Pokémon de peso pesado</v>
      </c>
    </row>
    <row r="452" spans="1:6" ht="15.75" customHeight="1" x14ac:dyDescent="0.25">
      <c r="A452" s="2" t="s">
        <v>1526</v>
      </c>
      <c r="B452" s="2" t="s">
        <v>1527</v>
      </c>
      <c r="C452" s="2" t="s">
        <v>1528</v>
      </c>
      <c r="D452" s="2" t="s">
        <v>1529</v>
      </c>
      <c r="E452" s="2" t="str">
        <f ca="1">IFERROR(__xludf.DUMMYFUNCTION("GOOGLETRANSLATE(D452,""en"",""pt"")"),"Skorupi é um Pokémon do tipo veneno/inseto introduzido na geração 4. É conhecido como Pokémon Scorpion.")</f>
        <v>Skorupi é um Pokémon do tipo veneno/inseto introduzido na geração 4. É conhecido como Pokémon Scorpion.</v>
      </c>
      <c r="F452" s="2" t="str">
        <f ca="1">IFERROR(__xludf.DUMMYFUNCTION("GOOGLETRANSLATE(B452,""en"",""pt"")"),"Pokémon de Scorpion")</f>
        <v>Pokémon de Scorpion</v>
      </c>
    </row>
    <row r="453" spans="1:6" ht="15.75" customHeight="1" x14ac:dyDescent="0.25">
      <c r="A453" s="2" t="s">
        <v>1530</v>
      </c>
      <c r="B453" s="2" t="s">
        <v>1531</v>
      </c>
      <c r="C453" s="2" t="s">
        <v>1532</v>
      </c>
      <c r="D453" s="2" t="s">
        <v>1533</v>
      </c>
      <c r="E453" s="2" t="str">
        <f ca="1">IFERROR(__xludf.DUMMYFUNCTION("GOOGLETRANSLATE(D453,""en"",""pt"")"),"Drapion é um Pokémon de veneno/tipo escuro introduzido na geração 4. É conhecido como Pokémon Ogro Scorp.
Drapion é um Pokémon roxo e semelhante ao escorpião. Seu corpo é segmentado e fica em quatro pernas pontiagudas. Possui duas garras grandes na frente"&amp;", cujas dicas liberam veneno e uma pinça grande semelhante na cauda. Pode girar a cabeça 180 graus. Drapion normalmente reside no deserto, embora tenham sido vistos em pântanos.
Embora o drapion seja veneno/tipo escuro, ele evolui de Skorupi, que é o tipo"&amp;" de veneno/erro, perde seu tipo de insetos após a evolução - uma ocorrência rara para o Pokémon.")</f>
        <v>Drapion é um Pokémon de veneno/tipo escuro introduzido na geração 4. É conhecido como Pokémon Ogro Scorp.
Drapion é um Pokémon roxo e semelhante ao escorpião. Seu corpo é segmentado e fica em quatro pernas pontiagudas. Possui duas garras grandes na frente, cujas dicas liberam veneno e uma pinça grande semelhante na cauda. Pode girar a cabeça 180 graus. Drapion normalmente reside no deserto, embora tenham sido vistos em pântanos.
Embora o drapion seja veneno/tipo escuro, ele evolui de Skorupi, que é o tipo de veneno/erro, perde seu tipo de insetos após a evolução - uma ocorrência rara para o Pokémon.</v>
      </c>
      <c r="F453" s="2" t="str">
        <f ca="1">IFERROR(__xludf.DUMMYFUNCTION("GOOGLETRANSLATE(B453,""en"",""pt"")"),"Pokémon Ogre Scorp")</f>
        <v>Pokémon Ogre Scorp</v>
      </c>
    </row>
    <row r="454" spans="1:6" ht="15.75" customHeight="1" x14ac:dyDescent="0.25">
      <c r="A454" s="2" t="s">
        <v>1534</v>
      </c>
      <c r="B454" s="2" t="s">
        <v>1535</v>
      </c>
      <c r="C454" s="2" t="s">
        <v>1536</v>
      </c>
      <c r="D454" s="2" t="s">
        <v>1537</v>
      </c>
      <c r="E454" s="2" t="str">
        <f ca="1">IFERROR(__xludf.DUMMYFUNCTION("GOOGLETRANSLATE(D454,""en"",""pt"")"),"Croagunk é um Pokémon do tipo veneno/luta introduzido na geração 4. É conhecido como Pokémon da boca tóxica.")</f>
        <v>Croagunk é um Pokémon do tipo veneno/luta introduzido na geração 4. É conhecido como Pokémon da boca tóxica.</v>
      </c>
      <c r="F454" s="2" t="str">
        <f ca="1">IFERROR(__xludf.DUMMYFUNCTION("GOOGLETRANSLATE(B454,""en"",""pt"")"),"Pokémon da boca tóxica")</f>
        <v>Pokémon da boca tóxica</v>
      </c>
    </row>
    <row r="455" spans="1:6" ht="15.75" customHeight="1" x14ac:dyDescent="0.25">
      <c r="A455" s="2" t="s">
        <v>1538</v>
      </c>
      <c r="B455" s="2" t="s">
        <v>1535</v>
      </c>
      <c r="C455" s="2" t="s">
        <v>1539</v>
      </c>
      <c r="D455" s="2" t="s">
        <v>1540</v>
      </c>
      <c r="E455" s="2" t="str">
        <f ca="1">IFERROR(__xludf.DUMMYFUNCTION("GOOGLETRANSLATE(D455,""en"",""pt"")"),"O Toxicroak é um Pokémon do tipo veneno/luta introduzido na geração 4. É conhecido como Pokémon da boca tóxica.")</f>
        <v>O Toxicroak é um Pokémon do tipo veneno/luta introduzido na geração 4. É conhecido como Pokémon da boca tóxica.</v>
      </c>
      <c r="F455" s="2" t="str">
        <f ca="1">IFERROR(__xludf.DUMMYFUNCTION("GOOGLETRANSLATE(B455,""en"",""pt"")"),"Pokémon da boca tóxica")</f>
        <v>Pokémon da boca tóxica</v>
      </c>
    </row>
    <row r="456" spans="1:6" ht="15.75" customHeight="1" x14ac:dyDescent="0.25">
      <c r="A456" s="2" t="s">
        <v>1541</v>
      </c>
      <c r="B456" s="2" t="s">
        <v>1542</v>
      </c>
      <c r="C456" s="2" t="s">
        <v>1543</v>
      </c>
      <c r="D456" s="2" t="s">
        <v>1544</v>
      </c>
      <c r="E456" s="2" t="str">
        <f ca="1">IFERROR(__xludf.DUMMYFUNCTION("GOOGLETRANSLATE(D456,""en"",""pt"")"),"A carnivina é um Pokémon do tipo grama introduzido na geração 4. É conhecido como Pokémon de apanhador de insetos.")</f>
        <v>A carnivina é um Pokémon do tipo grama introduzido na geração 4. É conhecido como Pokémon de apanhador de insetos.</v>
      </c>
      <c r="F456" s="2" t="str">
        <f ca="1">IFERROR(__xludf.DUMMYFUNCTION("GOOGLETRANSLATE(B456,""en"",""pt"")"),"Pokémon Pokémon")</f>
        <v>Pokémon Pokémon</v>
      </c>
    </row>
    <row r="457" spans="1:6" ht="15.75" customHeight="1" x14ac:dyDescent="0.25">
      <c r="A457" s="2" t="s">
        <v>1545</v>
      </c>
      <c r="B457" s="2" t="s">
        <v>1546</v>
      </c>
      <c r="C457" s="2" t="s">
        <v>1547</v>
      </c>
      <c r="D457" s="2" t="s">
        <v>1548</v>
      </c>
      <c r="E457" s="2" t="str">
        <f ca="1">IFERROR(__xludf.DUMMYFUNCTION("GOOGLETRANSLATE(D457,""en"",""pt"")"),"Finneon é um Pokémon do tipo água introduzido na geração 4. É conhecido como Pokémon de Fish Wing.")</f>
        <v>Finneon é um Pokémon do tipo água introduzido na geração 4. É conhecido como Pokémon de Fish Wing.</v>
      </c>
      <c r="F457" s="2" t="str">
        <f ca="1">IFERROR(__xludf.DUMMYFUNCTION("GOOGLETRANSLATE(B457,""en"",""pt"")"),"Pokémon de peixe de asa")</f>
        <v>Pokémon de peixe de asa</v>
      </c>
    </row>
    <row r="458" spans="1:6" ht="15.75" customHeight="1" x14ac:dyDescent="0.25">
      <c r="A458" s="2" t="s">
        <v>1549</v>
      </c>
      <c r="B458" s="2" t="s">
        <v>1550</v>
      </c>
      <c r="C458" s="2" t="s">
        <v>1551</v>
      </c>
      <c r="D458" s="2" t="s">
        <v>1552</v>
      </c>
      <c r="E458" s="2" t="str">
        <f ca="1">IFERROR(__xludf.DUMMYFUNCTION("GOOGLETRANSLATE(D458,""en"",""pt"")"),"Lumineon é um Pokémon do tipo água introduzido na geração 4. É conhecido como Pokémon Neon.")</f>
        <v>Lumineon é um Pokémon do tipo água introduzido na geração 4. É conhecido como Pokémon Neon.</v>
      </c>
      <c r="F458" s="2" t="str">
        <f ca="1">IFERROR(__xludf.DUMMYFUNCTION("GOOGLETRANSLATE(B458,""en"",""pt"")"),"Pokémon de neon")</f>
        <v>Pokémon de neon</v>
      </c>
    </row>
    <row r="459" spans="1:6" ht="15.75" customHeight="1" x14ac:dyDescent="0.25">
      <c r="A459" s="2" t="s">
        <v>1553</v>
      </c>
      <c r="B459" s="2" t="s">
        <v>549</v>
      </c>
      <c r="C459" s="2" t="s">
        <v>1554</v>
      </c>
      <c r="D459" s="2" t="s">
        <v>1555</v>
      </c>
      <c r="E459" s="2" t="str">
        <f ca="1">IFERROR(__xludf.DUMMYFUNCTION("GOOGLETRANSLATE(D459,""en"",""pt"")"),"Mantyke é um Pokémon do tipo água/voador introduzido na geração 4. É conhecido como Pokémon Kite.")</f>
        <v>Mantyke é um Pokémon do tipo água/voador introduzido na geração 4. É conhecido como Pokémon Kite.</v>
      </c>
      <c r="F459" s="2" t="str">
        <f ca="1">IFERROR(__xludf.DUMMYFUNCTION("GOOGLETRANSLATE(B459,""en"",""pt"")"),"Pokémon de pipa")</f>
        <v>Pokémon de pipa</v>
      </c>
    </row>
    <row r="460" spans="1:6" ht="15.75" customHeight="1" x14ac:dyDescent="0.25">
      <c r="A460" s="2" t="s">
        <v>1556</v>
      </c>
      <c r="B460" s="2" t="s">
        <v>1557</v>
      </c>
      <c r="C460" s="2" t="s">
        <v>1558</v>
      </c>
      <c r="D460" s="2" t="s">
        <v>1559</v>
      </c>
      <c r="E460" s="2" t="str">
        <f ca="1">IFERROR(__xludf.DUMMYFUNCTION("GOOGLETRANSLATE(D460,""en"",""pt"")"),"O Snover é um Pokémon do tipo grama/gelo introduzido na geração 4. É conhecido como Pokémon de Frost Tree.")</f>
        <v>O Snover é um Pokémon do tipo grama/gelo introduzido na geração 4. É conhecido como Pokémon de Frost Tree.</v>
      </c>
      <c r="F460" s="2" t="str">
        <f ca="1">IFERROR(__xludf.DUMMYFUNCTION("GOOGLETRANSLATE(B460,""en"",""pt"")"),"Frost Pokémon")</f>
        <v>Frost Pokémon</v>
      </c>
    </row>
    <row r="461" spans="1:6" ht="15.75" customHeight="1" x14ac:dyDescent="0.25">
      <c r="A461" s="2" t="s">
        <v>1560</v>
      </c>
      <c r="B461" s="2" t="s">
        <v>800</v>
      </c>
      <c r="C461" s="2" t="s">
        <v>1561</v>
      </c>
      <c r="D461" s="2" t="s">
        <v>1562</v>
      </c>
      <c r="E461" s="2" t="str">
        <f ca="1">IFERROR(__xludf.DUMMYFUNCTION("GOOGLETRANSLATE(D461,""en"",""pt"")"),"Paras é um Pokémon do tipo bug/grama introduzido na geração 1. É conhecido como Pokémon de cogumelos.")</f>
        <v>Paras é um Pokémon do tipo bug/grama introduzido na geração 1. É conhecido como Pokémon de cogumelos.</v>
      </c>
      <c r="F461" s="2" t="str">
        <f ca="1">IFERROR(__xludf.DUMMYFUNCTION("GOOGLETRANSLATE(B461,""en"",""pt"")"),"Pokémon de cogumelos")</f>
        <v>Pokémon de cogumelos</v>
      </c>
    </row>
    <row r="462" spans="1:6" ht="15.75" customHeight="1" x14ac:dyDescent="0.25">
      <c r="A462" s="2" t="s">
        <v>1563</v>
      </c>
      <c r="B462" s="2" t="s">
        <v>1557</v>
      </c>
      <c r="C462" s="2" t="s">
        <v>1564</v>
      </c>
      <c r="D462" s="2" t="s">
        <v>1565</v>
      </c>
      <c r="E462" s="2" t="str">
        <f ca="1">IFERROR(__xludf.DUMMYFUNCTION("GOOGLETRANSLATE(D462,""en"",""pt"")"),"Abomasnow é um Pokémon do tipo grama/gelo introduzido na geração 4. É conhecido como Pokémon da árvore de geada.
Abomasnow tem uma mega evolução, disponível a partir de X&amp;Y.")</f>
        <v>Abomasnow é um Pokémon do tipo grama/gelo introduzido na geração 4. É conhecido como Pokémon da árvore de geada.
Abomasnow tem uma mega evolução, disponível a partir de X&amp;Y.</v>
      </c>
      <c r="F462" s="2" t="str">
        <f ca="1">IFERROR(__xludf.DUMMYFUNCTION("GOOGLETRANSLATE(B462,""en"",""pt"")"),"Frost Pokémon")</f>
        <v>Frost Pokémon</v>
      </c>
    </row>
    <row r="463" spans="1:6" ht="15.75" customHeight="1" x14ac:dyDescent="0.25">
      <c r="A463" s="2" t="s">
        <v>1563</v>
      </c>
      <c r="B463" s="2" t="s">
        <v>1557</v>
      </c>
      <c r="C463" s="2" t="s">
        <v>1566</v>
      </c>
      <c r="D463" s="2" t="s">
        <v>1565</v>
      </c>
      <c r="E463" s="2" t="str">
        <f ca="1">IFERROR(__xludf.DUMMYFUNCTION("GOOGLETRANSLATE(D463,""en"",""pt"")"),"Abomasnow é um Pokémon do tipo grama/gelo introduzido na geração 4. É conhecido como Pokémon da árvore de geada.
Abomasnow tem uma mega evolução, disponível a partir de X&amp;Y.")</f>
        <v>Abomasnow é um Pokémon do tipo grama/gelo introduzido na geração 4. É conhecido como Pokémon da árvore de geada.
Abomasnow tem uma mega evolução, disponível a partir de X&amp;Y.</v>
      </c>
      <c r="F463" s="2" t="str">
        <f ca="1">IFERROR(__xludf.DUMMYFUNCTION("GOOGLETRANSLATE(B463,""en"",""pt"")"),"Frost Pokémon")</f>
        <v>Frost Pokémon</v>
      </c>
    </row>
    <row r="464" spans="1:6" ht="15.75" customHeight="1" x14ac:dyDescent="0.25">
      <c r="A464" s="2" t="s">
        <v>1567</v>
      </c>
      <c r="B464" s="2" t="s">
        <v>503</v>
      </c>
      <c r="C464" s="2" t="s">
        <v>1568</v>
      </c>
      <c r="D464" s="2" t="s">
        <v>1569</v>
      </c>
      <c r="E464" s="2" t="str">
        <f ca="1">IFERROR(__xludf.DUMMYFUNCTION("GOOGLETRANSLATE(D464,""en"",""pt"")"),"O Weavile é um Pokémon do tipo escuro/de gelo introduzido na geração 4. É conhecido como Pokémon Sharp Claw.")</f>
        <v>O Weavile é um Pokémon do tipo escuro/de gelo introduzido na geração 4. É conhecido como Pokémon Sharp Claw.</v>
      </c>
      <c r="F464" s="2" t="str">
        <f ca="1">IFERROR(__xludf.DUMMYFUNCTION("GOOGLETRANSLATE(B464,""en"",""pt"")"),"Pokémon nítido da garra")</f>
        <v>Pokémon nítido da garra</v>
      </c>
    </row>
    <row r="465" spans="1:6" ht="15.75" customHeight="1" x14ac:dyDescent="0.25">
      <c r="A465" s="2" t="s">
        <v>1570</v>
      </c>
      <c r="B465" s="2" t="s">
        <v>1571</v>
      </c>
      <c r="C465" s="2" t="s">
        <v>1572</v>
      </c>
      <c r="D465" s="2" t="s">
        <v>1573</v>
      </c>
      <c r="E465" s="2" t="str">
        <f ca="1">IFERROR(__xludf.DUMMYFUNCTION("GOOGLETRANSLATE(D465,""en"",""pt"")"),"O Magnezone é um Pokémon elétrico/aço introduzido na geração 4. É conhecido como Pokémon da área do ímã.")</f>
        <v>O Magnezone é um Pokémon elétrico/aço introduzido na geração 4. É conhecido como Pokémon da área do ímã.</v>
      </c>
      <c r="F465" s="2" t="str">
        <f ca="1">IFERROR(__xludf.DUMMYFUNCTION("GOOGLETRANSLATE(B465,""en"",""pt"")"),"Área do ímã Pokémon")</f>
        <v>Área do ímã Pokémon</v>
      </c>
    </row>
    <row r="466" spans="1:6" ht="15.75" customHeight="1" x14ac:dyDescent="0.25">
      <c r="A466" s="2" t="s">
        <v>1574</v>
      </c>
      <c r="B466" s="2" t="s">
        <v>46</v>
      </c>
      <c r="C466" s="2" t="s">
        <v>1575</v>
      </c>
      <c r="D466" s="2" t="s">
        <v>1576</v>
      </c>
      <c r="E466" s="2" t="str">
        <f ca="1">IFERROR(__xludf.DUMMYFUNCTION("GOOGLETRANSLATE(D466,""en"",""pt"")"),"Lickilicky é um Pokémon do tipo normal introduzido na geração 4. É conhecido como Pokémon Licking.")</f>
        <v>Lickilicky é um Pokémon do tipo normal introduzido na geração 4. É conhecido como Pokémon Licking.</v>
      </c>
      <c r="F466" s="2" t="str">
        <f ca="1">IFERROR(__xludf.DUMMYFUNCTION("GOOGLETRANSLATE(B466,""en"",""pt"")"),"Lambendo Pokémon")</f>
        <v>Lambendo Pokémon</v>
      </c>
    </row>
    <row r="467" spans="1:6" ht="15.75" customHeight="1" x14ac:dyDescent="0.25">
      <c r="A467" s="2" t="s">
        <v>1577</v>
      </c>
      <c r="B467" s="2" t="s">
        <v>65</v>
      </c>
      <c r="C467" s="2" t="s">
        <v>1578</v>
      </c>
      <c r="D467" s="2" t="s">
        <v>1579</v>
      </c>
      <c r="E467" s="2" t="str">
        <f ca="1">IFERROR(__xludf.DUMMYFUNCTION("GOOGLETRANSLATE(D467,""en"",""pt"")"),"O Rhyperior é um Pokémon de terra/rocha introduzido na geração 4. É conhecido como Pokémon Drill.")</f>
        <v>O Rhyperior é um Pokémon de terra/rocha introduzido na geração 4. É conhecido como Pokémon Drill.</v>
      </c>
      <c r="F467" s="2" t="str">
        <f ca="1">IFERROR(__xludf.DUMMYFUNCTION("GOOGLETRANSLATE(B467,""en"",""pt"")"),"Drill Pokémon")</f>
        <v>Drill Pokémon</v>
      </c>
    </row>
    <row r="468" spans="1:6" ht="15.75" customHeight="1" x14ac:dyDescent="0.25">
      <c r="A468" s="2" t="s">
        <v>1580</v>
      </c>
      <c r="B468" s="2" t="s">
        <v>72</v>
      </c>
      <c r="C468" s="2" t="s">
        <v>1581</v>
      </c>
      <c r="D468" s="2" t="s">
        <v>1582</v>
      </c>
      <c r="E468" s="2" t="str">
        <f ca="1">IFERROR(__xludf.DUMMYFUNCTION("GOOGLETRANSLATE(D468,""en"",""pt"")"),"O TanGrowth é um Pokémon do tipo grama introduzido na geração 4. É conhecido como Pokémon Vine.")</f>
        <v>O TanGrowth é um Pokémon do tipo grama introduzido na geração 4. É conhecido como Pokémon Vine.</v>
      </c>
      <c r="F468" s="2" t="str">
        <f ca="1">IFERROR(__xludf.DUMMYFUNCTION("GOOGLETRANSLATE(B468,""en"",""pt"")"),"Vine Pokémon")</f>
        <v>Vine Pokémon</v>
      </c>
    </row>
    <row r="469" spans="1:6" ht="15.75" customHeight="1" x14ac:dyDescent="0.25">
      <c r="A469" s="2" t="s">
        <v>1583</v>
      </c>
      <c r="B469" s="2" t="s">
        <v>1584</v>
      </c>
      <c r="C469" s="2" t="s">
        <v>1585</v>
      </c>
      <c r="D469" s="2" t="s">
        <v>1586</v>
      </c>
      <c r="E469" s="2" t="str">
        <f ca="1">IFERROR(__xludf.DUMMYFUNCTION("GOOGLETRANSLATE(D469,""en"",""pt"")"),"A Electivire é um Pokémon do tipo elétrico introduzido na geração 4. É conhecido como Pokémon Thunderbolt.")</f>
        <v>A Electivire é um Pokémon do tipo elétrico introduzido na geração 4. É conhecido como Pokémon Thunderbolt.</v>
      </c>
      <c r="F469" s="2" t="str">
        <f ca="1">IFERROR(__xludf.DUMMYFUNCTION("GOOGLETRANSLATE(B469,""en"",""pt"")"),"Pokémon Thunderbolt")</f>
        <v>Pokémon Thunderbolt</v>
      </c>
    </row>
    <row r="470" spans="1:6" ht="15.75" customHeight="1" x14ac:dyDescent="0.25">
      <c r="A470" s="2" t="s">
        <v>1587</v>
      </c>
      <c r="B470" s="2" t="s">
        <v>1588</v>
      </c>
      <c r="C470" s="2" t="s">
        <v>1589</v>
      </c>
      <c r="D470" s="2" t="s">
        <v>1590</v>
      </c>
      <c r="E470" s="2" t="str">
        <f ca="1">IFERROR(__xludf.DUMMYFUNCTION("GOOGLETRANSLATE(D470,""en"",""pt"")"),"Magmortar é um Pokémon do tipo incêndio introduzido na geração 4. É conhecido como Pokémon Blast.")</f>
        <v>Magmortar é um Pokémon do tipo incêndio introduzido na geração 4. É conhecido como Pokémon Blast.</v>
      </c>
      <c r="F470" s="2" t="str">
        <f ca="1">IFERROR(__xludf.DUMMYFUNCTION("GOOGLETRANSLATE(B470,""en"",""pt"")"),"Pokémon de explosão")</f>
        <v>Pokémon de explosão</v>
      </c>
    </row>
    <row r="471" spans="1:6" ht="15.75" customHeight="1" x14ac:dyDescent="0.25">
      <c r="A471" s="2" t="s">
        <v>1591</v>
      </c>
      <c r="B471" s="2" t="s">
        <v>1592</v>
      </c>
      <c r="C471" s="2" t="s">
        <v>1593</v>
      </c>
      <c r="D471" s="2" t="s">
        <v>1594</v>
      </c>
      <c r="E471" s="2" t="str">
        <f ca="1">IFERROR(__xludf.DUMMYFUNCTION("GOOGLETRANSLATE(D471,""en"",""pt"")"),"O TOGEKISS é um Pokémon do tipo de fada/voador introduzido na geração 4. É conhecido como Pokémon do Jubileu.")</f>
        <v>O TOGEKISS é um Pokémon do tipo de fada/voador introduzido na geração 4. É conhecido como Pokémon do Jubileu.</v>
      </c>
      <c r="F471" s="2" t="str">
        <f ca="1">IFERROR(__xludf.DUMMYFUNCTION("GOOGLETRANSLATE(B471,""en"",""pt"")"),"Jubileu Pokémon")</f>
        <v>Jubileu Pokémon</v>
      </c>
    </row>
    <row r="472" spans="1:6" ht="15.75" customHeight="1" x14ac:dyDescent="0.25">
      <c r="A472" s="2" t="s">
        <v>1595</v>
      </c>
      <c r="B472" s="2" t="s">
        <v>1596</v>
      </c>
      <c r="C472" s="2" t="s">
        <v>1597</v>
      </c>
      <c r="D472" s="2" t="s">
        <v>1598</v>
      </c>
      <c r="E472" s="2" t="str">
        <f ca="1">IFERROR(__xludf.DUMMYFUNCTION("GOOGLETRANSLATE(D472,""en"",""pt"")"),"Yanmega é um Pokémon do tipo bug/voador introduzido na geração 4. É conhecido como Ogro Darner Pokémon.")</f>
        <v>Yanmega é um Pokémon do tipo bug/voador introduzido na geração 4. É conhecido como Ogro Darner Pokémon.</v>
      </c>
      <c r="F472" s="2" t="str">
        <f ca="1">IFERROR(__xludf.DUMMYFUNCTION("GOOGLETRANSLATE(B472,""en"",""pt"")"),"Ogre Darner Pokémon")</f>
        <v>Ogre Darner Pokémon</v>
      </c>
    </row>
    <row r="473" spans="1:6" ht="15.75" customHeight="1" x14ac:dyDescent="0.25">
      <c r="A473" s="2" t="s">
        <v>1599</v>
      </c>
      <c r="B473" s="2" t="s">
        <v>800</v>
      </c>
      <c r="C473" s="2" t="s">
        <v>1600</v>
      </c>
      <c r="D473" s="2" t="s">
        <v>1601</v>
      </c>
      <c r="E473" s="2" t="str">
        <f ca="1">IFERROR(__xludf.DUMMYFUNCTION("GOOGLETRANSLATE(D473,""en"",""pt"")"),"O Parasect é um Pokémon do tipo bug/grama introduzido na geração 1. É conhecido como Pokémon de cogumelos.")</f>
        <v>O Parasect é um Pokémon do tipo bug/grama introduzido na geração 1. É conhecido como Pokémon de cogumelos.</v>
      </c>
      <c r="F473" s="2" t="str">
        <f ca="1">IFERROR(__xludf.DUMMYFUNCTION("GOOGLETRANSLATE(B473,""en"",""pt"")"),"Pokémon de cogumelos")</f>
        <v>Pokémon de cogumelos</v>
      </c>
    </row>
    <row r="474" spans="1:6" ht="15.75" customHeight="1" x14ac:dyDescent="0.25">
      <c r="A474" s="2" t="s">
        <v>1602</v>
      </c>
      <c r="B474" s="2" t="s">
        <v>1603</v>
      </c>
      <c r="C474" s="2" t="s">
        <v>1604</v>
      </c>
      <c r="D474" s="2" t="s">
        <v>1605</v>
      </c>
      <c r="E474" s="2" t="str">
        <f ca="1">IFERROR(__xludf.DUMMYFUNCTION("GOOGLETRANSLATE(D474,""en"",""pt"")"),"Leafeon é um Pokémon do tipo grama introduzido na geração 4. É conhecido como Pokémon verdejante.")</f>
        <v>Leafeon é um Pokémon do tipo grama introduzido na geração 4. É conhecido como Pokémon verdejante.</v>
      </c>
      <c r="F474" s="2" t="str">
        <f ca="1">IFERROR(__xludf.DUMMYFUNCTION("GOOGLETRANSLATE(B474,""en"",""pt"")"),"Pokémon verdejante")</f>
        <v>Pokémon verdejante</v>
      </c>
    </row>
    <row r="475" spans="1:6" ht="15.75" customHeight="1" x14ac:dyDescent="0.25">
      <c r="A475" s="2" t="s">
        <v>1606</v>
      </c>
      <c r="B475" s="2" t="s">
        <v>1607</v>
      </c>
      <c r="C475" s="2" t="s">
        <v>1608</v>
      </c>
      <c r="D475" s="2" t="s">
        <v>1609</v>
      </c>
      <c r="E475" s="2" t="str">
        <f ca="1">IFERROR(__xludf.DUMMYFUNCTION("GOOGLETRANSLATE(D475,""en"",""pt"")"),"Glaceon é um Pokémon do tipo gelo introduzido na geração 4. É conhecido como Pokémon Fresh Snow.")</f>
        <v>Glaceon é um Pokémon do tipo gelo introduzido na geração 4. É conhecido como Pokémon Fresh Snow.</v>
      </c>
      <c r="F475" s="2" t="str">
        <f ca="1">IFERROR(__xludf.DUMMYFUNCTION("GOOGLETRANSLATE(B475,""en"",""pt"")"),"Pokémon fresco de neve")</f>
        <v>Pokémon fresco de neve</v>
      </c>
    </row>
    <row r="476" spans="1:6" ht="15.75" customHeight="1" x14ac:dyDescent="0.25">
      <c r="A476" s="2" t="s">
        <v>1610</v>
      </c>
      <c r="B476" s="2" t="s">
        <v>1611</v>
      </c>
      <c r="C476" s="2" t="s">
        <v>1612</v>
      </c>
      <c r="D476" s="2" t="s">
        <v>1613</v>
      </c>
      <c r="E476" s="2" t="str">
        <f ca="1">IFERROR(__xludf.DUMMYFUNCTION("GOOGLETRANSLATE(D476,""en"",""pt"")"),"O Gliscor é um Pokémon do tipo terrestre/voador introduzido na geração 4. É conhecido como Pokémon Fang Scorp.")</f>
        <v>O Gliscor é um Pokémon do tipo terrestre/voador introduzido na geração 4. É conhecido como Pokémon Fang Scorp.</v>
      </c>
      <c r="F476" s="2" t="str">
        <f ca="1">IFERROR(__xludf.DUMMYFUNCTION("GOOGLETRANSLATE(B476,""en"",""pt"")"),"Fang Scorp Pokémon")</f>
        <v>Fang Scorp Pokémon</v>
      </c>
    </row>
    <row r="477" spans="1:6" ht="15.75" customHeight="1" x14ac:dyDescent="0.25">
      <c r="A477" s="2" t="s">
        <v>1614</v>
      </c>
      <c r="B477" s="2" t="s">
        <v>1615</v>
      </c>
      <c r="C477" s="2" t="s">
        <v>1616</v>
      </c>
      <c r="D477" s="2" t="s">
        <v>1617</v>
      </c>
      <c r="E477" s="2" t="str">
        <f ca="1">IFERROR(__xludf.DUMMYFUNCTION("GOOGLETRANSLATE(D477,""en"",""pt"")"),"Mamoswine é um Pokémon do tipo gelo/terra introduzido na geração 4. É conhecido como Pokémon de Tusk Twin.")</f>
        <v>Mamoswine é um Pokémon do tipo gelo/terra introduzido na geração 4. É conhecido como Pokémon de Tusk Twin.</v>
      </c>
      <c r="F477" s="2" t="str">
        <f ca="1">IFERROR(__xludf.DUMMYFUNCTION("GOOGLETRANSLATE(B477,""en"",""pt"")"),"Pokémon duplo preso")</f>
        <v>Pokémon duplo preso</v>
      </c>
    </row>
    <row r="478" spans="1:6" ht="15.75" customHeight="1" x14ac:dyDescent="0.25">
      <c r="A478" s="2" t="s">
        <v>1618</v>
      </c>
      <c r="B478" s="2" t="s">
        <v>174</v>
      </c>
      <c r="C478" s="2" t="s">
        <v>1619</v>
      </c>
      <c r="D478" s="2" t="s">
        <v>1620</v>
      </c>
      <c r="E478" s="2" t="str">
        <f ca="1">IFERROR(__xludf.DUMMYFUNCTION("GOOGLETRANSLATE(D478,""en"",""pt"")"),"Porygon-Z é um Pokémon do tipo normal introduzido na geração 4. É conhecido como Pokémon virtual.")</f>
        <v>Porygon-Z é um Pokémon do tipo normal introduzido na geração 4. É conhecido como Pokémon virtual.</v>
      </c>
      <c r="F478" s="2" t="str">
        <f ca="1">IFERROR(__xludf.DUMMYFUNCTION("GOOGLETRANSLATE(B478,""en"",""pt"")"),"Pokémon virtual")</f>
        <v>Pokémon virtual</v>
      </c>
    </row>
    <row r="479" spans="1:6" ht="15.75" customHeight="1" x14ac:dyDescent="0.25">
      <c r="A479" s="2" t="s">
        <v>1621</v>
      </c>
      <c r="B479" s="2" t="s">
        <v>1622</v>
      </c>
      <c r="C479" s="2" t="s">
        <v>1623</v>
      </c>
      <c r="D479" s="2" t="s">
        <v>1624</v>
      </c>
      <c r="E479" s="2" t="str">
        <f ca="1">IFERROR(__xludf.DUMMYFUNCTION("GOOGLETRANSLATE(D479,""en"",""pt"")"),"Gallade é um Pokémon psíquico/de luta introduzido na geração 4. É conhecido como Pokémon Blade.
Gallade tem uma mega evolução, disponível na Omega Ruby &amp; Alpha Sapphire em diante.")</f>
        <v>Gallade é um Pokémon psíquico/de luta introduzido na geração 4. É conhecido como Pokémon Blade.
Gallade tem uma mega evolução, disponível na Omega Ruby &amp; Alpha Sapphire em diante.</v>
      </c>
      <c r="F479" s="2" t="str">
        <f ca="1">IFERROR(__xludf.DUMMYFUNCTION("GOOGLETRANSLATE(B479,""en"",""pt"")"),"Pokémon da lâmina")</f>
        <v>Pokémon da lâmina</v>
      </c>
    </row>
    <row r="480" spans="1:6" ht="15.75" customHeight="1" x14ac:dyDescent="0.25">
      <c r="A480" s="2" t="s">
        <v>1621</v>
      </c>
      <c r="B480" s="2" t="s">
        <v>1622</v>
      </c>
      <c r="C480" s="2" t="s">
        <v>1625</v>
      </c>
      <c r="D480" s="2" t="s">
        <v>1624</v>
      </c>
      <c r="E480" s="2" t="str">
        <f ca="1">IFERROR(__xludf.DUMMYFUNCTION("GOOGLETRANSLATE(D480,""en"",""pt"")"),"Gallade é um Pokémon psíquico/de luta introduzido na geração 4. É conhecido como Pokémon Blade.
Gallade tem uma mega evolução, disponível na Omega Ruby &amp; Alpha Sapphire em diante.")</f>
        <v>Gallade é um Pokémon psíquico/de luta introduzido na geração 4. É conhecido como Pokémon Blade.
Gallade tem uma mega evolução, disponível na Omega Ruby &amp; Alpha Sapphire em diante.</v>
      </c>
      <c r="F480" s="2" t="str">
        <f ca="1">IFERROR(__xludf.DUMMYFUNCTION("GOOGLETRANSLATE(B480,""en"",""pt"")"),"Pokémon da lâmina")</f>
        <v>Pokémon da lâmina</v>
      </c>
    </row>
    <row r="481" spans="1:6" ht="15.75" customHeight="1" x14ac:dyDescent="0.25">
      <c r="A481" s="2" t="s">
        <v>1626</v>
      </c>
      <c r="B481" s="2" t="s">
        <v>859</v>
      </c>
      <c r="C481" s="2" t="s">
        <v>1627</v>
      </c>
      <c r="D481" s="2" t="s">
        <v>1628</v>
      </c>
      <c r="E481" s="2" t="str">
        <f ca="1">IFERROR(__xludf.DUMMYFUNCTION("GOOGLETRANSLATE(D481,""en"",""pt"")"),"Probopass é um Pokémon do tipo rocha/aço introduzido na geração 4. É conhecido como Pokémon Compass.")</f>
        <v>Probopass é um Pokémon do tipo rocha/aço introduzido na geração 4. É conhecido como Pokémon Compass.</v>
      </c>
      <c r="F481" s="2" t="str">
        <f ca="1">IFERROR(__xludf.DUMMYFUNCTION("GOOGLETRANSLATE(B481,""en"",""pt"")"),"Pokémon da bússola")</f>
        <v>Pokémon da bússola</v>
      </c>
    </row>
    <row r="482" spans="1:6" ht="15.75" customHeight="1" x14ac:dyDescent="0.25">
      <c r="A482" s="2" t="s">
        <v>1629</v>
      </c>
      <c r="B482" s="2" t="s">
        <v>1630</v>
      </c>
      <c r="C482" s="2" t="s">
        <v>1631</v>
      </c>
      <c r="D482" s="2" t="s">
        <v>1632</v>
      </c>
      <c r="E482" s="2" t="str">
        <f ca="1">IFERROR(__xludf.DUMMYFUNCTION("GOOGLETRANSLATE(D482,""en"",""pt"")"),"Dusknoir é um Pokémon do tipo fantasma introduzido na geração 4. É conhecido como Pokémon Gripper.")</f>
        <v>Dusknoir é um Pokémon do tipo fantasma introduzido na geração 4. É conhecido como Pokémon Gripper.</v>
      </c>
      <c r="F482" s="2" t="str">
        <f ca="1">IFERROR(__xludf.DUMMYFUNCTION("GOOGLETRANSLATE(B482,""en"",""pt"")"),"Pokémon de pinça")</f>
        <v>Pokémon de pinça</v>
      </c>
    </row>
    <row r="483" spans="1:6" ht="15.75" customHeight="1" x14ac:dyDescent="0.25">
      <c r="A483" s="2" t="s">
        <v>1633</v>
      </c>
      <c r="B483" s="2" t="s">
        <v>1634</v>
      </c>
      <c r="C483" s="2" t="s">
        <v>1635</v>
      </c>
      <c r="D483" s="2" t="s">
        <v>1636</v>
      </c>
      <c r="E483" s="2" t="str">
        <f ca="1">IFERROR(__xludf.DUMMYFUNCTION("GOOGLETRANSLATE(D483,""en"",""pt"")"),"Froslass é um Pokémon do tipo gelo/fantasma introduzido na geração 4. É conhecido como Pokémon Land Snow.")</f>
        <v>Froslass é um Pokémon do tipo gelo/fantasma introduzido na geração 4. É conhecido como Pokémon Land Snow.</v>
      </c>
      <c r="F483" s="2" t="str">
        <f ca="1">IFERROR(__xludf.DUMMYFUNCTION("GOOGLETRANSLATE(B483,""en"",""pt"")"),"Pokémon da terra da neve")</f>
        <v>Pokémon da terra da neve</v>
      </c>
    </row>
    <row r="484" spans="1:6" ht="15.75" customHeight="1" x14ac:dyDescent="0.25">
      <c r="A484" s="2" t="s">
        <v>1637</v>
      </c>
      <c r="B484" s="2" t="s">
        <v>1638</v>
      </c>
      <c r="C484" s="2" t="s">
        <v>1639</v>
      </c>
      <c r="D484" s="2" t="s">
        <v>1640</v>
      </c>
      <c r="E484" s="2" t="str">
        <f ca="1">IFERROR(__xludf.DUMMYFUNCTION("GOOGLETRANSLATE(D484,""en"",""pt"")"),"O Rotom é um Pokémon elétrico/fantasma introduzido na geração 4. É conhecido como Pokémon de plasma.
O Rotom possui 5 formas alternativas introduzidas no Pokémon Platinum. O Rotom se transforma quando possui diferentes aparelhos domésticos: um forno (roto"&amp;"m de aquecimento), uma máquina de lavar (Rotom), uma geladeira (rotom de geada), um ventilador (roteiro do ventilador) e um cortador de grama (Rotom Mow).
Na geração 4, todas as formas de rotom eram do tipo elétrico/fantasma. A partir da geração 5, cada u"&amp;"m deles tem seu próprio tipo secundário.")</f>
        <v>O Rotom é um Pokémon elétrico/fantasma introduzido na geração 4. É conhecido como Pokémon de plasma.
O Rotom possui 5 formas alternativas introduzidas no Pokémon Platinum. O Rotom se transforma quando possui diferentes aparelhos domésticos: um forno (rotom de aquecimento), uma máquina de lavar (Rotom), uma geladeira (rotom de geada), um ventilador (roteiro do ventilador) e um cortador de grama (Rotom Mow).
Na geração 4, todas as formas de rotom eram do tipo elétrico/fantasma. A partir da geração 5, cada um deles tem seu próprio tipo secundário.</v>
      </c>
      <c r="F484" s="2" t="str">
        <f ca="1">IFERROR(__xludf.DUMMYFUNCTION("GOOGLETRANSLATE(B484,""en"",""pt"")"),"Pokémon de plasma")</f>
        <v>Pokémon de plasma</v>
      </c>
    </row>
    <row r="485" spans="1:6" ht="15.75" customHeight="1" x14ac:dyDescent="0.25">
      <c r="A485" s="2" t="s">
        <v>1637</v>
      </c>
      <c r="B485" s="2" t="s">
        <v>1638</v>
      </c>
      <c r="C485" s="2" t="s">
        <v>1641</v>
      </c>
      <c r="D485" s="2" t="s">
        <v>1640</v>
      </c>
      <c r="E485" s="2" t="str">
        <f ca="1">IFERROR(__xludf.DUMMYFUNCTION("GOOGLETRANSLATE(D485,""en"",""pt"")"),"O Rotom é um Pokémon elétrico/fantasma introduzido na geração 4. É conhecido como Pokémon de plasma.
O Rotom possui 5 formas alternativas introduzidas no Pokémon Platinum. O Rotom se transforma quando possui diferentes aparelhos domésticos: um forno (roto"&amp;"m de aquecimento), uma máquina de lavar (Rotom), uma geladeira (rotom de geada), um ventilador (roteiro do ventilador) e um cortador de grama (Rotom Mow).
Na geração 4, todas as formas de rotom eram do tipo elétrico/fantasma. A partir da geração 5, cada u"&amp;"m deles tem seu próprio tipo secundário.")</f>
        <v>O Rotom é um Pokémon elétrico/fantasma introduzido na geração 4. É conhecido como Pokémon de plasma.
O Rotom possui 5 formas alternativas introduzidas no Pokémon Platinum. O Rotom se transforma quando possui diferentes aparelhos domésticos: um forno (rotom de aquecimento), uma máquina de lavar (Rotom), uma geladeira (rotom de geada), um ventilador (roteiro do ventilador) e um cortador de grama (Rotom Mow).
Na geração 4, todas as formas de rotom eram do tipo elétrico/fantasma. A partir da geração 5, cada um deles tem seu próprio tipo secundário.</v>
      </c>
      <c r="F485" s="2" t="str">
        <f ca="1">IFERROR(__xludf.DUMMYFUNCTION("GOOGLETRANSLATE(B485,""en"",""pt"")"),"Pokémon de plasma")</f>
        <v>Pokémon de plasma</v>
      </c>
    </row>
    <row r="486" spans="1:6" ht="15.75" customHeight="1" x14ac:dyDescent="0.25">
      <c r="A486" s="2" t="s">
        <v>1637</v>
      </c>
      <c r="B486" s="2" t="s">
        <v>1638</v>
      </c>
      <c r="C486" s="2" t="s">
        <v>1642</v>
      </c>
      <c r="D486" s="2" t="s">
        <v>1640</v>
      </c>
      <c r="E486" s="2" t="str">
        <f ca="1">IFERROR(__xludf.DUMMYFUNCTION("GOOGLETRANSLATE(D486,""en"",""pt"")"),"O Rotom é um Pokémon elétrico/fantasma introduzido na geração 4. É conhecido como Pokémon de plasma.
O Rotom possui 5 formas alternativas introduzidas no Pokémon Platinum. O Rotom se transforma quando possui diferentes aparelhos domésticos: um forno (roto"&amp;"m de aquecimento), uma máquina de lavar (Rotom), uma geladeira (rotom de geada), um ventilador (roteiro do ventilador) e um cortador de grama (Rotom Mow).
Na geração 4, todas as formas de rotom eram do tipo elétrico/fantasma. A partir da geração 5, cada u"&amp;"m deles tem seu próprio tipo secundário.")</f>
        <v>O Rotom é um Pokémon elétrico/fantasma introduzido na geração 4. É conhecido como Pokémon de plasma.
O Rotom possui 5 formas alternativas introduzidas no Pokémon Platinum. O Rotom se transforma quando possui diferentes aparelhos domésticos: um forno (rotom de aquecimento), uma máquina de lavar (Rotom), uma geladeira (rotom de geada), um ventilador (roteiro do ventilador) e um cortador de grama (Rotom Mow).
Na geração 4, todas as formas de rotom eram do tipo elétrico/fantasma. A partir da geração 5, cada um deles tem seu próprio tipo secundário.</v>
      </c>
      <c r="F486" s="2" t="str">
        <f ca="1">IFERROR(__xludf.DUMMYFUNCTION("GOOGLETRANSLATE(B486,""en"",""pt"")"),"Pokémon de plasma")</f>
        <v>Pokémon de plasma</v>
      </c>
    </row>
    <row r="487" spans="1:6" ht="15.75" customHeight="1" x14ac:dyDescent="0.25">
      <c r="A487" s="2" t="s">
        <v>1637</v>
      </c>
      <c r="B487" s="2" t="s">
        <v>1638</v>
      </c>
      <c r="C487" s="2" t="s">
        <v>1643</v>
      </c>
      <c r="D487" s="2" t="s">
        <v>1640</v>
      </c>
      <c r="E487" s="2" t="str">
        <f ca="1">IFERROR(__xludf.DUMMYFUNCTION("GOOGLETRANSLATE(D487,""en"",""pt"")"),"O Rotom é um Pokémon elétrico/fantasma introduzido na geração 4. É conhecido como Pokémon de plasma.
O Rotom possui 5 formas alternativas introduzidas no Pokémon Platinum. O Rotom se transforma quando possui diferentes aparelhos domésticos: um forno (roto"&amp;"m de aquecimento), uma máquina de lavar (Rotom), uma geladeira (rotom de geada), um ventilador (roteiro do ventilador) e um cortador de grama (Rotom Mow).
Na geração 4, todas as formas de rotom eram do tipo elétrico/fantasma. A partir da geração 5, cada u"&amp;"m deles tem seu próprio tipo secundário.")</f>
        <v>O Rotom é um Pokémon elétrico/fantasma introduzido na geração 4. É conhecido como Pokémon de plasma.
O Rotom possui 5 formas alternativas introduzidas no Pokémon Platinum. O Rotom se transforma quando possui diferentes aparelhos domésticos: um forno (rotom de aquecimento), uma máquina de lavar (Rotom), uma geladeira (rotom de geada), um ventilador (roteiro do ventilador) e um cortador de grama (Rotom Mow).
Na geração 4, todas as formas de rotom eram do tipo elétrico/fantasma. A partir da geração 5, cada um deles tem seu próprio tipo secundário.</v>
      </c>
      <c r="F487" s="2" t="str">
        <f ca="1">IFERROR(__xludf.DUMMYFUNCTION("GOOGLETRANSLATE(B487,""en"",""pt"")"),"Pokémon de plasma")</f>
        <v>Pokémon de plasma</v>
      </c>
    </row>
    <row r="488" spans="1:6" ht="15.75" customHeight="1" x14ac:dyDescent="0.25">
      <c r="A488" s="2" t="s">
        <v>1637</v>
      </c>
      <c r="B488" s="2" t="s">
        <v>1638</v>
      </c>
      <c r="C488" s="2" t="s">
        <v>1644</v>
      </c>
      <c r="D488" s="2" t="s">
        <v>1640</v>
      </c>
      <c r="E488" s="2" t="str">
        <f ca="1">IFERROR(__xludf.DUMMYFUNCTION("GOOGLETRANSLATE(D488,""en"",""pt"")"),"O Rotom é um Pokémon elétrico/fantasma introduzido na geração 4. É conhecido como Pokémon de plasma.
O Rotom possui 5 formas alternativas introduzidas no Pokémon Platinum. O Rotom se transforma quando possui diferentes aparelhos domésticos: um forno (roto"&amp;"m de aquecimento), uma máquina de lavar (Rotom), uma geladeira (rotom de geada), um ventilador (roteiro do ventilador) e um cortador de grama (Rotom Mow).
Na geração 4, todas as formas de rotom eram do tipo elétrico/fantasma. A partir da geração 5, cada u"&amp;"m deles tem seu próprio tipo secundário.")</f>
        <v>O Rotom é um Pokémon elétrico/fantasma introduzido na geração 4. É conhecido como Pokémon de plasma.
O Rotom possui 5 formas alternativas introduzidas no Pokémon Platinum. O Rotom se transforma quando possui diferentes aparelhos domésticos: um forno (rotom de aquecimento), uma máquina de lavar (Rotom), uma geladeira (rotom de geada), um ventilador (roteiro do ventilador) e um cortador de grama (Rotom Mow).
Na geração 4, todas as formas de rotom eram do tipo elétrico/fantasma. A partir da geração 5, cada um deles tem seu próprio tipo secundário.</v>
      </c>
      <c r="F488" s="2" t="str">
        <f ca="1">IFERROR(__xludf.DUMMYFUNCTION("GOOGLETRANSLATE(B488,""en"",""pt"")"),"Pokémon de plasma")</f>
        <v>Pokémon de plasma</v>
      </c>
    </row>
    <row r="489" spans="1:6" ht="15.75" customHeight="1" x14ac:dyDescent="0.25">
      <c r="A489" s="2" t="s">
        <v>1637</v>
      </c>
      <c r="B489" s="2" t="s">
        <v>1638</v>
      </c>
      <c r="C489" s="2" t="s">
        <v>1645</v>
      </c>
      <c r="D489" s="2" t="s">
        <v>1640</v>
      </c>
      <c r="E489" s="2" t="str">
        <f ca="1">IFERROR(__xludf.DUMMYFUNCTION("GOOGLETRANSLATE(D489,""en"",""pt"")"),"O Rotom é um Pokémon elétrico/fantasma introduzido na geração 4. É conhecido como Pokémon de plasma.
O Rotom possui 5 formas alternativas introduzidas no Pokémon Platinum. O Rotom se transforma quando possui diferentes aparelhos domésticos: um forno (roto"&amp;"m de aquecimento), uma máquina de lavar (Rotom), uma geladeira (rotom de geada), um ventilador (roteiro do ventilador) e um cortador de grama (Rotom Mow).
Na geração 4, todas as formas de rotom eram do tipo elétrico/fantasma. A partir da geração 5, cada u"&amp;"m deles tem seu próprio tipo secundário.")</f>
        <v>O Rotom é um Pokémon elétrico/fantasma introduzido na geração 4. É conhecido como Pokémon de plasma.
O Rotom possui 5 formas alternativas introduzidas no Pokémon Platinum. O Rotom se transforma quando possui diferentes aparelhos domésticos: um forno (rotom de aquecimento), uma máquina de lavar (Rotom), uma geladeira (rotom de geada), um ventilador (roteiro do ventilador) e um cortador de grama (Rotom Mow).
Na geração 4, todas as formas de rotom eram do tipo elétrico/fantasma. A partir da geração 5, cada um deles tem seu próprio tipo secundário.</v>
      </c>
      <c r="F489" s="2" t="str">
        <f ca="1">IFERROR(__xludf.DUMMYFUNCTION("GOOGLETRANSLATE(B489,""en"",""pt"")"),"Pokémon de plasma")</f>
        <v>Pokémon de plasma</v>
      </c>
    </row>
    <row r="490" spans="1:6" ht="15.75" customHeight="1" x14ac:dyDescent="0.25">
      <c r="A490" s="2" t="s">
        <v>1646</v>
      </c>
      <c r="B490" s="2" t="s">
        <v>1647</v>
      </c>
      <c r="C490" s="2" t="s">
        <v>1648</v>
      </c>
      <c r="D490" s="2" t="s">
        <v>1649</v>
      </c>
      <c r="E490" s="2" t="str">
        <f ca="1">IFERROR(__xludf.DUMMYFUNCTION("GOOGLETRANSLATE(D490,""en"",""pt"")"),"Venonat é um Pokémon do tipo bug/veneno introduzido na geração 1. É conhecido como Pokémon de Insetos.")</f>
        <v>Venonat é um Pokémon do tipo bug/veneno introduzido na geração 1. É conhecido como Pokémon de Insetos.</v>
      </c>
      <c r="F490" s="2" t="str">
        <f ca="1">IFERROR(__xludf.DUMMYFUNCTION("GOOGLETRANSLATE(B490,""en"",""pt"")"),"Pokémon de insetos")</f>
        <v>Pokémon de insetos</v>
      </c>
    </row>
    <row r="491" spans="1:6" ht="15.75" customHeight="1" x14ac:dyDescent="0.25">
      <c r="A491" s="2" t="s">
        <v>1650</v>
      </c>
      <c r="B491" s="2" t="s">
        <v>1651</v>
      </c>
      <c r="C491" s="2" t="s">
        <v>1652</v>
      </c>
      <c r="D491" s="2" t="s">
        <v>1653</v>
      </c>
      <c r="E491" s="2" t="str">
        <f ca="1">IFERROR(__xludf.DUMMYFUNCTION("GOOGLETRANSLATE(D491,""en"",""pt"")"),"Uxie é um Pokémon do tipo psíquico introduzido na geração 4. É conhecido como Pokémon do conhecimento.")</f>
        <v>Uxie é um Pokémon do tipo psíquico introduzido na geração 4. É conhecido como Pokémon do conhecimento.</v>
      </c>
      <c r="F491" s="2" t="str">
        <f ca="1">IFERROR(__xludf.DUMMYFUNCTION("GOOGLETRANSLATE(B491,""en"",""pt"")"),"Pokémon de conhecimento")</f>
        <v>Pokémon de conhecimento</v>
      </c>
    </row>
    <row r="492" spans="1:6" ht="15.75" customHeight="1" x14ac:dyDescent="0.25">
      <c r="A492" s="2" t="s">
        <v>1654</v>
      </c>
      <c r="B492" s="2" t="s">
        <v>783</v>
      </c>
      <c r="C492" s="2" t="s">
        <v>1655</v>
      </c>
      <c r="D492" s="2" t="s">
        <v>1656</v>
      </c>
      <c r="E492" s="2" t="str">
        <f ca="1">IFERROR(__xludf.DUMMYFUNCTION("GOOGLETRANSLATE(D492,""en"",""pt"")"),"Mesprit é um Pokémon do tipo psíquico introduzido na geração 4. É conhecido como Pokémon Emotion.")</f>
        <v>Mesprit é um Pokémon do tipo psíquico introduzido na geração 4. É conhecido como Pokémon Emotion.</v>
      </c>
      <c r="F492" s="2" t="str">
        <f ca="1">IFERROR(__xludf.DUMMYFUNCTION("GOOGLETRANSLATE(B492,""en"",""pt"")"),"Pokémon emoção")</f>
        <v>Pokémon emoção</v>
      </c>
    </row>
    <row r="493" spans="1:6" ht="15.75" customHeight="1" x14ac:dyDescent="0.25">
      <c r="A493" s="2" t="s">
        <v>1657</v>
      </c>
      <c r="B493" s="2" t="s">
        <v>1658</v>
      </c>
      <c r="C493" s="2" t="s">
        <v>1659</v>
      </c>
      <c r="D493" s="2" t="s">
        <v>1660</v>
      </c>
      <c r="E493" s="2" t="str">
        <f ca="1">IFERROR(__xludf.DUMMYFUNCTION("GOOGLETRANSLATE(D493,""en"",""pt"")"),"Azelf é um Pokémon do tipo psíquico introduzido na geração 4. É conhecido como Pokémon de força de vontade.")</f>
        <v>Azelf é um Pokémon do tipo psíquico introduzido na geração 4. É conhecido como Pokémon de força de vontade.</v>
      </c>
      <c r="F493" s="2" t="str">
        <f ca="1">IFERROR(__xludf.DUMMYFUNCTION("GOOGLETRANSLATE(B493,""en"",""pt"")"),"Pokémon de força de vontade")</f>
        <v>Pokémon de força de vontade</v>
      </c>
    </row>
    <row r="494" spans="1:6" ht="15.75" customHeight="1" x14ac:dyDescent="0.25">
      <c r="A494" s="2" t="s">
        <v>1661</v>
      </c>
      <c r="B494" s="2" t="s">
        <v>1662</v>
      </c>
      <c r="C494" s="2" t="s">
        <v>1663</v>
      </c>
      <c r="D494" s="2" t="s">
        <v>1664</v>
      </c>
      <c r="E494" s="2" t="str">
        <f ca="1">IFERROR(__xludf.DUMMYFUNCTION("GOOGLETRANSLATE(D494,""en"",""pt"")"),"Dialga é um Pokémon do tipo de aço/dragão introduzido na geração 4. É conhecido como Pokémon temporal.")</f>
        <v>Dialga é um Pokémon do tipo de aço/dragão introduzido na geração 4. É conhecido como Pokémon temporal.</v>
      </c>
      <c r="F494" s="2" t="str">
        <f ca="1">IFERROR(__xludf.DUMMYFUNCTION("GOOGLETRANSLATE(B494,""en"",""pt"")"),"Pokémon temporal")</f>
        <v>Pokémon temporal</v>
      </c>
    </row>
    <row r="495" spans="1:6" ht="15.75" customHeight="1" x14ac:dyDescent="0.25">
      <c r="A495" s="2" t="s">
        <v>1665</v>
      </c>
      <c r="B495" s="2" t="s">
        <v>1666</v>
      </c>
      <c r="C495" s="2" t="s">
        <v>1667</v>
      </c>
      <c r="D495" s="2" t="s">
        <v>1668</v>
      </c>
      <c r="E495" s="2" t="str">
        <f ca="1">IFERROR(__xludf.DUMMYFUNCTION("GOOGLETRANSLATE(D495,""en"",""pt"")"),"Palkia é um Pokémon do tipo água/dragão introduzido na geração 4. É conhecido como Pokémon espacial.")</f>
        <v>Palkia é um Pokémon do tipo água/dragão introduzido na geração 4. É conhecido como Pokémon espacial.</v>
      </c>
      <c r="F495" s="2" t="str">
        <f ca="1">IFERROR(__xludf.DUMMYFUNCTION("GOOGLETRANSLATE(B495,""en"",""pt"")"),"Pokémon espacial")</f>
        <v>Pokémon espacial</v>
      </c>
    </row>
    <row r="496" spans="1:6" ht="15.75" customHeight="1" x14ac:dyDescent="0.25">
      <c r="A496" s="2" t="s">
        <v>1669</v>
      </c>
      <c r="B496" s="2" t="s">
        <v>1670</v>
      </c>
      <c r="C496" s="2" t="s">
        <v>1671</v>
      </c>
      <c r="D496" s="2" t="s">
        <v>1672</v>
      </c>
      <c r="E496" s="2" t="str">
        <f ca="1">IFERROR(__xludf.DUMMYFUNCTION("GOOGLETRANSLATE(D496,""en"",""pt"")"),"O HEATRAN é um Pokémon do tipo fogo/aço introduzido na geração 4. É conhecido como Pokémon de Lava Dome.")</f>
        <v>O HEATRAN é um Pokémon do tipo fogo/aço introduzido na geração 4. É conhecido como Pokémon de Lava Dome.</v>
      </c>
      <c r="F496" s="2" t="str">
        <f ca="1">IFERROR(__xludf.DUMMYFUNCTION("GOOGLETRANSLATE(B496,""en"",""pt"")"),"Pokémon de Lava Dome")</f>
        <v>Pokémon de Lava Dome</v>
      </c>
    </row>
    <row r="497" spans="1:6" ht="15.75" customHeight="1" x14ac:dyDescent="0.25">
      <c r="A497" s="2" t="s">
        <v>1673</v>
      </c>
      <c r="B497" s="2" t="s">
        <v>1674</v>
      </c>
      <c r="C497" s="2" t="s">
        <v>1675</v>
      </c>
      <c r="D497" s="2" t="s">
        <v>1676</v>
      </c>
      <c r="E497" s="2" t="str">
        <f ca="1">IFERROR(__xludf.DUMMYFUNCTION("GOOGLETRANSLATE(D497,""en"",""pt"")"),"Regigigas é um Pokémon do tipo normal introduzido na geração 4. É conhecido como Pokémon colossal.")</f>
        <v>Regigigas é um Pokémon do tipo normal introduzido na geração 4. É conhecido como Pokémon colossal.</v>
      </c>
      <c r="F497" s="2" t="str">
        <f ca="1">IFERROR(__xludf.DUMMYFUNCTION("GOOGLETRANSLATE(B497,""en"",""pt"")"),"Pokémon colossal")</f>
        <v>Pokémon colossal</v>
      </c>
    </row>
    <row r="498" spans="1:6" ht="15.75" customHeight="1" x14ac:dyDescent="0.25">
      <c r="A498" s="2" t="s">
        <v>1677</v>
      </c>
      <c r="B498" s="2" t="s">
        <v>1678</v>
      </c>
      <c r="C498" s="2" t="s">
        <v>1679</v>
      </c>
      <c r="D498" s="2" t="s">
        <v>1680</v>
      </c>
      <c r="E498" s="2" t="str">
        <f ca="1">IFERROR(__xludf.DUMMYFUNCTION("GOOGLETRANSLATE(D498,""en"",""pt"")"),"Giratina é um Pokémon do tipo fantasma/dragão introduzido na geração 4. É conhecido como Pokémon Renegado.")</f>
        <v>Giratina é um Pokémon do tipo fantasma/dragão introduzido na geração 4. É conhecido como Pokémon Renegado.</v>
      </c>
      <c r="F498" s="2" t="str">
        <f ca="1">IFERROR(__xludf.DUMMYFUNCTION("GOOGLETRANSLATE(B498,""en"",""pt"")"),"Pokémon renegado")</f>
        <v>Pokémon renegado</v>
      </c>
    </row>
    <row r="499" spans="1:6" ht="15.75" customHeight="1" x14ac:dyDescent="0.25">
      <c r="A499" s="2" t="s">
        <v>1677</v>
      </c>
      <c r="B499" s="2" t="s">
        <v>1678</v>
      </c>
      <c r="C499" s="2" t="s">
        <v>1681</v>
      </c>
      <c r="D499" s="2" t="s">
        <v>1680</v>
      </c>
      <c r="E499" s="2" t="str">
        <f ca="1">IFERROR(__xludf.DUMMYFUNCTION("GOOGLETRANSLATE(D499,""en"",""pt"")"),"Giratina é um Pokémon do tipo fantasma/dragão introduzido na geração 4. É conhecido como Pokémon Renegado.")</f>
        <v>Giratina é um Pokémon do tipo fantasma/dragão introduzido na geração 4. É conhecido como Pokémon Renegado.</v>
      </c>
      <c r="F499" s="2" t="str">
        <f ca="1">IFERROR(__xludf.DUMMYFUNCTION("GOOGLETRANSLATE(B499,""en"",""pt"")"),"Pokémon renegado")</f>
        <v>Pokémon renegado</v>
      </c>
    </row>
    <row r="500" spans="1:6" ht="15.75" customHeight="1" x14ac:dyDescent="0.25">
      <c r="A500" s="2" t="s">
        <v>1682</v>
      </c>
      <c r="B500" s="2" t="s">
        <v>1683</v>
      </c>
      <c r="C500" s="2" t="s">
        <v>1684</v>
      </c>
      <c r="D500" s="2" t="s">
        <v>1685</v>
      </c>
      <c r="E500" s="2" t="str">
        <f ca="1">IFERROR(__xludf.DUMMYFUNCTION("GOOGLETRANSLATE(D500,""en"",""pt"")"),"Cresselia é um Pokémon do tipo psíquico introduzido na geração 4. É conhecido como Pokémon Lunar.")</f>
        <v>Cresselia é um Pokémon do tipo psíquico introduzido na geração 4. É conhecido como Pokémon Lunar.</v>
      </c>
      <c r="F500" s="2" t="str">
        <f ca="1">IFERROR(__xludf.DUMMYFUNCTION("GOOGLETRANSLATE(B500,""en"",""pt"")"),"Pokémon lunar")</f>
        <v>Pokémon lunar</v>
      </c>
    </row>
    <row r="501" spans="1:6" ht="15.75" customHeight="1" x14ac:dyDescent="0.25">
      <c r="A501" s="2" t="s">
        <v>1686</v>
      </c>
      <c r="B501" s="2" t="s">
        <v>1687</v>
      </c>
      <c r="C501" s="2" t="s">
        <v>1688</v>
      </c>
      <c r="D501" s="2" t="s">
        <v>1689</v>
      </c>
      <c r="E501" s="2" t="str">
        <f ca="1">IFERROR(__xludf.DUMMYFUNCTION("GOOGLETRANSLATE(D501,""en"",""pt"")"),"Phione é um Pokémon do tipo água introduzido na geração 4. É conhecido como Pokémon Drifter do Mar.")</f>
        <v>Phione é um Pokémon do tipo água introduzido na geração 4. É conhecido como Pokémon Drifter do Mar.</v>
      </c>
      <c r="F501" s="2" t="str">
        <f ca="1">IFERROR(__xludf.DUMMYFUNCTION("GOOGLETRANSLATE(B501,""en"",""pt"")"),"Pokémon do Drifter do mar")</f>
        <v>Pokémon do Drifter do mar</v>
      </c>
    </row>
    <row r="502" spans="1:6" ht="15.75" customHeight="1" x14ac:dyDescent="0.25">
      <c r="A502" s="2" t="s">
        <v>1690</v>
      </c>
      <c r="B502" s="2" t="s">
        <v>727</v>
      </c>
      <c r="C502" s="2" t="s">
        <v>1691</v>
      </c>
      <c r="D502" s="2" t="s">
        <v>1692</v>
      </c>
      <c r="E502" s="2" t="str">
        <f ca="1">IFERROR(__xludf.DUMMYFUNCTION("GOOGLETRANSLATE(D502,""en"",""pt"")"),"Venomoth é um Pokémon do tipo inseto/veneno introduzido na geração 1. É conhecido como Pokémon Poison Moth Pokémon.")</f>
        <v>Venomoth é um Pokémon do tipo inseto/veneno introduzido na geração 1. É conhecido como Pokémon Poison Moth Pokémon.</v>
      </c>
      <c r="F502" s="2" t="str">
        <f ca="1">IFERROR(__xludf.DUMMYFUNCTION("GOOGLETRANSLATE(B502,""en"",""pt"")"),"Pokémon de mariposa venenosa")</f>
        <v>Pokémon de mariposa venenosa</v>
      </c>
    </row>
    <row r="503" spans="1:6" ht="15.75" customHeight="1" x14ac:dyDescent="0.25">
      <c r="A503" s="2" t="s">
        <v>1693</v>
      </c>
      <c r="B503" s="2" t="s">
        <v>1694</v>
      </c>
      <c r="C503" s="2" t="s">
        <v>1695</v>
      </c>
      <c r="D503" s="2" t="s">
        <v>1696</v>
      </c>
      <c r="E503" s="2" t="str">
        <f ca="1">IFERROR(__xludf.DUMMYFUNCTION("GOOGLETRANSLATE(D503,""en"",""pt"")"),"O Manaphy é um Pokémon do tipo água introduzido na geração 4. É conhecido como Pokémon marítimo.")</f>
        <v>O Manaphy é um Pokémon do tipo água introduzido na geração 4. É conhecido como Pokémon marítimo.</v>
      </c>
      <c r="F503" s="2" t="str">
        <f ca="1">IFERROR(__xludf.DUMMYFUNCTION("GOOGLETRANSLATE(B503,""en"",""pt"")"),"Pokémon marítimo")</f>
        <v>Pokémon marítimo</v>
      </c>
    </row>
    <row r="504" spans="1:6" ht="15.75" customHeight="1" x14ac:dyDescent="0.25">
      <c r="A504" s="2" t="s">
        <v>1697</v>
      </c>
      <c r="B504" s="2" t="s">
        <v>1698</v>
      </c>
      <c r="C504" s="2" t="s">
        <v>1699</v>
      </c>
      <c r="D504" s="2" t="s">
        <v>1700</v>
      </c>
      <c r="E504" s="2" t="str">
        <f ca="1">IFERROR(__xludf.DUMMYFUNCTION("GOOGLETRANSLATE(D504,""en"",""pt"")"),"Darkrai é um Pokémon do tipo escuro introduzido na geração 4. É conhecido como Pokémon preto.")</f>
        <v>Darkrai é um Pokémon do tipo escuro introduzido na geração 4. É conhecido como Pokémon preto.</v>
      </c>
      <c r="F504" s="2" t="str">
        <f ca="1">IFERROR(__xludf.DUMMYFUNCTION("GOOGLETRANSLATE(B504,""en"",""pt"")"),"Pokémon preto e preto")</f>
        <v>Pokémon preto e preto</v>
      </c>
    </row>
    <row r="505" spans="1:6" ht="15.75" customHeight="1" x14ac:dyDescent="0.25">
      <c r="A505" s="2" t="s">
        <v>1701</v>
      </c>
      <c r="B505" s="2" t="s">
        <v>1702</v>
      </c>
      <c r="C505" s="2" t="s">
        <v>1703</v>
      </c>
      <c r="D505" s="2" t="s">
        <v>1704</v>
      </c>
      <c r="E505" s="2" t="str">
        <f ca="1">IFERROR(__xludf.DUMMYFUNCTION("GOOGLETRANSLATE(D505,""en"",""pt"")"),"Shaymin é um Pokémon do tipo grama introduzido na geração 4. É conhecido como Pokémon Gratidão.")</f>
        <v>Shaymin é um Pokémon do tipo grama introduzido na geração 4. É conhecido como Pokémon Gratidão.</v>
      </c>
      <c r="F505" s="2" t="str">
        <f ca="1">IFERROR(__xludf.DUMMYFUNCTION("GOOGLETRANSLATE(B505,""en"",""pt"")"),"Gratidão Pokémon")</f>
        <v>Gratidão Pokémon</v>
      </c>
    </row>
    <row r="506" spans="1:6" ht="15.75" customHeight="1" x14ac:dyDescent="0.25">
      <c r="A506" s="2" t="s">
        <v>1701</v>
      </c>
      <c r="B506" s="2" t="s">
        <v>1702</v>
      </c>
      <c r="C506" s="2" t="s">
        <v>1705</v>
      </c>
      <c r="D506" s="2" t="s">
        <v>1704</v>
      </c>
      <c r="E506" s="2" t="str">
        <f ca="1">IFERROR(__xludf.DUMMYFUNCTION("GOOGLETRANSLATE(D506,""en"",""pt"")"),"Shaymin é um Pokémon do tipo grama introduzido na geração 4. É conhecido como Pokémon Gratidão.")</f>
        <v>Shaymin é um Pokémon do tipo grama introduzido na geração 4. É conhecido como Pokémon Gratidão.</v>
      </c>
      <c r="F506" s="2" t="str">
        <f ca="1">IFERROR(__xludf.DUMMYFUNCTION("GOOGLETRANSLATE(B506,""en"",""pt"")"),"Gratidão Pokémon")</f>
        <v>Gratidão Pokémon</v>
      </c>
    </row>
    <row r="507" spans="1:6" ht="15.75" customHeight="1" x14ac:dyDescent="0.25">
      <c r="A507" s="2" t="s">
        <v>1706</v>
      </c>
      <c r="B507" s="2" t="s">
        <v>1707</v>
      </c>
      <c r="C507" s="2" t="s">
        <v>1708</v>
      </c>
      <c r="D507" s="2" t="s">
        <v>1709</v>
      </c>
      <c r="E507" s="2" t="str">
        <f ca="1">IFERROR(__xludf.DUMMYFUNCTION("GOOGLETRANSLATE(D507,""en"",""pt"")"),"Arceus é um Pokémon do tipo normal introduzido na geração 4. É conhecido como Pokémon Alpha.")</f>
        <v>Arceus é um Pokémon do tipo normal introduzido na geração 4. É conhecido como Pokémon Alpha.</v>
      </c>
      <c r="F507" s="2" t="str">
        <f ca="1">IFERROR(__xludf.DUMMYFUNCTION("GOOGLETRANSLATE(B507,""en"",""pt"")"),"Alpha Pokémon")</f>
        <v>Alpha Pokémon</v>
      </c>
    </row>
    <row r="508" spans="1:6" ht="15.75" customHeight="1" x14ac:dyDescent="0.25">
      <c r="A508" s="2" t="s">
        <v>1710</v>
      </c>
      <c r="B508" s="2" t="s">
        <v>1711</v>
      </c>
      <c r="C508" s="2" t="s">
        <v>1712</v>
      </c>
      <c r="D508" s="2" t="s">
        <v>1713</v>
      </c>
      <c r="E508" s="2" t="str">
        <f ca="1">IFERROR(__xludf.DUMMYFUNCTION("GOOGLETRANSLATE(D508,""en"",""pt"")"),"Victini é um Pokémon Psychic/Fire, introduzido na geração 5. É conhecido como Pokémon da vitória.")</f>
        <v>Victini é um Pokémon Psychic/Fire, introduzido na geração 5. É conhecido como Pokémon da vitória.</v>
      </c>
      <c r="F508" s="2" t="str">
        <f ca="1">IFERROR(__xludf.DUMMYFUNCTION("GOOGLETRANSLATE(B508,""en"",""pt"")"),"Pokémon da vitória")</f>
        <v>Pokémon da vitória</v>
      </c>
    </row>
    <row r="509" spans="1:6" ht="15.75" customHeight="1" x14ac:dyDescent="0.25">
      <c r="A509" s="2" t="s">
        <v>1714</v>
      </c>
      <c r="B509" s="2" t="s">
        <v>1715</v>
      </c>
      <c r="C509" s="2" t="s">
        <v>1716</v>
      </c>
      <c r="D509" s="2" t="s">
        <v>1717</v>
      </c>
      <c r="E509" s="2" t="str">
        <f ca="1">IFERROR(__xludf.DUMMYFUNCTION("GOOGLETRANSLATE(D509,""en"",""pt"")"),"Snivy é um Pokémon do tipo grama introduzido na geração 5. É conhecido como Pokémon de cobra de grama.")</f>
        <v>Snivy é um Pokémon do tipo grama introduzido na geração 5. É conhecido como Pokémon de cobra de grama.</v>
      </c>
      <c r="F509" s="2" t="str">
        <f ca="1">IFERROR(__xludf.DUMMYFUNCTION("GOOGLETRANSLATE(B509,""en"",""pt"")"),"Pokémon de cobra de grama")</f>
        <v>Pokémon de cobra de grama</v>
      </c>
    </row>
    <row r="510" spans="1:6" ht="15.75" customHeight="1" x14ac:dyDescent="0.25">
      <c r="A510" s="2" t="s">
        <v>1718</v>
      </c>
      <c r="B510" s="2" t="s">
        <v>1715</v>
      </c>
      <c r="C510" s="2" t="s">
        <v>1719</v>
      </c>
      <c r="D510" s="2" t="s">
        <v>1720</v>
      </c>
      <c r="E510" s="2" t="str">
        <f ca="1">IFERROR(__xludf.DUMMYFUNCTION("GOOGLETRANSLATE(D510,""en"",""pt"")"),"Servine é um Pokémon do tipo grama introduzido na geração 5. É conhecido como Pokémon de cobra de grama.")</f>
        <v>Servine é um Pokémon do tipo grama introduzido na geração 5. É conhecido como Pokémon de cobra de grama.</v>
      </c>
      <c r="F510" s="2" t="str">
        <f ca="1">IFERROR(__xludf.DUMMYFUNCTION("GOOGLETRANSLATE(B510,""en"",""pt"")"),"Pokémon de cobra de grama")</f>
        <v>Pokémon de cobra de grama</v>
      </c>
    </row>
    <row r="511" spans="1:6" ht="15.75" customHeight="1" x14ac:dyDescent="0.25">
      <c r="A511" s="2" t="s">
        <v>1721</v>
      </c>
      <c r="B511" s="2" t="s">
        <v>1722</v>
      </c>
      <c r="C511" s="2" t="s">
        <v>1723</v>
      </c>
      <c r="D511" s="2" t="s">
        <v>1724</v>
      </c>
      <c r="E511" s="2" t="str">
        <f ca="1">IFERROR(__xludf.DUMMYFUNCTION("GOOGLETRANSLATE(D511,""en"",""pt"")"),"O Serperor é um Pokémon do tipo grama introduzido na geração 5. É conhecido como Pokémon real.")</f>
        <v>O Serperor é um Pokémon do tipo grama introduzido na geração 5. É conhecido como Pokémon real.</v>
      </c>
      <c r="F511" s="2" t="str">
        <f ca="1">IFERROR(__xludf.DUMMYFUNCTION("GOOGLETRANSLATE(B511,""en"",""pt"")"),"Pokémon real")</f>
        <v>Pokémon real</v>
      </c>
    </row>
    <row r="512" spans="1:6" ht="15.75" customHeight="1" x14ac:dyDescent="0.25">
      <c r="A512" s="2" t="s">
        <v>1725</v>
      </c>
      <c r="B512" s="2" t="s">
        <v>1726</v>
      </c>
      <c r="C512" s="2" t="s">
        <v>1727</v>
      </c>
      <c r="D512" s="2" t="s">
        <v>1728</v>
      </c>
      <c r="E512" s="2" t="str">
        <f ca="1">IFERROR(__xludf.DUMMYFUNCTION("GOOGLETRANSLATE(D512,""en"",""pt"")"),"Tepig é um Pokémon do tipo incêndio introduzido na geração 5. É conhecido como Pokémon de Pig Fire.")</f>
        <v>Tepig é um Pokémon do tipo incêndio introduzido na geração 5. É conhecido como Pokémon de Pig Fire.</v>
      </c>
      <c r="F512" s="2" t="str">
        <f ca="1">IFERROR(__xludf.DUMMYFUNCTION("GOOGLETRANSLATE(B512,""en"",""pt"")"),"Pokémon de porco de fogo")</f>
        <v>Pokémon de porco de fogo</v>
      </c>
    </row>
    <row r="513" spans="1:6" ht="15.75" customHeight="1" x14ac:dyDescent="0.25">
      <c r="A513" s="2" t="s">
        <v>1729</v>
      </c>
      <c r="B513" s="2" t="s">
        <v>1726</v>
      </c>
      <c r="C513" s="2" t="s">
        <v>1730</v>
      </c>
      <c r="D513" s="2" t="s">
        <v>1731</v>
      </c>
      <c r="E513" s="2" t="str">
        <f ca="1">IFERROR(__xludf.DUMMYFUNCTION("GOOGLETRANSLATE(D513,""en"",""pt"")"),"A Pignite é um Pokémon do tipo Fire/Fighting introduzido na geração 5. É conhecido como Pokémon de Pig Fire.")</f>
        <v>A Pignite é um Pokémon do tipo Fire/Fighting introduzido na geração 5. É conhecido como Pokémon de Pig Fire.</v>
      </c>
      <c r="F513" s="2" t="str">
        <f ca="1">IFERROR(__xludf.DUMMYFUNCTION("GOOGLETRANSLATE(B513,""en"",""pt"")"),"Pokémon de porco de fogo")</f>
        <v>Pokémon de porco de fogo</v>
      </c>
    </row>
    <row r="514" spans="1:6" ht="15.75" customHeight="1" x14ac:dyDescent="0.25">
      <c r="A514" s="2" t="s">
        <v>1732</v>
      </c>
      <c r="B514" s="2" t="s">
        <v>170</v>
      </c>
      <c r="C514" s="2" t="s">
        <v>1733</v>
      </c>
      <c r="D514" s="2" t="s">
        <v>1734</v>
      </c>
      <c r="E514" s="2" t="str">
        <f ca="1">IFERROR(__xludf.DUMMYFUNCTION("GOOGLETRANSLATE(D514,""en"",""pt"")"),"Charmeleon é um Pokémon do tipo incêndio introduzido na geração 1. É conhecido como Pokémon Flame.")</f>
        <v>Charmeleon é um Pokémon do tipo incêndio introduzido na geração 1. É conhecido como Pokémon Flame.</v>
      </c>
      <c r="F514" s="2" t="str">
        <f ca="1">IFERROR(__xludf.DUMMYFUNCTION("GOOGLETRANSLATE(B514,""en"",""pt"")"),"Pokémon de chama")</f>
        <v>Pokémon de chama</v>
      </c>
    </row>
    <row r="515" spans="1:6" ht="15.75" customHeight="1" x14ac:dyDescent="0.25">
      <c r="A515" s="2" t="s">
        <v>1735</v>
      </c>
      <c r="B515" s="2" t="s">
        <v>1736</v>
      </c>
      <c r="C515" s="2" t="s">
        <v>1737</v>
      </c>
      <c r="D515" s="2" t="s">
        <v>1738</v>
      </c>
      <c r="E515" s="2" t="str">
        <f ca="1">IFERROR(__xludf.DUMMYFUNCTION("GOOGLETRANSLATE(D515,""en"",""pt"")"),"Diglett é um Pokémon do tipo terra introduzido na geração 1. É conhecido como Pokémon Mole.")</f>
        <v>Diglett é um Pokémon do tipo terra introduzido na geração 1. É conhecido como Pokémon Mole.</v>
      </c>
      <c r="F515" s="2" t="str">
        <f ca="1">IFERROR(__xludf.DUMMYFUNCTION("GOOGLETRANSLATE(B515,""en"",""pt"")"),"Mole Pokémon")</f>
        <v>Mole Pokémon</v>
      </c>
    </row>
    <row r="516" spans="1:6" ht="15.75" customHeight="1" x14ac:dyDescent="0.25">
      <c r="A516" s="2" t="s">
        <v>1735</v>
      </c>
      <c r="B516" s="2" t="s">
        <v>1736</v>
      </c>
      <c r="C516" s="2" t="s">
        <v>1739</v>
      </c>
      <c r="D516" s="2" t="s">
        <v>1738</v>
      </c>
      <c r="E516" s="2" t="str">
        <f ca="1">IFERROR(__xludf.DUMMYFUNCTION("GOOGLETRANSLATE(D516,""en"",""pt"")"),"Diglett é um Pokémon do tipo terra introduzido na geração 1. É conhecido como Pokémon Mole.")</f>
        <v>Diglett é um Pokémon do tipo terra introduzido na geração 1. É conhecido como Pokémon Mole.</v>
      </c>
      <c r="F516" s="2" t="str">
        <f ca="1">IFERROR(__xludf.DUMMYFUNCTION("GOOGLETRANSLATE(B516,""en"",""pt"")"),"Mole Pokémon")</f>
        <v>Mole Pokémon</v>
      </c>
    </row>
    <row r="517" spans="1:6" ht="15.75" customHeight="1" x14ac:dyDescent="0.25">
      <c r="A517" s="2" t="s">
        <v>1740</v>
      </c>
      <c r="B517" s="2" t="s">
        <v>1741</v>
      </c>
      <c r="C517" s="2" t="s">
        <v>1742</v>
      </c>
      <c r="D517" s="2" t="s">
        <v>1743</v>
      </c>
      <c r="E517" s="2" t="str">
        <f ca="1">IFERROR(__xludf.DUMMYFUNCTION("GOOGLETRANSLATE(D517,""en"",""pt"")"),"O EMBOAR é um Pokémon do tipo Fire/Fighting introduzido na geração 5. É conhecido como mega Pokémon Pig Pig.")</f>
        <v>O EMBOAR é um Pokémon do tipo Fire/Fighting introduzido na geração 5. É conhecido como mega Pokémon Pig Pig.</v>
      </c>
      <c r="F517" s="2" t="str">
        <f ca="1">IFERROR(__xludf.DUMMYFUNCTION("GOOGLETRANSLATE(B517,""en"",""pt"")"),"Mega Pokémon de porco de fogo")</f>
        <v>Mega Pokémon de porco de fogo</v>
      </c>
    </row>
    <row r="518" spans="1:6" ht="15.75" customHeight="1" x14ac:dyDescent="0.25">
      <c r="A518" s="2" t="s">
        <v>1744</v>
      </c>
      <c r="B518" s="2" t="s">
        <v>1745</v>
      </c>
      <c r="C518" s="2" t="s">
        <v>1746</v>
      </c>
      <c r="D518" s="2" t="s">
        <v>1747</v>
      </c>
      <c r="E518" s="2" t="str">
        <f ca="1">IFERROR(__xludf.DUMMYFUNCTION("GOOGLETRANSLATE(D518,""en"",""pt"")"),"Oshawott é um Pokémon do tipo água introduzido na geração 5. É conhecido como Pokémon Otter Sea.")</f>
        <v>Oshawott é um Pokémon do tipo água introduzido na geração 5. É conhecido como Pokémon Otter Sea.</v>
      </c>
      <c r="F518" s="2" t="str">
        <f ca="1">IFERROR(__xludf.DUMMYFUNCTION("GOOGLETRANSLATE(B518,""en"",""pt"")"),"Pokémon de lontra marítima")</f>
        <v>Pokémon de lontra marítima</v>
      </c>
    </row>
    <row r="519" spans="1:6" ht="15.75" customHeight="1" x14ac:dyDescent="0.25">
      <c r="A519" s="2" t="s">
        <v>1748</v>
      </c>
      <c r="B519" s="2" t="s">
        <v>1749</v>
      </c>
      <c r="C519" s="2" t="s">
        <v>1750</v>
      </c>
      <c r="D519" s="2" t="s">
        <v>1751</v>
      </c>
      <c r="E519" s="2" t="str">
        <f ca="1">IFERROR(__xludf.DUMMYFUNCTION("GOOGLETRANSLATE(D519,""en"",""pt"")"),"Dewott é um Pokémon do tipo água introduzido na geração 5. É conhecido como Pokémon Disciplina.")</f>
        <v>Dewott é um Pokémon do tipo água introduzido na geração 5. É conhecido como Pokémon Disciplina.</v>
      </c>
      <c r="F519" s="2" t="str">
        <f ca="1">IFERROR(__xludf.DUMMYFUNCTION("GOOGLETRANSLATE(B519,""en"",""pt"")"),"Pokémon de disciplina")</f>
        <v>Pokémon de disciplina</v>
      </c>
    </row>
    <row r="520" spans="1:6" ht="15.75" customHeight="1" x14ac:dyDescent="0.25">
      <c r="A520" s="2" t="s">
        <v>1752</v>
      </c>
      <c r="B520" s="2" t="s">
        <v>1753</v>
      </c>
      <c r="C520" s="2" t="s">
        <v>1754</v>
      </c>
      <c r="D520" s="2" t="s">
        <v>1755</v>
      </c>
      <c r="E520" s="2" t="str">
        <f ca="1">IFERROR(__xludf.DUMMYFUNCTION("GOOGLETRANSLATE(D520,""en"",""pt"")"),"Samurott é um Pokémon do tipo água introduzido na geração 5. É conhecido como o Pokémon formidável.")</f>
        <v>Samurott é um Pokémon do tipo água introduzido na geração 5. É conhecido como o Pokémon formidável.</v>
      </c>
      <c r="F520" s="2" t="str">
        <f ca="1">IFERROR(__xludf.DUMMYFUNCTION("GOOGLETRANSLATE(B520,""en"",""pt"")"),"Pokémon formidável")</f>
        <v>Pokémon formidável</v>
      </c>
    </row>
    <row r="521" spans="1:6" ht="15.75" customHeight="1" x14ac:dyDescent="0.25">
      <c r="A521" s="2" t="s">
        <v>1756</v>
      </c>
      <c r="B521" s="2" t="s">
        <v>274</v>
      </c>
      <c r="C521" s="2" t="s">
        <v>1757</v>
      </c>
      <c r="D521" s="2" t="s">
        <v>1758</v>
      </c>
      <c r="E521" s="2" t="str">
        <f ca="1">IFERROR(__xludf.DUMMYFUNCTION("GOOGLETRANSLATE(D521,""en"",""pt"")"),"Patrat é um Pokémon do tipo normal introduzido na geração 5. É conhecido como Pokémon Scout.")</f>
        <v>Patrat é um Pokémon do tipo normal introduzido na geração 5. É conhecido como Pokémon Scout.</v>
      </c>
      <c r="F521" s="2" t="str">
        <f ca="1">IFERROR(__xludf.DUMMYFUNCTION("GOOGLETRANSLATE(B521,""en"",""pt"")"),"Scout Pokémon")</f>
        <v>Scout Pokémon</v>
      </c>
    </row>
    <row r="522" spans="1:6" ht="15.75" customHeight="1" x14ac:dyDescent="0.25">
      <c r="A522" s="2" t="s">
        <v>1759</v>
      </c>
      <c r="B522" s="2" t="s">
        <v>1760</v>
      </c>
      <c r="C522" s="2" t="s">
        <v>1761</v>
      </c>
      <c r="D522" s="2" t="s">
        <v>1762</v>
      </c>
      <c r="E522" s="2" t="str">
        <f ca="1">IFERROR(__xludf.DUMMYFUNCTION("GOOGLETRANSLATE(D522,""en"",""pt"")"),"O Watlog é um Pokémon do tipo normal introduzido na geração 5. É conhecido como Pokémon Lookout.")</f>
        <v>O Watlog é um Pokémon do tipo normal introduzido na geração 5. É conhecido como Pokémon Lookout.</v>
      </c>
      <c r="F522" s="2" t="str">
        <f ca="1">IFERROR(__xludf.DUMMYFUNCTION("GOOGLETRANSLATE(B522,""en"",""pt"")"),"Lookout Pokémon")</f>
        <v>Lookout Pokémon</v>
      </c>
    </row>
    <row r="523" spans="1:6" ht="15.75" customHeight="1" x14ac:dyDescent="0.25">
      <c r="A523" s="2" t="s">
        <v>1763</v>
      </c>
      <c r="B523" s="2" t="s">
        <v>1764</v>
      </c>
      <c r="C523" s="2" t="s">
        <v>1765</v>
      </c>
      <c r="D523" s="2" t="s">
        <v>1766</v>
      </c>
      <c r="E523" s="2" t="str">
        <f ca="1">IFERROR(__xludf.DUMMYFUNCTION("GOOGLETRANSLATE(D523,""en"",""pt"")"),"Lillipup é um Pokémon do tipo normal introduzido na geração 5. É conhecido como Pokémon Puppy.")</f>
        <v>Lillipup é um Pokémon do tipo normal introduzido na geração 5. É conhecido como Pokémon Puppy.</v>
      </c>
      <c r="F523" s="2" t="str">
        <f ca="1">IFERROR(__xludf.DUMMYFUNCTION("GOOGLETRANSLATE(B523,""en"",""pt"")"),"Pokémon de cachorro")</f>
        <v>Pokémon de cachorro</v>
      </c>
    </row>
    <row r="524" spans="1:6" ht="15.75" customHeight="1" x14ac:dyDescent="0.25">
      <c r="A524" s="2" t="s">
        <v>1767</v>
      </c>
      <c r="B524" s="2" t="s">
        <v>1768</v>
      </c>
      <c r="C524" s="2" t="s">
        <v>1769</v>
      </c>
      <c r="D524" s="2" t="s">
        <v>1770</v>
      </c>
      <c r="E524" s="2" t="str">
        <f ca="1">IFERROR(__xludf.DUMMYFUNCTION("GOOGLETRANSLATE(D524,""en"",""pt"")"),"O pastor é um Pokémon do tipo normal introduzido na geração 5. É conhecido como o Pokémon Leal Dog.")</f>
        <v>O pastor é um Pokémon do tipo normal introduzido na geração 5. É conhecido como o Pokémon Leal Dog.</v>
      </c>
      <c r="F524" s="2" t="str">
        <f ca="1">IFERROR(__xludf.DUMMYFUNCTION("GOOGLETRANSLATE(B524,""en"",""pt"")"),"Pokémon leal de cachorro")</f>
        <v>Pokémon leal de cachorro</v>
      </c>
    </row>
    <row r="525" spans="1:6" ht="15.75" customHeight="1" x14ac:dyDescent="0.25">
      <c r="A525" s="2" t="s">
        <v>1771</v>
      </c>
      <c r="B525" s="2" t="s">
        <v>1772</v>
      </c>
      <c r="C525" s="2" t="s">
        <v>1773</v>
      </c>
      <c r="D525" s="2" t="s">
        <v>1774</v>
      </c>
      <c r="E525" s="2" t="str">
        <f ca="1">IFERROR(__xludf.DUMMYFUNCTION("GOOGLETRANSLATE(D525,""en"",""pt"")"),"Stoutland é um Pokémon do tipo normal introduzido na geração 5. É conhecido como o Pokémon de grande coração.")</f>
        <v>Stoutland é um Pokémon do tipo normal introduzido na geração 5. É conhecido como o Pokémon de grande coração.</v>
      </c>
      <c r="F525" s="2" t="str">
        <f ca="1">IFERROR(__xludf.DUMMYFUNCTION("GOOGLETRANSLATE(B525,""en"",""pt"")"),"Pokémon de grande coração")</f>
        <v>Pokémon de grande coração</v>
      </c>
    </row>
    <row r="526" spans="1:6" ht="15.75" customHeight="1" x14ac:dyDescent="0.25">
      <c r="A526" s="2" t="s">
        <v>1775</v>
      </c>
      <c r="B526" s="2" t="s">
        <v>1776</v>
      </c>
      <c r="C526" s="2" t="s">
        <v>1777</v>
      </c>
      <c r="D526" s="2" t="s">
        <v>1778</v>
      </c>
      <c r="E526" s="2" t="str">
        <f ca="1">IFERROR(__xludf.DUMMYFUNCTION("GOOGLETRANSLATE(D526,""en"",""pt"")"),"Purrloin é um Pokémon do tipo escuro introduzido na geração 5. É conhecido como Pokémon Devioso.")</f>
        <v>Purrloin é um Pokémon do tipo escuro introduzido na geração 5. É conhecido como Pokémon Devioso.</v>
      </c>
      <c r="F526" s="2" t="str">
        <f ca="1">IFERROR(__xludf.DUMMYFUNCTION("GOOGLETRANSLATE(B526,""en"",""pt"")"),"Pokémon desonesto")</f>
        <v>Pokémon desonesto</v>
      </c>
    </row>
    <row r="527" spans="1:6" ht="15.75" customHeight="1" x14ac:dyDescent="0.25">
      <c r="A527" s="2" t="s">
        <v>1779</v>
      </c>
      <c r="B527" s="2" t="s">
        <v>1736</v>
      </c>
      <c r="C527" s="2" t="s">
        <v>1780</v>
      </c>
      <c r="D527" s="2" t="s">
        <v>1781</v>
      </c>
      <c r="E527" s="2" t="str">
        <f ca="1">IFERROR(__xludf.DUMMYFUNCTION("GOOGLETRANSLATE(D527,""en"",""pt"")"),"Dugtrio é um Pokémon do tipo terra introduzido na geração 1. É conhecido como Pokémon Mole.")</f>
        <v>Dugtrio é um Pokémon do tipo terra introduzido na geração 1. É conhecido como Pokémon Mole.</v>
      </c>
      <c r="F527" s="2" t="str">
        <f ca="1">IFERROR(__xludf.DUMMYFUNCTION("GOOGLETRANSLATE(B527,""en"",""pt"")"),"Mole Pokémon")</f>
        <v>Mole Pokémon</v>
      </c>
    </row>
    <row r="528" spans="1:6" ht="15.75" customHeight="1" x14ac:dyDescent="0.25">
      <c r="A528" s="2" t="s">
        <v>1779</v>
      </c>
      <c r="B528" s="2" t="s">
        <v>1736</v>
      </c>
      <c r="C528" s="2" t="s">
        <v>1782</v>
      </c>
      <c r="D528" s="2" t="s">
        <v>1781</v>
      </c>
      <c r="E528" s="2" t="str">
        <f ca="1">IFERROR(__xludf.DUMMYFUNCTION("GOOGLETRANSLATE(D528,""en"",""pt"")"),"Dugtrio é um Pokémon do tipo terra introduzido na geração 1. É conhecido como Pokémon Mole.")</f>
        <v>Dugtrio é um Pokémon do tipo terra introduzido na geração 1. É conhecido como Pokémon Mole.</v>
      </c>
      <c r="F528" s="2" t="str">
        <f ca="1">IFERROR(__xludf.DUMMYFUNCTION("GOOGLETRANSLATE(B528,""en"",""pt"")"),"Mole Pokémon")</f>
        <v>Mole Pokémon</v>
      </c>
    </row>
    <row r="529" spans="1:6" ht="15.75" customHeight="1" x14ac:dyDescent="0.25">
      <c r="A529" s="2" t="s">
        <v>1783</v>
      </c>
      <c r="B529" s="2" t="s">
        <v>1784</v>
      </c>
      <c r="C529" s="2" t="s">
        <v>1785</v>
      </c>
      <c r="D529" s="2" t="s">
        <v>1786</v>
      </c>
      <c r="E529" s="2" t="str">
        <f ca="1">IFERROR(__xludf.DUMMYFUNCTION("GOOGLETRANSLATE(D529,""en"",""pt"")"),"Liepard é um Pokémon do tipo escuro introduzido na geração 5. É conhecido como Pokémon cruel.")</f>
        <v>Liepard é um Pokémon do tipo escuro introduzido na geração 5. É conhecido como Pokémon cruel.</v>
      </c>
      <c r="F529" s="2" t="str">
        <f ca="1">IFERROR(__xludf.DUMMYFUNCTION("GOOGLETRANSLATE(B529,""en"",""pt"")"),"Pokémon cruel")</f>
        <v>Pokémon cruel</v>
      </c>
    </row>
    <row r="530" spans="1:6" ht="15.75" customHeight="1" x14ac:dyDescent="0.25">
      <c r="A530" s="2" t="s">
        <v>1787</v>
      </c>
      <c r="B530" s="2" t="s">
        <v>1788</v>
      </c>
      <c r="C530" s="2" t="s">
        <v>1789</v>
      </c>
      <c r="D530" s="2" t="s">
        <v>1790</v>
      </c>
      <c r="E530" s="2" t="str">
        <f ca="1">IFERROR(__xludf.DUMMYFUNCTION("GOOGLETRANSLATE(D530,""en"",""pt"")"),"O Pansage é um Pokémon do tipo grama introduzido na geração 5. É conhecido como Pokémon de Macaco Grass.")</f>
        <v>O Pansage é um Pokémon do tipo grama introduzido na geração 5. É conhecido como Pokémon de Macaco Grass.</v>
      </c>
      <c r="F530" s="2" t="str">
        <f ca="1">IFERROR(__xludf.DUMMYFUNCTION("GOOGLETRANSLATE(B530,""en"",""pt"")"),"Pokémon de macaco da grama")</f>
        <v>Pokémon de macaco da grama</v>
      </c>
    </row>
    <row r="531" spans="1:6" ht="15.75" customHeight="1" x14ac:dyDescent="0.25">
      <c r="A531" s="2" t="s">
        <v>1791</v>
      </c>
      <c r="B531" s="2" t="s">
        <v>1792</v>
      </c>
      <c r="C531" s="2" t="s">
        <v>1793</v>
      </c>
      <c r="D531" s="2" t="s">
        <v>1794</v>
      </c>
      <c r="E531" s="2" t="str">
        <f ca="1">IFERROR(__xludf.DUMMYFUNCTION("GOOGLETRANSLATE(D531,""en"",""pt"")"),"Simisage é um Pokémon do tipo grama introduzido na geração 5. É conhecido como Pokémon Monkey de Thorn.")</f>
        <v>Simisage é um Pokémon do tipo grama introduzido na geração 5. É conhecido como Pokémon Monkey de Thorn.</v>
      </c>
      <c r="F531" s="2" t="str">
        <f ca="1">IFERROR(__xludf.DUMMYFUNCTION("GOOGLETRANSLATE(B531,""en"",""pt"")"),"Pokémon de Macaco de Thorn")</f>
        <v>Pokémon de Macaco de Thorn</v>
      </c>
    </row>
    <row r="532" spans="1:6" ht="15.75" customHeight="1" x14ac:dyDescent="0.25">
      <c r="A532" s="2" t="s">
        <v>1795</v>
      </c>
      <c r="B532" s="2" t="s">
        <v>1796</v>
      </c>
      <c r="C532" s="2" t="s">
        <v>1797</v>
      </c>
      <c r="D532" s="2" t="s">
        <v>1798</v>
      </c>
      <c r="E532" s="2" t="str">
        <f ca="1">IFERROR(__xludf.DUMMYFUNCTION("GOOGLETRANSLATE(D532,""en"",""pt"")"),"Panear é um Pokémon do tipo incêndio introduzido na geração 5. É conhecido como Pokémon de alta temperatura.")</f>
        <v>Panear é um Pokémon do tipo incêndio introduzido na geração 5. É conhecido como Pokémon de alta temperatura.</v>
      </c>
      <c r="F532" s="2" t="str">
        <f ca="1">IFERROR(__xludf.DUMMYFUNCTION("GOOGLETRANSLATE(B532,""en"",""pt"")"),"Pokémon de alta temperatura")</f>
        <v>Pokémon de alta temperatura</v>
      </c>
    </row>
    <row r="533" spans="1:6" ht="15.75" customHeight="1" x14ac:dyDescent="0.25">
      <c r="A533" s="2" t="s">
        <v>1799</v>
      </c>
      <c r="B533" s="2" t="s">
        <v>1800</v>
      </c>
      <c r="C533" s="2" t="s">
        <v>1801</v>
      </c>
      <c r="D533" s="2" t="s">
        <v>1802</v>
      </c>
      <c r="E533" s="2" t="str">
        <f ca="1">IFERROR(__xludf.DUMMYFUNCTION("GOOGLETRANSLATE(D533,""en"",""pt"")"),"Simisear é um Pokémon do tipo incêndio introduzido na geração 5. É conhecido como Pokémon Ember.")</f>
        <v>Simisear é um Pokémon do tipo incêndio introduzido na geração 5. É conhecido como Pokémon Ember.</v>
      </c>
      <c r="F533" s="2" t="str">
        <f ca="1">IFERROR(__xludf.DUMMYFUNCTION("GOOGLETRANSLATE(B533,""en"",""pt"")"),"Pokémon Ember")</f>
        <v>Pokémon Ember</v>
      </c>
    </row>
    <row r="534" spans="1:6" ht="15.75" customHeight="1" x14ac:dyDescent="0.25">
      <c r="A534" s="2" t="s">
        <v>1803</v>
      </c>
      <c r="B534" s="2" t="s">
        <v>1804</v>
      </c>
      <c r="C534" s="2" t="s">
        <v>1805</v>
      </c>
      <c r="D534" s="2" t="s">
        <v>1806</v>
      </c>
      <c r="E534" s="2" t="str">
        <f ca="1">IFERROR(__xludf.DUMMYFUNCTION("GOOGLETRANSLATE(D534,""en"",""pt"")"),"Panpour é um Pokémon do tipo água introduzido na geração 5. É conhecido como Pokémon Spray.")</f>
        <v>Panpour é um Pokémon do tipo água introduzido na geração 5. É conhecido como Pokémon Spray.</v>
      </c>
      <c r="F534" s="2" t="str">
        <f ca="1">IFERROR(__xludf.DUMMYFUNCTION("GOOGLETRANSLATE(B534,""en"",""pt"")"),"Spray Pokémon")</f>
        <v>Spray Pokémon</v>
      </c>
    </row>
    <row r="535" spans="1:6" ht="15.75" customHeight="1" x14ac:dyDescent="0.25">
      <c r="A535" s="2" t="s">
        <v>1807</v>
      </c>
      <c r="B535" s="2" t="s">
        <v>1808</v>
      </c>
      <c r="C535" s="2" t="s">
        <v>1809</v>
      </c>
      <c r="D535" s="2" t="s">
        <v>1810</v>
      </c>
      <c r="E535" s="2" t="str">
        <f ca="1">IFERROR(__xludf.DUMMYFUNCTION("GOOGLETRANSLATE(D535,""en"",""pt"")"),"Simipour é um Pokémon do tipo água introduzido na geração 5. É conhecido como Pokémon Geyser.")</f>
        <v>Simipour é um Pokémon do tipo água introduzido na geração 5. É conhecido como Pokémon Geyser.</v>
      </c>
      <c r="F535" s="2" t="str">
        <f ca="1">IFERROR(__xludf.DUMMYFUNCTION("GOOGLETRANSLATE(B535,""en"",""pt"")"),"Geyser Pokémon")</f>
        <v>Geyser Pokémon</v>
      </c>
    </row>
    <row r="536" spans="1:6" ht="15.75" customHeight="1" x14ac:dyDescent="0.25">
      <c r="A536" s="2" t="s">
        <v>1811</v>
      </c>
      <c r="B536" s="2" t="s">
        <v>1812</v>
      </c>
      <c r="C536" s="2" t="s">
        <v>1813</v>
      </c>
      <c r="D536" s="2" t="s">
        <v>1814</v>
      </c>
      <c r="E536" s="2" t="str">
        <f ca="1">IFERROR(__xludf.DUMMYFUNCTION("GOOGLETRANSLATE(D536,""en"",""pt"")"),"Munna é um Pokémon do tipo psíquico introduzido na geração 5. É conhecido como o Pokémon Dream Eater.")</f>
        <v>Munna é um Pokémon do tipo psíquico introduzido na geração 5. É conhecido como o Pokémon Dream Eater.</v>
      </c>
      <c r="F536" s="2" t="str">
        <f ca="1">IFERROR(__xludf.DUMMYFUNCTION("GOOGLETRANSLATE(B536,""en"",""pt"")"),"Dream Eater Pokémon")</f>
        <v>Dream Eater Pokémon</v>
      </c>
    </row>
    <row r="537" spans="1:6" ht="15.75" customHeight="1" x14ac:dyDescent="0.25">
      <c r="A537" s="2" t="s">
        <v>1815</v>
      </c>
      <c r="B537" s="2" t="s">
        <v>1816</v>
      </c>
      <c r="C537" s="2" t="s">
        <v>1817</v>
      </c>
      <c r="D537" s="2" t="s">
        <v>1818</v>
      </c>
      <c r="E537" s="2" t="str">
        <f ca="1">IFERROR(__xludf.DUMMYFUNCTION("GOOGLETRANSLATE(D537,""en"",""pt"")"),"Musharna é um Pokémon do tipo psíquico introduzido na geração 5. É conhecido como Pokémon Drowsing.")</f>
        <v>Musharna é um Pokémon do tipo psíquico introduzido na geração 5. É conhecido como Pokémon Drowsing.</v>
      </c>
      <c r="F537" s="2" t="str">
        <f ca="1">IFERROR(__xludf.DUMMYFUNCTION("GOOGLETRANSLATE(B537,""en"",""pt"")"),"Pokémon em roer")</f>
        <v>Pokémon em roer</v>
      </c>
    </row>
    <row r="538" spans="1:6" ht="15.75" customHeight="1" x14ac:dyDescent="0.25">
      <c r="A538" s="2" t="s">
        <v>1819</v>
      </c>
      <c r="B538" s="2" t="s">
        <v>1820</v>
      </c>
      <c r="C538" s="2" t="s">
        <v>1821</v>
      </c>
      <c r="D538" s="2" t="s">
        <v>1822</v>
      </c>
      <c r="E538" s="2" t="str">
        <f ca="1">IFERROR(__xludf.DUMMYFUNCTION("GOOGLETRANSLATE(D538,""en"",""pt"")"),"O PIDOVE é um Pokémon normal/voador introduzido na geração 5. É conhecido como Pokémon Pigeon minúsculo.")</f>
        <v>O PIDOVE é um Pokémon normal/voador introduzido na geração 5. É conhecido como Pokémon Pigeon minúsculo.</v>
      </c>
      <c r="F538" s="2" t="str">
        <f ca="1">IFERROR(__xludf.DUMMYFUNCTION("GOOGLETRANSLATE(B538,""en"",""pt"")"),"Pokémon de pombo minúsculo")</f>
        <v>Pokémon de pombo minúsculo</v>
      </c>
    </row>
    <row r="539" spans="1:6" ht="15.75" customHeight="1" x14ac:dyDescent="0.25">
      <c r="A539" s="2" t="s">
        <v>1823</v>
      </c>
      <c r="B539" s="2" t="s">
        <v>1824</v>
      </c>
      <c r="C539" s="2" t="s">
        <v>1825</v>
      </c>
      <c r="D539" s="2" t="s">
        <v>1826</v>
      </c>
      <c r="E539" s="2" t="str">
        <f ca="1">IFERROR(__xludf.DUMMYFUNCTION("GOOGLETRANSLATE(D539,""en"",""pt"")"),"Meowth é um Pokémon do tipo normal introduzido na geração 1. É conhecido como Pokémon Scratch Cat.
Meowth tem uma nova forma Alolan introduzida em Pokémon Sun/Moon.")</f>
        <v>Meowth é um Pokémon do tipo normal introduzido na geração 1. É conhecido como Pokémon Scratch Cat.
Meowth tem uma nova forma Alolan introduzida em Pokémon Sun/Moon.</v>
      </c>
      <c r="F539" s="2" t="str">
        <f ca="1">IFERROR(__xludf.DUMMYFUNCTION("GOOGLETRANSLATE(B539,""en"",""pt"")"),"Scratch Cat Pokémon")</f>
        <v>Scratch Cat Pokémon</v>
      </c>
    </row>
    <row r="540" spans="1:6" ht="15.75" customHeight="1" x14ac:dyDescent="0.25">
      <c r="A540" s="2" t="s">
        <v>1823</v>
      </c>
      <c r="B540" s="2" t="s">
        <v>1824</v>
      </c>
      <c r="C540" s="2" t="s">
        <v>1827</v>
      </c>
      <c r="D540" s="2" t="s">
        <v>1826</v>
      </c>
      <c r="E540" s="2" t="str">
        <f ca="1">IFERROR(__xludf.DUMMYFUNCTION("GOOGLETRANSLATE(D540,""en"",""pt"")"),"Meowth é um Pokémon do tipo normal introduzido na geração 1. É conhecido como Pokémon Scratch Cat.
Meowth tem uma nova forma Alolan introduzida em Pokémon Sun/Moon.")</f>
        <v>Meowth é um Pokémon do tipo normal introduzido na geração 1. É conhecido como Pokémon Scratch Cat.
Meowth tem uma nova forma Alolan introduzida em Pokémon Sun/Moon.</v>
      </c>
      <c r="F540" s="2" t="str">
        <f ca="1">IFERROR(__xludf.DUMMYFUNCTION("GOOGLETRANSLATE(B540,""en"",""pt"")"),"Scratch Cat Pokémon")</f>
        <v>Scratch Cat Pokémon</v>
      </c>
    </row>
    <row r="541" spans="1:6" ht="15.75" customHeight="1" x14ac:dyDescent="0.25">
      <c r="A541" s="2" t="s">
        <v>1828</v>
      </c>
      <c r="B541" s="2" t="s">
        <v>1829</v>
      </c>
      <c r="C541" s="2" t="s">
        <v>1830</v>
      </c>
      <c r="D541" s="2" t="s">
        <v>1831</v>
      </c>
      <c r="E541" s="2" t="str">
        <f ca="1">IFERROR(__xludf.DUMMYFUNCTION("GOOGLETRANSLATE(D541,""en"",""pt"")"),"Tranquill é um Pokémon normal/voador introduzido na geração 5. É conhecido como Pokémon Wild Pigeon.")</f>
        <v>Tranquill é um Pokémon normal/voador introduzido na geração 5. É conhecido como Pokémon Wild Pigeon.</v>
      </c>
      <c r="F541" s="2" t="str">
        <f ca="1">IFERROR(__xludf.DUMMYFUNCTION("GOOGLETRANSLATE(B541,""en"",""pt"")"),"Pokémon de pombo selvagem")</f>
        <v>Pokémon de pombo selvagem</v>
      </c>
    </row>
    <row r="542" spans="1:6" ht="15.75" customHeight="1" x14ac:dyDescent="0.25">
      <c r="A542" s="2" t="s">
        <v>1832</v>
      </c>
      <c r="B542" s="2" t="s">
        <v>1833</v>
      </c>
      <c r="C542" s="2" t="s">
        <v>1834</v>
      </c>
      <c r="D542" s="2" t="s">
        <v>1835</v>
      </c>
      <c r="E542" s="2" t="str">
        <f ca="1">IFERROR(__xludf.DUMMYFUNCTION("GOOGLETRANSLATE(D542,""en"",""pt"")"),"Usezant é um Pokémon normal/voador introduzido na geração 5. É conhecido como Pokémon orgulhoso.")</f>
        <v>Usezant é um Pokémon normal/voador introduzido na geração 5. É conhecido como Pokémon orgulhoso.</v>
      </c>
      <c r="F542" s="2" t="str">
        <f ca="1">IFERROR(__xludf.DUMMYFUNCTION("GOOGLETRANSLATE(B542,""en"",""pt"")"),"Pokémon orgulhoso")</f>
        <v>Pokémon orgulhoso</v>
      </c>
    </row>
    <row r="543" spans="1:6" ht="15.75" customHeight="1" x14ac:dyDescent="0.25">
      <c r="A543" s="2" t="s">
        <v>1836</v>
      </c>
      <c r="B543" s="2" t="s">
        <v>1837</v>
      </c>
      <c r="C543" s="2" t="s">
        <v>1838</v>
      </c>
      <c r="D543" s="2" t="s">
        <v>1839</v>
      </c>
      <c r="E543" s="2" t="str">
        <f ca="1">IFERROR(__xludf.DUMMYFUNCTION("GOOGLETRANSLATE(D543,""en"",""pt"")"),"Blitzle é um Pokémon do tipo elétrico introduzido na geração 5. É conhecido como Pokémon eletrificado.")</f>
        <v>Blitzle é um Pokémon do tipo elétrico introduzido na geração 5. É conhecido como Pokémon eletrificado.</v>
      </c>
      <c r="F543" s="2" t="str">
        <f ca="1">IFERROR(__xludf.DUMMYFUNCTION("GOOGLETRANSLATE(B543,""en"",""pt"")"),"Pokémon eletrificado")</f>
        <v>Pokémon eletrificado</v>
      </c>
    </row>
    <row r="544" spans="1:6" ht="15.75" customHeight="1" x14ac:dyDescent="0.25">
      <c r="A544" s="2" t="s">
        <v>1840</v>
      </c>
      <c r="B544" s="2" t="s">
        <v>1584</v>
      </c>
      <c r="C544" s="2" t="s">
        <v>1841</v>
      </c>
      <c r="D544" s="2" t="s">
        <v>1842</v>
      </c>
      <c r="E544" s="2" t="str">
        <f ca="1">IFERROR(__xludf.DUMMYFUNCTION("GOOGLETRANSLATE(D544,""en"",""pt"")"),"Zebstrika é um Pokémon do tipo elétrico introduzido na geração 5. É conhecido como Pokémon Thunderbolt.")</f>
        <v>Zebstrika é um Pokémon do tipo elétrico introduzido na geração 5. É conhecido como Pokémon Thunderbolt.</v>
      </c>
      <c r="F544" s="2" t="str">
        <f ca="1">IFERROR(__xludf.DUMMYFUNCTION("GOOGLETRANSLATE(B544,""en"",""pt"")"),"Pokémon Thunderbolt")</f>
        <v>Pokémon Thunderbolt</v>
      </c>
    </row>
    <row r="545" spans="1:6" ht="15.75" customHeight="1" x14ac:dyDescent="0.25">
      <c r="A545" s="2" t="s">
        <v>1843</v>
      </c>
      <c r="B545" s="2" t="s">
        <v>1844</v>
      </c>
      <c r="C545" s="2" t="s">
        <v>1845</v>
      </c>
      <c r="D545" s="2" t="s">
        <v>1846</v>
      </c>
      <c r="E545" s="2" t="str">
        <f ca="1">IFERROR(__xludf.DUMMYFUNCTION("GOOGLETRANSLATE(D545,""en"",""pt"")"),"Roggenrola é um Pokémon do tipo rock introduzido na geração 5. É conhecido como Pokémon do Mantle.")</f>
        <v>Roggenrola é um Pokémon do tipo rock introduzido na geração 5. É conhecido como Pokémon do Mantle.</v>
      </c>
      <c r="F545" s="2" t="str">
        <f ca="1">IFERROR(__xludf.DUMMYFUNCTION("GOOGLETRANSLATE(B545,""en"",""pt"")"),"Mantle Pokémon")</f>
        <v>Mantle Pokémon</v>
      </c>
    </row>
    <row r="546" spans="1:6" ht="15.75" customHeight="1" x14ac:dyDescent="0.25">
      <c r="A546" s="2" t="s">
        <v>1847</v>
      </c>
      <c r="B546" s="2" t="s">
        <v>1848</v>
      </c>
      <c r="C546" s="2" t="s">
        <v>1849</v>
      </c>
      <c r="D546" s="2" t="s">
        <v>1850</v>
      </c>
      <c r="E546" s="2" t="str">
        <f ca="1">IFERROR(__xludf.DUMMYFUNCTION("GOOGLETRANSLATE(D546,""en"",""pt"")"),"Boldore é um Pokémon do tipo rock introduzido na geração 5. É conhecido como Pokémon Ore Ore.")</f>
        <v>Boldore é um Pokémon do tipo rock introduzido na geração 5. É conhecido como Pokémon Ore Ore.</v>
      </c>
      <c r="F546" s="2" t="str">
        <f ca="1">IFERROR(__xludf.DUMMYFUNCTION("GOOGLETRANSLATE(B546,""en"",""pt"")"),"Pokémon de minério")</f>
        <v>Pokémon de minério</v>
      </c>
    </row>
    <row r="547" spans="1:6" ht="15.75" customHeight="1" x14ac:dyDescent="0.25">
      <c r="A547" s="2" t="s">
        <v>1851</v>
      </c>
      <c r="B547" s="2" t="s">
        <v>1852</v>
      </c>
      <c r="C547" s="2" t="s">
        <v>1853</v>
      </c>
      <c r="D547" s="2" t="s">
        <v>1854</v>
      </c>
      <c r="E547" s="2" t="str">
        <f ca="1">IFERROR(__xludf.DUMMYFUNCTION("GOOGLETRANSLATE(D547,""en"",""pt"")"),"Gigalith é um Pokémon do tipo rock introduzido na geração 5. É conhecido como Pokémon comprimido.")</f>
        <v>Gigalith é um Pokémon do tipo rock introduzido na geração 5. É conhecido como Pokémon comprimido.</v>
      </c>
      <c r="F547" s="2" t="str">
        <f ca="1">IFERROR(__xludf.DUMMYFUNCTION("GOOGLETRANSLATE(B547,""en"",""pt"")"),"Pokémon comprimido")</f>
        <v>Pokémon comprimido</v>
      </c>
    </row>
    <row r="548" spans="1:6" ht="15.75" customHeight="1" x14ac:dyDescent="0.25">
      <c r="A548" s="2" t="s">
        <v>1855</v>
      </c>
      <c r="B548" s="2" t="s">
        <v>304</v>
      </c>
      <c r="C548" s="2" t="s">
        <v>1856</v>
      </c>
      <c r="D548" s="2" t="s">
        <v>1857</v>
      </c>
      <c r="E548" s="2" t="str">
        <f ca="1">IFERROR(__xludf.DUMMYFUNCTION("GOOGLETRANSLATE(D548,""en"",""pt"")"),"Woobat é um Pokémon Psychic/Flying Type introduzido na geração 5. É conhecido como Pokémon Bat.")</f>
        <v>Woobat é um Pokémon Psychic/Flying Type introduzido na geração 5. É conhecido como Pokémon Bat.</v>
      </c>
      <c r="F548" s="2" t="str">
        <f ca="1">IFERROR(__xludf.DUMMYFUNCTION("GOOGLETRANSLATE(B548,""en"",""pt"")"),"Pokémon de morcego")</f>
        <v>Pokémon de morcego</v>
      </c>
    </row>
    <row r="549" spans="1:6" ht="15.75" customHeight="1" x14ac:dyDescent="0.25">
      <c r="A549" s="2" t="s">
        <v>1858</v>
      </c>
      <c r="B549" s="2" t="s">
        <v>1859</v>
      </c>
      <c r="C549" s="2" t="s">
        <v>1860</v>
      </c>
      <c r="D549" s="2" t="s">
        <v>1861</v>
      </c>
      <c r="E549" s="2" t="str">
        <f ca="1">IFERROR(__xludf.DUMMYFUNCTION("GOOGLETRANSLATE(D549,""en"",""pt"")"),"Swoobat é um Pokémon Psychic/Flying Type Introduzido na Geração 5. É conhecido como Pokémon Courting.")</f>
        <v>Swoobat é um Pokémon Psychic/Flying Type Introduzido na Geração 5. É conhecido como Pokémon Courting.</v>
      </c>
      <c r="F549" s="2" t="str">
        <f ca="1">IFERROR(__xludf.DUMMYFUNCTION("GOOGLETRANSLATE(B549,""en"",""pt"")"),"Corte de Pokémon")</f>
        <v>Corte de Pokémon</v>
      </c>
    </row>
    <row r="550" spans="1:6" ht="15.75" customHeight="1" x14ac:dyDescent="0.25">
      <c r="A550" s="2" t="s">
        <v>1862</v>
      </c>
      <c r="B550" s="2" t="s">
        <v>1736</v>
      </c>
      <c r="C550" s="2" t="s">
        <v>1863</v>
      </c>
      <c r="D550" s="2" t="s">
        <v>1864</v>
      </c>
      <c r="E550" s="2" t="str">
        <f ca="1">IFERROR(__xludf.DUMMYFUNCTION("GOOGLETRANSLATE(D550,""en"",""pt"")"),"Drrilbur é um Pokémon do tipo terra introduzido na geração 5. É conhecido como Pokémon Mole.")</f>
        <v>Drrilbur é um Pokémon do tipo terra introduzido na geração 5. É conhecido como Pokémon Mole.</v>
      </c>
      <c r="F550" s="2" t="str">
        <f ca="1">IFERROR(__xludf.DUMMYFUNCTION("GOOGLETRANSLATE(B550,""en"",""pt"")"),"Mole Pokémon")</f>
        <v>Mole Pokémon</v>
      </c>
    </row>
    <row r="551" spans="1:6" ht="15.75" customHeight="1" x14ac:dyDescent="0.25">
      <c r="A551" s="2" t="s">
        <v>1865</v>
      </c>
      <c r="B551" s="2" t="s">
        <v>1866</v>
      </c>
      <c r="C551" s="2" t="s">
        <v>1867</v>
      </c>
      <c r="D551" s="2" t="s">
        <v>1868</v>
      </c>
      <c r="E551" s="2" t="str">
        <f ca="1">IFERROR(__xludf.DUMMYFUNCTION("GOOGLETRANSLATE(D551,""en"",""pt"")"),"O persa é um Pokémon do tipo normal introduzido na geração 1. É conhecido como Pokémon de gato elegante.
O persa tem uma nova forma Alolan introduzida em Pokémon Sun/Moon.")</f>
        <v>O persa é um Pokémon do tipo normal introduzido na geração 1. É conhecido como Pokémon de gato elegante.
O persa tem uma nova forma Alolan introduzida em Pokémon Sun/Moon.</v>
      </c>
      <c r="F551" s="2" t="str">
        <f ca="1">IFERROR(__xludf.DUMMYFUNCTION("GOOGLETRANSLATE(B551,""en"",""pt"")"),"Pokémon de gato elegante")</f>
        <v>Pokémon de gato elegante</v>
      </c>
    </row>
    <row r="552" spans="1:6" ht="15.75" customHeight="1" x14ac:dyDescent="0.25">
      <c r="A552" s="2" t="s">
        <v>1865</v>
      </c>
      <c r="B552" s="2" t="s">
        <v>1866</v>
      </c>
      <c r="C552" s="2" t="s">
        <v>1869</v>
      </c>
      <c r="D552" s="2" t="s">
        <v>1868</v>
      </c>
      <c r="E552" s="2" t="str">
        <f ca="1">IFERROR(__xludf.DUMMYFUNCTION("GOOGLETRANSLATE(D552,""en"",""pt"")"),"O persa é um Pokémon do tipo normal introduzido na geração 1. É conhecido como Pokémon de gato elegante.
O persa tem uma nova forma Alolan introduzida em Pokémon Sun/Moon.")</f>
        <v>O persa é um Pokémon do tipo normal introduzido na geração 1. É conhecido como Pokémon de gato elegante.
O persa tem uma nova forma Alolan introduzida em Pokémon Sun/Moon.</v>
      </c>
      <c r="F552" s="2" t="str">
        <f ca="1">IFERROR(__xludf.DUMMYFUNCTION("GOOGLETRANSLATE(B552,""en"",""pt"")"),"Pokémon de gato elegante")</f>
        <v>Pokémon de gato elegante</v>
      </c>
    </row>
    <row r="553" spans="1:6" ht="15.75" customHeight="1" x14ac:dyDescent="0.25">
      <c r="A553" s="2" t="s">
        <v>1870</v>
      </c>
      <c r="B553" s="2" t="s">
        <v>1871</v>
      </c>
      <c r="C553" s="2" t="s">
        <v>1872</v>
      </c>
      <c r="D553" s="2" t="s">
        <v>1873</v>
      </c>
      <c r="E553" s="2" t="str">
        <f ca="1">IFERROR(__xludf.DUMMYFUNCTION("GOOGLETRANSLATE(D553,""en"",""pt"")"),"A Excadrill é um Pokémon de terra/aço introduzido na geração 5. É conhecido como Pokémon subterreno.")</f>
        <v>A Excadrill é um Pokémon de terra/aço introduzido na geração 5. É conhecido como Pokémon subterreno.</v>
      </c>
      <c r="F553" s="2" t="str">
        <f ca="1">IFERROR(__xludf.DUMMYFUNCTION("GOOGLETRANSLATE(B553,""en"",""pt"")"),"Pokémon subterreno")</f>
        <v>Pokémon subterreno</v>
      </c>
    </row>
    <row r="554" spans="1:6" ht="15.75" customHeight="1" x14ac:dyDescent="0.25">
      <c r="A554" s="2" t="s">
        <v>1874</v>
      </c>
      <c r="B554" s="2" t="s">
        <v>1875</v>
      </c>
      <c r="C554" s="2" t="s">
        <v>1876</v>
      </c>
      <c r="D554" s="2" t="s">
        <v>1877</v>
      </c>
      <c r="E554" s="2" t="str">
        <f ca="1">IFERROR(__xludf.DUMMYFUNCTION("GOOGLETRANSLATE(D554,""en"",""pt"")"),"O Audino é um Pokémon do tipo normal introduzido na geração 5. É conhecido como Pokémon auditivo.
O Audino tem uma mega evolução, disponível na Omega Ruby &amp; Alpha Sapphire em diante.")</f>
        <v>O Audino é um Pokémon do tipo normal introduzido na geração 5. É conhecido como Pokémon auditivo.
O Audino tem uma mega evolução, disponível na Omega Ruby &amp; Alpha Sapphire em diante.</v>
      </c>
      <c r="F554" s="2" t="str">
        <f ca="1">IFERROR(__xludf.DUMMYFUNCTION("GOOGLETRANSLATE(B554,""en"",""pt"")"),"Ouvindo Pokémon")</f>
        <v>Ouvindo Pokémon</v>
      </c>
    </row>
    <row r="555" spans="1:6" ht="15.75" customHeight="1" x14ac:dyDescent="0.25">
      <c r="A555" s="2" t="s">
        <v>1874</v>
      </c>
      <c r="B555" s="2" t="s">
        <v>1875</v>
      </c>
      <c r="C555" s="2" t="s">
        <v>1878</v>
      </c>
      <c r="D555" s="2" t="s">
        <v>1877</v>
      </c>
      <c r="E555" s="2" t="str">
        <f ca="1">IFERROR(__xludf.DUMMYFUNCTION("GOOGLETRANSLATE(D555,""en"",""pt"")"),"O Audino é um Pokémon do tipo normal introduzido na geração 5. É conhecido como Pokémon auditivo.
O Audino tem uma mega evolução, disponível na Omega Ruby &amp; Alpha Sapphire em diante.")</f>
        <v>O Audino é um Pokémon do tipo normal introduzido na geração 5. É conhecido como Pokémon auditivo.
O Audino tem uma mega evolução, disponível na Omega Ruby &amp; Alpha Sapphire em diante.</v>
      </c>
      <c r="F555" s="2" t="str">
        <f ca="1">IFERROR(__xludf.DUMMYFUNCTION("GOOGLETRANSLATE(B555,""en"",""pt"")"),"Ouvindo Pokémon")</f>
        <v>Ouvindo Pokémon</v>
      </c>
    </row>
    <row r="556" spans="1:6" ht="15.75" customHeight="1" x14ac:dyDescent="0.25">
      <c r="A556" s="2" t="s">
        <v>1879</v>
      </c>
      <c r="B556" s="2" t="s">
        <v>1880</v>
      </c>
      <c r="C556" s="2" t="s">
        <v>1881</v>
      </c>
      <c r="D556" s="2" t="s">
        <v>1882</v>
      </c>
      <c r="E556" s="2" t="str">
        <f ca="1">IFERROR(__xludf.DUMMYFUNCTION("GOOGLETRANSLATE(D556,""en"",""pt"")"),"Timburr é um Pokémon do tipo de luta introduzido na geração 5. É conhecido como Pokémon muscular.")</f>
        <v>Timburr é um Pokémon do tipo de luta introduzido na geração 5. É conhecido como Pokémon muscular.</v>
      </c>
      <c r="F556" s="2" t="str">
        <f ca="1">IFERROR(__xludf.DUMMYFUNCTION("GOOGLETRANSLATE(B556,""en"",""pt"")"),"Pokémon muscular")</f>
        <v>Pokémon muscular</v>
      </c>
    </row>
    <row r="557" spans="1:6" ht="15.75" customHeight="1" x14ac:dyDescent="0.25">
      <c r="A557" s="2" t="s">
        <v>1883</v>
      </c>
      <c r="B557" s="2" t="s">
        <v>1880</v>
      </c>
      <c r="C557" s="2" t="s">
        <v>1884</v>
      </c>
      <c r="D557" s="2" t="s">
        <v>1885</v>
      </c>
      <c r="E557" s="2" t="str">
        <f ca="1">IFERROR(__xludf.DUMMYFUNCTION("GOOGLETRANSLATE(D557,""en"",""pt"")"),"Gurdurr é um Pokémon do tipo luta introduzido na geração 5. É conhecido como Pokémon muscular.")</f>
        <v>Gurdurr é um Pokémon do tipo luta introduzido na geração 5. É conhecido como Pokémon muscular.</v>
      </c>
      <c r="F557" s="2" t="str">
        <f ca="1">IFERROR(__xludf.DUMMYFUNCTION("GOOGLETRANSLATE(B557,""en"",""pt"")"),"Pokémon muscular")</f>
        <v>Pokémon muscular</v>
      </c>
    </row>
    <row r="558" spans="1:6" ht="15.75" customHeight="1" x14ac:dyDescent="0.25">
      <c r="A558" s="2" t="s">
        <v>1886</v>
      </c>
      <c r="B558" s="2" t="s">
        <v>1880</v>
      </c>
      <c r="C558" s="2" t="s">
        <v>1887</v>
      </c>
      <c r="D558" s="2" t="s">
        <v>1888</v>
      </c>
      <c r="E558" s="2" t="str">
        <f ca="1">IFERROR(__xludf.DUMMYFUNCTION("GOOGLETRANSLATE(D558,""en"",""pt"")"),"Conkeldurr é um Pokémon do tipo luta introduzido na geração 5. É conhecido como Pokémon muscular.")</f>
        <v>Conkeldurr é um Pokémon do tipo luta introduzido na geração 5. É conhecido como Pokémon muscular.</v>
      </c>
      <c r="F558" s="2" t="str">
        <f ca="1">IFERROR(__xludf.DUMMYFUNCTION("GOOGLETRANSLATE(B558,""en"",""pt"")"),"Pokémon muscular")</f>
        <v>Pokémon muscular</v>
      </c>
    </row>
    <row r="559" spans="1:6" ht="15.75" customHeight="1" x14ac:dyDescent="0.25">
      <c r="A559" s="2" t="s">
        <v>1889</v>
      </c>
      <c r="B559" s="2" t="s">
        <v>1890</v>
      </c>
      <c r="C559" s="2" t="s">
        <v>1891</v>
      </c>
      <c r="D559" s="2" t="s">
        <v>1892</v>
      </c>
      <c r="E559" s="2" t="str">
        <f ca="1">IFERROR(__xludf.DUMMYFUNCTION("GOOGLETRANSLATE(D559,""en"",""pt"")"),"Timpole é um Pokémon do tipo água introduzido na geração 5. É conhecido como Pokémon de girino.")</f>
        <v>Timpole é um Pokémon do tipo água introduzido na geração 5. É conhecido como Pokémon de girino.</v>
      </c>
      <c r="F559" s="2" t="str">
        <f ca="1">IFERROR(__xludf.DUMMYFUNCTION("GOOGLETRANSLATE(B559,""en"",""pt"")"),"Pokémon de Tadpole")</f>
        <v>Pokémon de Tadpole</v>
      </c>
    </row>
    <row r="560" spans="1:6" ht="15.75" customHeight="1" x14ac:dyDescent="0.25">
      <c r="A560" s="2" t="s">
        <v>1893</v>
      </c>
      <c r="B560" s="2" t="s">
        <v>992</v>
      </c>
      <c r="C560" s="2" t="s">
        <v>1894</v>
      </c>
      <c r="D560" s="2" t="s">
        <v>1895</v>
      </c>
      <c r="E560" s="2" t="str">
        <f ca="1">IFERROR(__xludf.DUMMYFUNCTION("GOOGLETRANSLATE(D560,""en"",""pt"")"),"Palpitoad é um Pokémon do tipo água/terra introduzido na geração 5. É conhecido como Pokémon de Vibração.")</f>
        <v>Palpitoad é um Pokémon do tipo água/terra introduzido na geração 5. É conhecido como Pokémon de Vibração.</v>
      </c>
      <c r="F560" s="2" t="str">
        <f ca="1">IFERROR(__xludf.DUMMYFUNCTION("GOOGLETRANSLATE(B560,""en"",""pt"")"),"Pokémon de vibração")</f>
        <v>Pokémon de vibração</v>
      </c>
    </row>
    <row r="561" spans="1:6" ht="15.75" customHeight="1" x14ac:dyDescent="0.25">
      <c r="A561" s="2" t="s">
        <v>1896</v>
      </c>
      <c r="B561" s="2" t="s">
        <v>992</v>
      </c>
      <c r="C561" s="2" t="s">
        <v>1897</v>
      </c>
      <c r="D561" s="2" t="s">
        <v>1898</v>
      </c>
      <c r="E561" s="2" t="str">
        <f ca="1">IFERROR(__xludf.DUMMYFUNCTION("GOOGLETRANSLATE(D561,""en"",""pt"")"),"O Seismitoad é um Pokémon do tipo água/terra introduzido na geração 5. É conhecido como Pokémon de Vibração.")</f>
        <v>O Seismitoad é um Pokémon do tipo água/terra introduzido na geração 5. É conhecido como Pokémon de Vibração.</v>
      </c>
      <c r="F561" s="2" t="str">
        <f ca="1">IFERROR(__xludf.DUMMYFUNCTION("GOOGLETRANSLATE(B561,""en"",""pt"")"),"Pokémon de vibração")</f>
        <v>Pokémon de vibração</v>
      </c>
    </row>
    <row r="562" spans="1:6" ht="15.75" customHeight="1" x14ac:dyDescent="0.25">
      <c r="A562" s="2" t="s">
        <v>1899</v>
      </c>
      <c r="B562" s="2" t="s">
        <v>1900</v>
      </c>
      <c r="C562" s="2" t="s">
        <v>1901</v>
      </c>
      <c r="D562" s="2" t="s">
        <v>1902</v>
      </c>
      <c r="E562" s="2" t="str">
        <f ca="1">IFERROR(__xludf.DUMMYFUNCTION("GOOGLETRANSLATE(D562,""en"",""pt"")"),"Throh é um Pokémon do tipo de luta introduzido na geração 5. É conhecido como Pokémon de judô.")</f>
        <v>Throh é um Pokémon do tipo de luta introduzido na geração 5. É conhecido como Pokémon de judô.</v>
      </c>
      <c r="F562" s="2" t="str">
        <f ca="1">IFERROR(__xludf.DUMMYFUNCTION("GOOGLETRANSLATE(B562,""en"",""pt"")"),"Pokémon de judô")</f>
        <v>Pokémon de judô</v>
      </c>
    </row>
    <row r="563" spans="1:6" ht="15.75" customHeight="1" x14ac:dyDescent="0.25">
      <c r="A563" s="2" t="s">
        <v>1903</v>
      </c>
      <c r="B563" s="2" t="s">
        <v>1904</v>
      </c>
      <c r="C563" s="2" t="s">
        <v>1905</v>
      </c>
      <c r="D563" s="2" t="s">
        <v>1906</v>
      </c>
      <c r="E563" s="2" t="str">
        <f ca="1">IFERROR(__xludf.DUMMYFUNCTION("GOOGLETRANSLATE(D563,""en"",""pt"")"),"Sawk é um Pokémon do tipo de luta introduzido na geração 5. É conhecido como Pokémon Karate.")</f>
        <v>Sawk é um Pokémon do tipo de luta introduzido na geração 5. É conhecido como Pokémon Karate.</v>
      </c>
      <c r="F563" s="2" t="str">
        <f ca="1">IFERROR(__xludf.DUMMYFUNCTION("GOOGLETRANSLATE(B563,""en"",""pt"")"),"Pokémon de karatê")</f>
        <v>Pokémon de karatê</v>
      </c>
    </row>
    <row r="564" spans="1:6" ht="15.75" customHeight="1" x14ac:dyDescent="0.25">
      <c r="A564" s="2" t="s">
        <v>1907</v>
      </c>
      <c r="B564" s="2" t="s">
        <v>1908</v>
      </c>
      <c r="C564" s="2" t="s">
        <v>1909</v>
      </c>
      <c r="D564" s="2" t="s">
        <v>1910</v>
      </c>
      <c r="E564" s="2" t="str">
        <f ca="1">IFERROR(__xludf.DUMMYFUNCTION("GOOGLETRANSLATE(D564,""en"",""pt"")"),"Psyduck é um Pokémon do tipo água introduzido na geração 1. É conhecido como Pokémon Duck.")</f>
        <v>Psyduck é um Pokémon do tipo água introduzido na geração 1. É conhecido como Pokémon Duck.</v>
      </c>
      <c r="F564" s="2" t="str">
        <f ca="1">IFERROR(__xludf.DUMMYFUNCTION("GOOGLETRANSLATE(B564,""en"",""pt"")"),"Pokémon de pato")</f>
        <v>Pokémon de pato</v>
      </c>
    </row>
    <row r="565" spans="1:6" ht="15.75" customHeight="1" x14ac:dyDescent="0.25">
      <c r="A565" s="2" t="s">
        <v>1911</v>
      </c>
      <c r="B565" s="2" t="s">
        <v>1912</v>
      </c>
      <c r="C565" s="2" t="s">
        <v>1913</v>
      </c>
      <c r="D565" s="2" t="s">
        <v>1914</v>
      </c>
      <c r="E565" s="2" t="str">
        <f ca="1">IFERROR(__xludf.DUMMYFUNCTION("GOOGLETRANSLATE(D565,""en"",""pt"")"),"Sewaddle é um Pokémon do tipo bug/grama introduzido na geração 5. É conhecido como Pokémon de costura.")</f>
        <v>Sewaddle é um Pokémon do tipo bug/grama introduzido na geração 5. É conhecido como Pokémon de costura.</v>
      </c>
      <c r="F565" s="2" t="str">
        <f ca="1">IFERROR(__xludf.DUMMYFUNCTION("GOOGLETRANSLATE(B565,""en"",""pt"")"),"Costura Pokémon")</f>
        <v>Costura Pokémon</v>
      </c>
    </row>
    <row r="566" spans="1:6" ht="15.75" customHeight="1" x14ac:dyDescent="0.25">
      <c r="A566" s="2" t="s">
        <v>1915</v>
      </c>
      <c r="B566" s="2" t="s">
        <v>1916</v>
      </c>
      <c r="C566" s="2" t="s">
        <v>1917</v>
      </c>
      <c r="D566" s="2" t="s">
        <v>1918</v>
      </c>
      <c r="E566" s="2" t="str">
        <f ca="1">IFERROR(__xludf.DUMMYFUNCTION("GOOGLETRANSLATE(D566,""en"",""pt"")"),"O Swadloon é um Pokémon do tipo bug/grama introduzido na geração 5. É conhecido como Pokémon envolto em folhas.")</f>
        <v>O Swadloon é um Pokémon do tipo bug/grama introduzido na geração 5. É conhecido como Pokémon envolto em folhas.</v>
      </c>
      <c r="F566" s="2" t="str">
        <f ca="1">IFERROR(__xludf.DUMMYFUNCTION("GOOGLETRANSLATE(B566,""en"",""pt"")"),"Pokémon envolto em folhas")</f>
        <v>Pokémon envolto em folhas</v>
      </c>
    </row>
    <row r="567" spans="1:6" ht="15.75" customHeight="1" x14ac:dyDescent="0.25">
      <c r="A567" s="2" t="s">
        <v>1919</v>
      </c>
      <c r="B567" s="2" t="s">
        <v>1920</v>
      </c>
      <c r="C567" s="2" t="s">
        <v>1921</v>
      </c>
      <c r="D567" s="2" t="s">
        <v>1922</v>
      </c>
      <c r="E567" s="2" t="str">
        <f ca="1">IFERROR(__xludf.DUMMYFUNCTION("GOOGLETRANSLATE(D567,""en"",""pt"")"),"Leavanny é um Pokémon do tipo bug/grama introduzido na geração 5. É conhecido como o Pokémon que nutrir.")</f>
        <v>Leavanny é um Pokémon do tipo bug/grama introduzido na geração 5. É conhecido como o Pokémon que nutrir.</v>
      </c>
      <c r="F567" s="2" t="str">
        <f ca="1">IFERROR(__xludf.DUMMYFUNCTION("GOOGLETRANSLATE(B567,""en"",""pt"")"),"Nutrir Pokémon")</f>
        <v>Nutrir Pokémon</v>
      </c>
    </row>
    <row r="568" spans="1:6" ht="15.75" customHeight="1" x14ac:dyDescent="0.25">
      <c r="A568" s="2" t="s">
        <v>1923</v>
      </c>
      <c r="B568" s="2" t="s">
        <v>1924</v>
      </c>
      <c r="C568" s="2" t="s">
        <v>1925</v>
      </c>
      <c r="D568" s="2" t="s">
        <v>1926</v>
      </c>
      <c r="E568" s="2" t="str">
        <f ca="1">IFERROR(__xludf.DUMMYFUNCTION("GOOGLETRANSLATE(D568,""en"",""pt"")"),"Venipede é um Pokémon do tipo inseto/veneno introduzido na geração 5. É conhecido como Pokémon Centipede.")</f>
        <v>Venipede é um Pokémon do tipo inseto/veneno introduzido na geração 5. É conhecido como Pokémon Centipede.</v>
      </c>
      <c r="F568" s="2" t="str">
        <f ca="1">IFERROR(__xludf.DUMMYFUNCTION("GOOGLETRANSLATE(B568,""en"",""pt"")"),"Pokémon de centopéia")</f>
        <v>Pokémon de centopéia</v>
      </c>
    </row>
    <row r="569" spans="1:6" ht="15.75" customHeight="1" x14ac:dyDescent="0.25">
      <c r="A569" s="2" t="s">
        <v>1927</v>
      </c>
      <c r="B569" s="2" t="s">
        <v>1928</v>
      </c>
      <c r="C569" s="2" t="s">
        <v>1929</v>
      </c>
      <c r="D569" s="2" t="s">
        <v>1930</v>
      </c>
      <c r="E569" s="2" t="str">
        <f ca="1">IFERROR(__xludf.DUMMYFUNCTION("GOOGLETRANSLATE(D569,""en"",""pt"")"),"A Whirlipede é um Pokémon do tipo inseto/veneno introduzido na geração 5. É conhecido como Pokémon de Curlipede.")</f>
        <v>A Whirlipede é um Pokémon do tipo inseto/veneno introduzido na geração 5. É conhecido como Pokémon de Curlipede.</v>
      </c>
      <c r="F569" s="2" t="str">
        <f ca="1">IFERROR(__xludf.DUMMYFUNCTION("GOOGLETRANSLATE(B569,""en"",""pt"")"),"Pokémon Pokémon de Curlipede")</f>
        <v>Pokémon Pokémon de Curlipede</v>
      </c>
    </row>
    <row r="570" spans="1:6" ht="15.75" customHeight="1" x14ac:dyDescent="0.25">
      <c r="A570" s="2" t="s">
        <v>1931</v>
      </c>
      <c r="B570" s="2" t="s">
        <v>1932</v>
      </c>
      <c r="C570" s="2" t="s">
        <v>1933</v>
      </c>
      <c r="D570" s="2" t="s">
        <v>1934</v>
      </c>
      <c r="E570" s="2" t="str">
        <f ca="1">IFERROR(__xludf.DUMMYFUNCTION("GOOGLETRANSLATE(D570,""en"",""pt"")"),"Scolipede é um Pokémon do tipo bug/veneno introduzido na geração 5. É conhecido como Pokémon Megapede.")</f>
        <v>Scolipede é um Pokémon do tipo bug/veneno introduzido na geração 5. É conhecido como Pokémon Megapede.</v>
      </c>
      <c r="F570" s="2" t="str">
        <f ca="1">IFERROR(__xludf.DUMMYFUNCTION("GOOGLETRANSLATE(B570,""en"",""pt"")"),"Megapede Pokémon")</f>
        <v>Megapede Pokémon</v>
      </c>
    </row>
    <row r="571" spans="1:6" ht="15.75" customHeight="1" x14ac:dyDescent="0.25">
      <c r="A571" s="2" t="s">
        <v>1935</v>
      </c>
      <c r="B571" s="2" t="s">
        <v>1936</v>
      </c>
      <c r="C571" s="2" t="s">
        <v>1937</v>
      </c>
      <c r="D571" s="2" t="s">
        <v>1938</v>
      </c>
      <c r="E571" s="2" t="str">
        <f ca="1">IFERROR(__xludf.DUMMYFUNCTION("GOOGLETRANSLATE(D571,""en"",""pt"")"),"Cottonee é um Pokémon do tipo grama/fada introduzido na geração 5. É conhecido como Pokémon de algodão Puff.")</f>
        <v>Cottonee é um Pokémon do tipo grama/fada introduzido na geração 5. É conhecido como Pokémon de algodão Puff.</v>
      </c>
      <c r="F571" s="2" t="str">
        <f ca="1">IFERROR(__xludf.DUMMYFUNCTION("GOOGLETRANSLATE(B571,""en"",""pt"")"),"Pokémon de algodão Puff")</f>
        <v>Pokémon de algodão Puff</v>
      </c>
    </row>
    <row r="572" spans="1:6" ht="15.75" customHeight="1" x14ac:dyDescent="0.25">
      <c r="A572" s="2" t="s">
        <v>1939</v>
      </c>
      <c r="B572" s="2" t="s">
        <v>1940</v>
      </c>
      <c r="C572" s="2" t="s">
        <v>1941</v>
      </c>
      <c r="D572" s="2" t="s">
        <v>1942</v>
      </c>
      <c r="E572" s="2" t="str">
        <f ca="1">IFERROR(__xludf.DUMMYFUNCTION("GOOGLETRANSLATE(D572,""en"",""pt"")"),"O Whimsicott é um Pokémon do tipo grama/fada introduzido na geração 5. É conhecido como Pokémon vegetal.")</f>
        <v>O Whimsicott é um Pokémon do tipo grama/fada introduzido na geração 5. É conhecido como Pokémon vegetal.</v>
      </c>
      <c r="F572" s="2" t="str">
        <f ca="1">IFERROR(__xludf.DUMMYFUNCTION("GOOGLETRANSLATE(B572,""en"",""pt"")"),"Pokémon do vento")</f>
        <v>Pokémon do vento</v>
      </c>
    </row>
    <row r="573" spans="1:6" ht="15.75" customHeight="1" x14ac:dyDescent="0.25">
      <c r="A573" s="2" t="s">
        <v>1943</v>
      </c>
      <c r="B573" s="2" t="s">
        <v>1944</v>
      </c>
      <c r="C573" s="2" t="s">
        <v>1945</v>
      </c>
      <c r="D573" s="2" t="s">
        <v>1946</v>
      </c>
      <c r="E573" s="2" t="str">
        <f ca="1">IFERROR(__xludf.DUMMYFUNCTION("GOOGLETRANSLATE(D573,""en"",""pt"")"),"Petilil é um Pokémon do tipo grama introduzido na geração 5. É conhecido como Pokémon Bulb.")</f>
        <v>Petilil é um Pokémon do tipo grama introduzido na geração 5. É conhecido como Pokémon Bulb.</v>
      </c>
      <c r="F573" s="2" t="str">
        <f ca="1">IFERROR(__xludf.DUMMYFUNCTION("GOOGLETRANSLATE(B573,""en"",""pt"")"),"Pokémon de bulbo")</f>
        <v>Pokémon de bulbo</v>
      </c>
    </row>
    <row r="574" spans="1:6" ht="15.75" customHeight="1" x14ac:dyDescent="0.25">
      <c r="A574" s="2" t="s">
        <v>1947</v>
      </c>
      <c r="B574" s="2" t="s">
        <v>1948</v>
      </c>
      <c r="C574" s="2" t="s">
        <v>1949</v>
      </c>
      <c r="D574" s="2" t="s">
        <v>1950</v>
      </c>
      <c r="E574" s="2" t="str">
        <f ca="1">IFERROR(__xludf.DUMMYFUNCTION("GOOGLETRANSLATE(D574,""en"",""pt"")"),"Lilligant é um Pokémon do tipo grama introduzido na geração 5. É conhecido como Pokémon Floring.")</f>
        <v>Lilligant é um Pokémon do tipo grama introduzido na geração 5. É conhecido como Pokémon Floring.</v>
      </c>
      <c r="F574" s="2" t="str">
        <f ca="1">IFERROR(__xludf.DUMMYFUNCTION("GOOGLETRANSLATE(B574,""en"",""pt"")"),"Pokémon florido")</f>
        <v>Pokémon florido</v>
      </c>
    </row>
    <row r="575" spans="1:6" ht="15.75" customHeight="1" x14ac:dyDescent="0.25">
      <c r="A575" s="2" t="s">
        <v>1951</v>
      </c>
      <c r="B575" s="2" t="s">
        <v>1908</v>
      </c>
      <c r="C575" s="2" t="s">
        <v>1952</v>
      </c>
      <c r="D575" s="2" t="s">
        <v>1953</v>
      </c>
      <c r="E575" s="2" t="str">
        <f ca="1">IFERROR(__xludf.DUMMYFUNCTION("GOOGLETRANSLATE(D575,""en"",""pt"")"),"Golduck é um Pokémon do tipo água introduzido na geração 1. É conhecido como Pokémon Duck.")</f>
        <v>Golduck é um Pokémon do tipo água introduzido na geração 1. É conhecido como Pokémon Duck.</v>
      </c>
      <c r="F575" s="2" t="str">
        <f ca="1">IFERROR(__xludf.DUMMYFUNCTION("GOOGLETRANSLATE(B575,""en"",""pt"")"),"Pokémon de pato")</f>
        <v>Pokémon de pato</v>
      </c>
    </row>
    <row r="576" spans="1:6" ht="15.75" customHeight="1" x14ac:dyDescent="0.25">
      <c r="A576" s="2" t="s">
        <v>1954</v>
      </c>
      <c r="B576" s="2" t="s">
        <v>1955</v>
      </c>
      <c r="C576" s="2" t="s">
        <v>1956</v>
      </c>
      <c r="D576" s="2" t="s">
        <v>1957</v>
      </c>
      <c r="E576" s="2" t="str">
        <f ca="1">IFERROR(__xludf.DUMMYFUNCTION("GOOGLETRANSLATE(D576,""en"",""pt"")"),"A Basculina é um Pokémon do tipo água introduzido na geração 5. É conhecido como Pokémon hostil.")</f>
        <v>A Basculina é um Pokémon do tipo água introduzido na geração 5. É conhecido como Pokémon hostil.</v>
      </c>
      <c r="F576" s="2" t="str">
        <f ca="1">IFERROR(__xludf.DUMMYFUNCTION("GOOGLETRANSLATE(B576,""en"",""pt"")"),"Pokémon hostil")</f>
        <v>Pokémon hostil</v>
      </c>
    </row>
    <row r="577" spans="1:6" ht="15.75" customHeight="1" x14ac:dyDescent="0.25">
      <c r="A577" s="2" t="s">
        <v>1954</v>
      </c>
      <c r="B577" s="2" t="s">
        <v>1955</v>
      </c>
      <c r="C577" s="2" t="s">
        <v>1958</v>
      </c>
      <c r="D577" s="2" t="s">
        <v>1957</v>
      </c>
      <c r="E577" s="2" t="str">
        <f ca="1">IFERROR(__xludf.DUMMYFUNCTION("GOOGLETRANSLATE(D577,""en"",""pt"")"),"A Basculina é um Pokémon do tipo água introduzido na geração 5. É conhecido como Pokémon hostil.")</f>
        <v>A Basculina é um Pokémon do tipo água introduzido na geração 5. É conhecido como Pokémon hostil.</v>
      </c>
      <c r="F577" s="2" t="str">
        <f ca="1">IFERROR(__xludf.DUMMYFUNCTION("GOOGLETRANSLATE(B577,""en"",""pt"")"),"Pokémon hostil")</f>
        <v>Pokémon hostil</v>
      </c>
    </row>
    <row r="578" spans="1:6" ht="15.75" customHeight="1" x14ac:dyDescent="0.25">
      <c r="A578" s="2" t="s">
        <v>1959</v>
      </c>
      <c r="B578" s="2" t="s">
        <v>1960</v>
      </c>
      <c r="C578" s="2" t="s">
        <v>1961</v>
      </c>
      <c r="D578" s="2" t="s">
        <v>1962</v>
      </c>
      <c r="E578" s="2" t="str">
        <f ca="1">IFERROR(__xludf.DUMMYFUNCTION("GOOGLETRANSLATE(D578,""en"",""pt"")"),"Sandile é um Pokémon do solo/escuro introduzido na geração 5. É conhecido como Pokémon Croc Desert.")</f>
        <v>Sandile é um Pokémon do solo/escuro introduzido na geração 5. É conhecido como Pokémon Croc Desert.</v>
      </c>
      <c r="F578" s="2" t="str">
        <f ca="1">IFERROR(__xludf.DUMMYFUNCTION("GOOGLETRANSLATE(B578,""en"",""pt"")"),"Desert Croc Pokémon")</f>
        <v>Desert Croc Pokémon</v>
      </c>
    </row>
    <row r="579" spans="1:6" ht="15.75" customHeight="1" x14ac:dyDescent="0.25">
      <c r="A579" s="2" t="s">
        <v>1963</v>
      </c>
      <c r="B579" s="2" t="s">
        <v>1960</v>
      </c>
      <c r="C579" s="2" t="s">
        <v>1964</v>
      </c>
      <c r="D579" s="2" t="s">
        <v>1965</v>
      </c>
      <c r="E579" s="2" t="str">
        <f ca="1">IFERROR(__xludf.DUMMYFUNCTION("GOOGLETRANSLATE(D579,""en"",""pt"")"),"Krokorok é um Pokémon de terra/escuro introduzido na geração 5. É conhecido como Pokémon Croc Desert.")</f>
        <v>Krokorok é um Pokémon de terra/escuro introduzido na geração 5. É conhecido como Pokémon Croc Desert.</v>
      </c>
      <c r="F579" s="2" t="str">
        <f ca="1">IFERROR(__xludf.DUMMYFUNCTION("GOOGLETRANSLATE(B579,""en"",""pt"")"),"Desert Croc Pokémon")</f>
        <v>Desert Croc Pokémon</v>
      </c>
    </row>
    <row r="580" spans="1:6" ht="15.75" customHeight="1" x14ac:dyDescent="0.25">
      <c r="A580" s="2" t="s">
        <v>1966</v>
      </c>
      <c r="B580" s="2" t="s">
        <v>1967</v>
      </c>
      <c r="C580" s="2" t="s">
        <v>1968</v>
      </c>
      <c r="D580" s="2" t="s">
        <v>1969</v>
      </c>
      <c r="E580" s="2" t="str">
        <f ca="1">IFERROR(__xludf.DUMMYFUNCTION("GOOGLETRANSLATE(D580,""en"",""pt"")"),"O Krookodile é um Pokémon de terra/escuro introduzido na geração 5. É conhecido como Pokémon de Intimidação.")</f>
        <v>O Krookodile é um Pokémon de terra/escuro introduzido na geração 5. É conhecido como Pokémon de Intimidação.</v>
      </c>
      <c r="F580" s="2" t="str">
        <f ca="1">IFERROR(__xludf.DUMMYFUNCTION("GOOGLETRANSLATE(B580,""en"",""pt"")"),"Pokémon de intimidação")</f>
        <v>Pokémon de intimidação</v>
      </c>
    </row>
    <row r="581" spans="1:6" ht="15.75" customHeight="1" x14ac:dyDescent="0.25">
      <c r="A581" s="2" t="s">
        <v>1970</v>
      </c>
      <c r="B581" s="2" t="s">
        <v>1971</v>
      </c>
      <c r="C581" s="2" t="s">
        <v>1972</v>
      </c>
      <c r="D581" s="2" t="s">
        <v>1973</v>
      </c>
      <c r="E581" s="2" t="str">
        <f ca="1">IFERROR(__xludf.DUMMYFUNCTION("GOOGLETRANSLATE(D581,""en"",""pt"")"),"Darumaka é um Pokémon do tipo incêndio introduzido na geração 5. É conhecido como Pokémon de charme zen.")</f>
        <v>Darumaka é um Pokémon do tipo incêndio introduzido na geração 5. É conhecido como Pokémon de charme zen.</v>
      </c>
      <c r="F581" s="2" t="str">
        <f ca="1">IFERROR(__xludf.DUMMYFUNCTION("GOOGLETRANSLATE(B581,""en"",""pt"")"),"Pokémon de charme zen")</f>
        <v>Pokémon de charme zen</v>
      </c>
    </row>
    <row r="582" spans="1:6" ht="15.75" customHeight="1" x14ac:dyDescent="0.25">
      <c r="A582" s="2" t="s">
        <v>1974</v>
      </c>
      <c r="B582" s="2" t="s">
        <v>1975</v>
      </c>
      <c r="C582" s="2" t="s">
        <v>1976</v>
      </c>
      <c r="D582" s="2" t="s">
        <v>1977</v>
      </c>
      <c r="E582" s="2" t="str">
        <f ca="1">IFERROR(__xludf.DUMMYFUNCTION("GOOGLETRANSLATE(D582,""en"",""pt"")"),"Darmanitan é um Pokémon do tipo incêndio introduzido na geração 5. É conhecido como Pokémon ardente.")</f>
        <v>Darmanitan é um Pokémon do tipo incêndio introduzido na geração 5. É conhecido como Pokémon ardente.</v>
      </c>
      <c r="F582" s="2" t="str">
        <f ca="1">IFERROR(__xludf.DUMMYFUNCTION("GOOGLETRANSLATE(B582,""en"",""pt"")"),"Pokémon ardente")</f>
        <v>Pokémon ardente</v>
      </c>
    </row>
    <row r="583" spans="1:6" ht="15.75" customHeight="1" x14ac:dyDescent="0.25">
      <c r="A583" s="2" t="s">
        <v>1974</v>
      </c>
      <c r="B583" s="2" t="s">
        <v>1975</v>
      </c>
      <c r="C583" s="2" t="s">
        <v>1978</v>
      </c>
      <c r="D583" s="2" t="s">
        <v>1977</v>
      </c>
      <c r="E583" s="2" t="str">
        <f ca="1">IFERROR(__xludf.DUMMYFUNCTION("GOOGLETRANSLATE(D583,""en"",""pt"")"),"Darmanitan é um Pokémon do tipo incêndio introduzido na geração 5. É conhecido como Pokémon ardente.")</f>
        <v>Darmanitan é um Pokémon do tipo incêndio introduzido na geração 5. É conhecido como Pokémon ardente.</v>
      </c>
      <c r="F583" s="2" t="str">
        <f ca="1">IFERROR(__xludf.DUMMYFUNCTION("GOOGLETRANSLATE(B583,""en"",""pt"")"),"Pokémon ardente")</f>
        <v>Pokémon ardente</v>
      </c>
    </row>
    <row r="584" spans="1:6" ht="15.75" customHeight="1" x14ac:dyDescent="0.25">
      <c r="A584" s="2" t="s">
        <v>1979</v>
      </c>
      <c r="B584" s="2" t="s">
        <v>1002</v>
      </c>
      <c r="C584" s="2" t="s">
        <v>1980</v>
      </c>
      <c r="D584" s="2" t="s">
        <v>1981</v>
      </c>
      <c r="E584" s="2" t="str">
        <f ca="1">IFERROR(__xludf.DUMMYFUNCTION("GOOGLETRANSLATE(D584,""en"",""pt"")"),"Maractus é um Pokémon do tipo grama introduzido na geração 5. É conhecido como Pokémon Cactus.")</f>
        <v>Maractus é um Pokémon do tipo grama introduzido na geração 5. É conhecido como Pokémon Cactus.</v>
      </c>
      <c r="F584" s="2" t="str">
        <f ca="1">IFERROR(__xludf.DUMMYFUNCTION("GOOGLETRANSLATE(B584,""en"",""pt"")"),"Cactus Pokémon")</f>
        <v>Cactus Pokémon</v>
      </c>
    </row>
    <row r="585" spans="1:6" ht="15.75" customHeight="1" x14ac:dyDescent="0.25">
      <c r="A585" s="2" t="s">
        <v>1982</v>
      </c>
      <c r="B585" s="2" t="s">
        <v>1983</v>
      </c>
      <c r="C585" s="2" t="s">
        <v>1984</v>
      </c>
      <c r="D585" s="2" t="s">
        <v>1985</v>
      </c>
      <c r="E585" s="2" t="str">
        <f ca="1">IFERROR(__xludf.DUMMYFUNCTION("GOOGLETRANSLATE(D585,""en"",""pt"")"),"Dwebble é um Pokémon do tipo bug/rock introduzido na geração 5. É conhecido como Pokémon Rock Inn.")</f>
        <v>Dwebble é um Pokémon do tipo bug/rock introduzido na geração 5. É conhecido como Pokémon Rock Inn.</v>
      </c>
      <c r="F585" s="2" t="str">
        <f ca="1">IFERROR(__xludf.DUMMYFUNCTION("GOOGLETRANSLATE(B585,""en"",""pt"")"),"Pokémon Rock Inn")</f>
        <v>Pokémon Rock Inn</v>
      </c>
    </row>
    <row r="586" spans="1:6" ht="15.75" customHeight="1" x14ac:dyDescent="0.25">
      <c r="A586" s="2" t="s">
        <v>1986</v>
      </c>
      <c r="B586" s="2" t="s">
        <v>1987</v>
      </c>
      <c r="C586" s="2" t="s">
        <v>1988</v>
      </c>
      <c r="D586" s="2" t="s">
        <v>1989</v>
      </c>
      <c r="E586" s="2" t="str">
        <f ca="1">IFERROR(__xludf.DUMMYFUNCTION("GOOGLETRANSLATE(D586,""en"",""pt"")"),"Crustle é um Pokémon do tipo bug/rock introduzido na geração 5. É conhecido como Pokémon Home Stone.")</f>
        <v>Crustle é um Pokémon do tipo bug/rock introduzido na geração 5. É conhecido como Pokémon Home Stone.</v>
      </c>
      <c r="F586" s="2" t="str">
        <f ca="1">IFERROR(__xludf.DUMMYFUNCTION("GOOGLETRANSLATE(B586,""en"",""pt"")"),"Pokémon de pedra em casa")</f>
        <v>Pokémon de pedra em casa</v>
      </c>
    </row>
    <row r="587" spans="1:6" ht="15.75" customHeight="1" x14ac:dyDescent="0.25">
      <c r="A587" s="2" t="s">
        <v>1990</v>
      </c>
      <c r="B587" s="2" t="s">
        <v>1991</v>
      </c>
      <c r="C587" s="2" t="s">
        <v>1992</v>
      </c>
      <c r="D587" s="2" t="s">
        <v>1993</v>
      </c>
      <c r="E587" s="2" t="str">
        <f ca="1">IFERROR(__xludf.DUMMYFUNCTION("GOOGLETRANSLATE(D587,""en"",""pt"")"),"O Scraggy é um Pokémon do tipo escuro/de luta introduzido na geração 5. É conhecido como Pokémon de derramamento.")</f>
        <v>O Scraggy é um Pokémon do tipo escuro/de luta introduzido na geração 5. É conhecido como Pokémon de derramamento.</v>
      </c>
      <c r="F587" s="2" t="str">
        <f ca="1">IFERROR(__xludf.DUMMYFUNCTION("GOOGLETRANSLATE(B587,""en"",""pt"")"),"Derramando Pokémon")</f>
        <v>Derramando Pokémon</v>
      </c>
    </row>
    <row r="588" spans="1:6" ht="15.75" customHeight="1" x14ac:dyDescent="0.25">
      <c r="A588" s="2" t="s">
        <v>1994</v>
      </c>
      <c r="B588" s="2" t="s">
        <v>1995</v>
      </c>
      <c r="C588" s="2" t="s">
        <v>1996</v>
      </c>
      <c r="D588" s="2" t="s">
        <v>1997</v>
      </c>
      <c r="E588" s="2" t="str">
        <f ca="1">IFERROR(__xludf.DUMMYFUNCTION("GOOGLETRANSLATE(D588,""en"",""pt"")"),"Mankey é um Pokémon do tipo de luta introduzido na geração 1. É conhecido como Pokémon Monkey Pokémon.")</f>
        <v>Mankey é um Pokémon do tipo de luta introduzido na geração 1. É conhecido como Pokémon Monkey Pokémon.</v>
      </c>
      <c r="F588" s="2" t="str">
        <f ca="1">IFERROR(__xludf.DUMMYFUNCTION("GOOGLETRANSLATE(B588,""en"",""pt"")"),"Pokémon de macaco de porco")</f>
        <v>Pokémon de macaco de porco</v>
      </c>
    </row>
    <row r="589" spans="1:6" ht="15.75" customHeight="1" x14ac:dyDescent="0.25">
      <c r="A589" s="2" t="s">
        <v>1998</v>
      </c>
      <c r="B589" s="2" t="s">
        <v>1999</v>
      </c>
      <c r="C589" s="2" t="s">
        <v>2000</v>
      </c>
      <c r="D589" s="2" t="s">
        <v>2001</v>
      </c>
      <c r="E589" s="2" t="str">
        <f ca="1">IFERROR(__xludf.DUMMYFUNCTION("GOOGLETRANSLATE(D589,""en"",""pt"")"),"Scrafty é um Pokémon do tipo escuro/de luta introduzido na geração 5. É conhecido como Pokémon Hoodlum.")</f>
        <v>Scrafty é um Pokémon do tipo escuro/de luta introduzido na geração 5. É conhecido como Pokémon Hoodlum.</v>
      </c>
      <c r="F589" s="2" t="str">
        <f ca="1">IFERROR(__xludf.DUMMYFUNCTION("GOOGLETRANSLATE(B589,""en"",""pt"")"),"Pokémon Hoodlum")</f>
        <v>Pokémon Hoodlum</v>
      </c>
    </row>
    <row r="590" spans="1:6" ht="15.75" customHeight="1" x14ac:dyDescent="0.25">
      <c r="A590" s="2" t="s">
        <v>2002</v>
      </c>
      <c r="B590" s="2" t="s">
        <v>2003</v>
      </c>
      <c r="C590" s="2" t="s">
        <v>2004</v>
      </c>
      <c r="D590" s="2" t="s">
        <v>2005</v>
      </c>
      <c r="E590" s="2" t="str">
        <f ca="1">IFERROR(__xludf.DUMMYFUNCTION("GOOGLETRANSLATE(D590,""en"",""pt"")"),"Sigilyph é um Pokémon psíquico/voador introduzido na geração 5. É conhecido como Pokémon Avianóide.")</f>
        <v>Sigilyph é um Pokémon psíquico/voador introduzido na geração 5. É conhecido como Pokémon Avianóide.</v>
      </c>
      <c r="F590" s="2" t="str">
        <f ca="1">IFERROR(__xludf.DUMMYFUNCTION("GOOGLETRANSLATE(B590,""en"",""pt"")"),"Pokémon aviianóide")</f>
        <v>Pokémon aviianóide</v>
      </c>
    </row>
    <row r="591" spans="1:6" ht="15.75" customHeight="1" x14ac:dyDescent="0.25">
      <c r="A591" s="2" t="s">
        <v>2006</v>
      </c>
      <c r="B591" s="2" t="s">
        <v>2007</v>
      </c>
      <c r="C591" s="2" t="s">
        <v>2008</v>
      </c>
      <c r="D591" s="2" t="s">
        <v>2009</v>
      </c>
      <c r="E591" s="2" t="str">
        <f ca="1">IFERROR(__xludf.DUMMYFUNCTION("GOOGLETRANSLATE(D591,""en"",""pt"")"),"O Yamask é um Pokémon do tipo fantasma introduzido na geração 5. É conhecido como Pokémon Spirit.")</f>
        <v>O Yamask é um Pokémon do tipo fantasma introduzido na geração 5. É conhecido como Pokémon Spirit.</v>
      </c>
      <c r="F591" s="2" t="str">
        <f ca="1">IFERROR(__xludf.DUMMYFUNCTION("GOOGLETRANSLATE(B591,""en"",""pt"")"),"Spirit Pokémon")</f>
        <v>Spirit Pokémon</v>
      </c>
    </row>
    <row r="592" spans="1:6" ht="15.75" customHeight="1" x14ac:dyDescent="0.25">
      <c r="A592" s="2" t="s">
        <v>2010</v>
      </c>
      <c r="B592" s="2" t="s">
        <v>2011</v>
      </c>
      <c r="C592" s="2" t="s">
        <v>2012</v>
      </c>
      <c r="D592" s="2" t="s">
        <v>2013</v>
      </c>
      <c r="E592" s="2" t="str">
        <f ca="1">IFERROR(__xludf.DUMMYFUNCTION("GOOGLETRANSLATE(D592,""en"",""pt"")"),"O Cofagrigus é um Pokémon do tipo fantasma introduzido na geração 5. É conhecido como Pokémon Coffin.")</f>
        <v>O Cofagrigus é um Pokémon do tipo fantasma introduzido na geração 5. É conhecido como Pokémon Coffin.</v>
      </c>
      <c r="F592" s="2" t="str">
        <f ca="1">IFERROR(__xludf.DUMMYFUNCTION("GOOGLETRANSLATE(B592,""en"",""pt"")"),"Pokémon de caixão")</f>
        <v>Pokémon de caixão</v>
      </c>
    </row>
    <row r="593" spans="1:6" ht="15.75" customHeight="1" x14ac:dyDescent="0.25">
      <c r="A593" s="2" t="s">
        <v>2014</v>
      </c>
      <c r="B593" s="2" t="s">
        <v>2015</v>
      </c>
      <c r="C593" s="2" t="s">
        <v>2016</v>
      </c>
      <c r="D593" s="2" t="s">
        <v>2017</v>
      </c>
      <c r="E593" s="2" t="str">
        <f ca="1">IFERROR(__xludf.DUMMYFUNCTION("GOOGLETRANSLATE(D593,""en"",""pt"")"),"Tirtuga é um Pokémon do tipo água/rocha introduzido na geração 5. É conhecido como Pokémon ProtoTurtle.")</f>
        <v>Tirtuga é um Pokémon do tipo água/rocha introduzido na geração 5. É conhecido como Pokémon ProtoTurtle.</v>
      </c>
      <c r="F593" s="2" t="str">
        <f ca="1">IFERROR(__xludf.DUMMYFUNCTION("GOOGLETRANSLATE(B593,""en"",""pt"")"),"Pokémon prototurtle")</f>
        <v>Pokémon prototurtle</v>
      </c>
    </row>
    <row r="594" spans="1:6" ht="15.75" customHeight="1" x14ac:dyDescent="0.25">
      <c r="A594" s="2" t="s">
        <v>2018</v>
      </c>
      <c r="B594" s="2" t="s">
        <v>2015</v>
      </c>
      <c r="C594" s="2" t="s">
        <v>2019</v>
      </c>
      <c r="D594" s="2" t="s">
        <v>2020</v>
      </c>
      <c r="E594" s="2" t="str">
        <f ca="1">IFERROR(__xludf.DUMMYFUNCTION("GOOGLETRANSLATE(D594,""en"",""pt"")"),"Carracosta é um Pokémon do tipo água/rocha introduzido na geração 5. É conhecido como Pokémon ProtoTurtle.")</f>
        <v>Carracosta é um Pokémon do tipo água/rocha introduzido na geração 5. É conhecido como Pokémon ProtoTurtle.</v>
      </c>
      <c r="F594" s="2" t="str">
        <f ca="1">IFERROR(__xludf.DUMMYFUNCTION("GOOGLETRANSLATE(B594,""en"",""pt"")"),"Pokémon prototurtle")</f>
        <v>Pokémon prototurtle</v>
      </c>
    </row>
    <row r="595" spans="1:6" ht="15.75" customHeight="1" x14ac:dyDescent="0.25">
      <c r="A595" s="2" t="s">
        <v>2021</v>
      </c>
      <c r="B595" s="2" t="s">
        <v>2022</v>
      </c>
      <c r="C595" s="2" t="s">
        <v>2023</v>
      </c>
      <c r="D595" s="2" t="s">
        <v>2024</v>
      </c>
      <c r="E595" s="2" t="str">
        <f ca="1">IFERROR(__xludf.DUMMYFUNCTION("GOOGLETRANSLATE(D595,""en"",""pt"")"),"Archen é um Pokémon do tipo rock/voador introduzido na geração 5. É conhecido como o primeiro Pokémon de pássaro.")</f>
        <v>Archen é um Pokémon do tipo rock/voador introduzido na geração 5. É conhecido como o primeiro Pokémon de pássaro.</v>
      </c>
      <c r="F595" s="2" t="str">
        <f ca="1">IFERROR(__xludf.DUMMYFUNCTION("GOOGLETRANSLATE(B595,""en"",""pt"")"),"Pokémon do primeiro pássaro")</f>
        <v>Pokémon do primeiro pássaro</v>
      </c>
    </row>
    <row r="596" spans="1:6" ht="15.75" customHeight="1" x14ac:dyDescent="0.25">
      <c r="A596" s="2" t="s">
        <v>2025</v>
      </c>
      <c r="B596" s="2" t="s">
        <v>2022</v>
      </c>
      <c r="C596" s="2" t="s">
        <v>2026</v>
      </c>
      <c r="D596" s="2" t="s">
        <v>2027</v>
      </c>
      <c r="E596" s="2" t="str">
        <f ca="1">IFERROR(__xludf.DUMMYFUNCTION("GOOGLETRANSLATE(D596,""en"",""pt"")"),"Archeops é um Pokémon do tipo rock/voador introduzido na geração 5. É conhecido como o primeiro Pokémon de pássaro.")</f>
        <v>Archeops é um Pokémon do tipo rock/voador introduzido na geração 5. É conhecido como o primeiro Pokémon de pássaro.</v>
      </c>
      <c r="F596" s="2" t="str">
        <f ca="1">IFERROR(__xludf.DUMMYFUNCTION("GOOGLETRANSLATE(B596,""en"",""pt"")"),"Pokémon do primeiro pássaro")</f>
        <v>Pokémon do primeiro pássaro</v>
      </c>
    </row>
    <row r="597" spans="1:6" ht="15.75" customHeight="1" x14ac:dyDescent="0.25">
      <c r="A597" s="2" t="s">
        <v>2028</v>
      </c>
      <c r="B597" s="2" t="s">
        <v>2029</v>
      </c>
      <c r="C597" s="2" t="s">
        <v>2030</v>
      </c>
      <c r="D597" s="2" t="s">
        <v>2031</v>
      </c>
      <c r="E597" s="2" t="str">
        <f ca="1">IFERROR(__xludf.DUMMYFUNCTION("GOOGLETRANSLATE(D597,""en"",""pt"")"),"Trubbish é um Pokémon do tipo veneno introduzido na geração 5. É conhecido como Pokémon de sacola de lixo.")</f>
        <v>Trubbish é um Pokémon do tipo veneno introduzido na geração 5. É conhecido como Pokémon de sacola de lixo.</v>
      </c>
      <c r="F597" s="2" t="str">
        <f ca="1">IFERROR(__xludf.DUMMYFUNCTION("GOOGLETRANSLATE(B597,""en"",""pt"")"),"Pokémon de bolsa de lixo")</f>
        <v>Pokémon de bolsa de lixo</v>
      </c>
    </row>
    <row r="598" spans="1:6" ht="15.75" customHeight="1" x14ac:dyDescent="0.25">
      <c r="A598" s="2" t="s">
        <v>2032</v>
      </c>
      <c r="B598" s="2" t="s">
        <v>2033</v>
      </c>
      <c r="C598" s="2" t="s">
        <v>2034</v>
      </c>
      <c r="D598" s="2" t="s">
        <v>2035</v>
      </c>
      <c r="E598" s="2" t="str">
        <f ca="1">IFERROR(__xludf.DUMMYFUNCTION("GOOGLETRANSLATE(D598,""en"",""pt"")"),"Garbodor é um Pokémon do tipo veneno introduzido na geração 5. É conhecido como Pokémon de PokiSt.")</f>
        <v>Garbodor é um Pokémon do tipo veneno introduzido na geração 5. É conhecido como Pokémon de PokiSt.</v>
      </c>
      <c r="F598" s="2" t="str">
        <f ca="1">IFERROR(__xludf.DUMMYFUNCTION("GOOGLETRANSLATE(B598,""en"",""pt"")"),"Pokémon de pilha de lixo")</f>
        <v>Pokémon de pilha de lixo</v>
      </c>
    </row>
    <row r="599" spans="1:6" ht="15.75" customHeight="1" x14ac:dyDescent="0.25">
      <c r="A599" s="2" t="s">
        <v>2036</v>
      </c>
      <c r="B599" s="2" t="s">
        <v>1995</v>
      </c>
      <c r="C599" s="2" t="s">
        <v>2037</v>
      </c>
      <c r="D599" s="2" t="s">
        <v>2038</v>
      </c>
      <c r="E599" s="2" t="str">
        <f ca="1">IFERROR(__xludf.DUMMYFUNCTION("GOOGLETRANSLATE(D599,""en"",""pt"")"),"O Primeape é um Pokémon do tipo de luta introduzido na geração 1. É conhecido como Pokémon Monkey Pokémon.")</f>
        <v>O Primeape é um Pokémon do tipo de luta introduzido na geração 1. É conhecido como Pokémon Monkey Pokémon.</v>
      </c>
      <c r="F599" s="2" t="str">
        <f ca="1">IFERROR(__xludf.DUMMYFUNCTION("GOOGLETRANSLATE(B599,""en"",""pt"")"),"Pokémon de macaco de porco")</f>
        <v>Pokémon de macaco de porco</v>
      </c>
    </row>
    <row r="600" spans="1:6" ht="15.75" customHeight="1" x14ac:dyDescent="0.25">
      <c r="A600" s="2" t="s">
        <v>2039</v>
      </c>
      <c r="B600" s="2" t="s">
        <v>2040</v>
      </c>
      <c r="C600" s="2" t="s">
        <v>2041</v>
      </c>
      <c r="D600" s="2" t="s">
        <v>2042</v>
      </c>
      <c r="E600" s="2" t="str">
        <f ca="1">IFERROR(__xludf.DUMMYFUNCTION("GOOGLETRANSLATE(D600,""en"",""pt"")"),"Zorua é um Pokémon do tipo escuro introduzido na geração 5. É conhecido como o complicado Pokémon Fox.")</f>
        <v>Zorua é um Pokémon do tipo escuro introduzido na geração 5. É conhecido como o complicado Pokémon Fox.</v>
      </c>
      <c r="F600" s="2" t="str">
        <f ca="1">IFERROR(__xludf.DUMMYFUNCTION("GOOGLETRANSLATE(B600,""en"",""pt"")"),"Pokémon complicados da Fox")</f>
        <v>Pokémon complicados da Fox</v>
      </c>
    </row>
    <row r="601" spans="1:6" ht="15.75" customHeight="1" x14ac:dyDescent="0.25">
      <c r="A601" s="2" t="s">
        <v>2043</v>
      </c>
      <c r="B601" s="2" t="s">
        <v>2044</v>
      </c>
      <c r="C601" s="2" t="s">
        <v>2045</v>
      </c>
      <c r="D601" s="2" t="s">
        <v>2046</v>
      </c>
      <c r="E601" s="2" t="str">
        <f ca="1">IFERROR(__xludf.DUMMYFUNCTION("GOOGLETRANSLATE(D601,""en"",""pt"")"),"Zoroark é um Pokémon do tipo escuro introduzido na geração 5. É conhecido como Pokémon Illusion Fox.")</f>
        <v>Zoroark é um Pokémon do tipo escuro introduzido na geração 5. É conhecido como Pokémon Illusion Fox.</v>
      </c>
      <c r="F601" s="2" t="str">
        <f ca="1">IFERROR(__xludf.DUMMYFUNCTION("GOOGLETRANSLATE(B601,""en"",""pt"")"),"Ilusão Pokémon Fox")</f>
        <v>Ilusão Pokémon Fox</v>
      </c>
    </row>
    <row r="602" spans="1:6" ht="15.75" customHeight="1" x14ac:dyDescent="0.25">
      <c r="A602" s="2" t="s">
        <v>2047</v>
      </c>
      <c r="B602" s="2" t="s">
        <v>2048</v>
      </c>
      <c r="C602" s="2" t="s">
        <v>2049</v>
      </c>
      <c r="D602" s="2" t="s">
        <v>2050</v>
      </c>
      <c r="E602" s="2" t="str">
        <f ca="1">IFERROR(__xludf.DUMMYFUNCTION("GOOGLETRANSLATE(D602,""en"",""pt"")"),"Minccino é um Pokémon do tipo normal introduzido na geração 5. É conhecido como Pokémon Chinchilla.")</f>
        <v>Minccino é um Pokémon do tipo normal introduzido na geração 5. É conhecido como Pokémon Chinchilla.</v>
      </c>
      <c r="F602" s="2" t="str">
        <f ca="1">IFERROR(__xludf.DUMMYFUNCTION("GOOGLETRANSLATE(B602,""en"",""pt"")"),"Chinchilla Pokémon")</f>
        <v>Chinchilla Pokémon</v>
      </c>
    </row>
    <row r="603" spans="1:6" ht="15.75" customHeight="1" x14ac:dyDescent="0.25">
      <c r="A603" s="2" t="s">
        <v>2051</v>
      </c>
      <c r="B603" s="2" t="s">
        <v>2052</v>
      </c>
      <c r="C603" s="2" t="s">
        <v>2053</v>
      </c>
      <c r="D603" s="2" t="s">
        <v>2054</v>
      </c>
      <c r="E603" s="2" t="str">
        <f ca="1">IFERROR(__xludf.DUMMYFUNCTION("GOOGLETRANSLATE(D603,""en"",""pt"")"),"Cinccino é um Pokémon do tipo normal introduzido na geração 5. É conhecido como Pokémon do cachecol.")</f>
        <v>Cinccino é um Pokémon do tipo normal introduzido na geração 5. É conhecido como Pokémon do cachecol.</v>
      </c>
      <c r="F603" s="2" t="str">
        <f ca="1">IFERROR(__xludf.DUMMYFUNCTION("GOOGLETRANSLATE(B603,""en"",""pt"")"),"Pokémon de cachecol")</f>
        <v>Pokémon de cachecol</v>
      </c>
    </row>
    <row r="604" spans="1:6" ht="15.75" customHeight="1" x14ac:dyDescent="0.25">
      <c r="A604" s="2" t="s">
        <v>2055</v>
      </c>
      <c r="B604" s="2" t="s">
        <v>2056</v>
      </c>
      <c r="C604" s="2" t="s">
        <v>2057</v>
      </c>
      <c r="D604" s="2" t="s">
        <v>2058</v>
      </c>
      <c r="E604" s="2" t="str">
        <f ca="1">IFERROR(__xludf.DUMMYFUNCTION("GOOGLETRANSLATE(D604,""en"",""pt"")"),"Gothita é um Pokémon do tipo psíquico introduzido na geração 5. É conhecido como Pokémon de fixação.")</f>
        <v>Gothita é um Pokémon do tipo psíquico introduzido na geração 5. É conhecido como Pokémon de fixação.</v>
      </c>
      <c r="F604" s="2" t="str">
        <f ca="1">IFERROR(__xludf.DUMMYFUNCTION("GOOGLETRANSLATE(B604,""en"",""pt"")"),"Pokémon de fixação")</f>
        <v>Pokémon de fixação</v>
      </c>
    </row>
    <row r="605" spans="1:6" ht="15.75" customHeight="1" x14ac:dyDescent="0.25">
      <c r="A605" s="2" t="s">
        <v>2059</v>
      </c>
      <c r="B605" s="2" t="s">
        <v>980</v>
      </c>
      <c r="C605" s="2" t="s">
        <v>2060</v>
      </c>
      <c r="D605" s="2" t="s">
        <v>2061</v>
      </c>
      <c r="E605" s="2" t="str">
        <f ca="1">IFERROR(__xludf.DUMMYFUNCTION("GOOGLETRANSLATE(D605,""en"",""pt"")"),"Gothorita é um Pokémon do tipo psíquico introduzido na geração 5. É conhecido como Pokémon manipulado.")</f>
        <v>Gothorita é um Pokémon do tipo psíquico introduzido na geração 5. É conhecido como Pokémon manipulado.</v>
      </c>
      <c r="F605" s="2" t="str">
        <f ca="1">IFERROR(__xludf.DUMMYFUNCTION("GOOGLETRANSLATE(B605,""en"",""pt"")"),"Manipular Pokémon")</f>
        <v>Manipular Pokémon</v>
      </c>
    </row>
    <row r="606" spans="1:6" ht="15.75" customHeight="1" x14ac:dyDescent="0.25">
      <c r="A606" s="2" t="s">
        <v>2062</v>
      </c>
      <c r="B606" s="2" t="s">
        <v>2063</v>
      </c>
      <c r="C606" s="2" t="s">
        <v>2064</v>
      </c>
      <c r="D606" s="2" t="s">
        <v>2065</v>
      </c>
      <c r="E606" s="2" t="str">
        <f ca="1">IFERROR(__xludf.DUMMYFUNCTION("GOOGLETRANSLATE(D606,""en"",""pt"")"),"Gothitelle é um Pokémon do tipo psíquico introduzido na geração 5. É conhecido como Pokémon do corpo astral.")</f>
        <v>Gothitelle é um Pokémon do tipo psíquico introduzido na geração 5. É conhecido como Pokémon do corpo astral.</v>
      </c>
      <c r="F606" s="2" t="str">
        <f ca="1">IFERROR(__xludf.DUMMYFUNCTION("GOOGLETRANSLATE(B606,""en"",""pt"")"),"Pokémon do corpo astral")</f>
        <v>Pokémon do corpo astral</v>
      </c>
    </row>
    <row r="607" spans="1:6" ht="15.75" customHeight="1" x14ac:dyDescent="0.25">
      <c r="A607" s="2" t="s">
        <v>2066</v>
      </c>
      <c r="B607" s="2" t="s">
        <v>2067</v>
      </c>
      <c r="C607" s="2" t="s">
        <v>2068</v>
      </c>
      <c r="D607" s="2" t="s">
        <v>2069</v>
      </c>
      <c r="E607" s="2" t="str">
        <f ca="1">IFERROR(__xludf.DUMMYFUNCTION("GOOGLETRANSLATE(D607,""en"",""pt"")"),"A solose é um Pokémon do tipo psíquico introduzido na geração 5. É conhecido como Pokémon celular.")</f>
        <v>A solose é um Pokémon do tipo psíquico introduzido na geração 5. É conhecido como Pokémon celular.</v>
      </c>
      <c r="F607" s="2" t="str">
        <f ca="1">IFERROR(__xludf.DUMMYFUNCTION("GOOGLETRANSLATE(B607,""en"",""pt"")"),"Pokémon celular")</f>
        <v>Pokémon celular</v>
      </c>
    </row>
    <row r="608" spans="1:6" ht="15.75" customHeight="1" x14ac:dyDescent="0.25">
      <c r="A608" s="2" t="s">
        <v>2070</v>
      </c>
      <c r="B608" s="2" t="s">
        <v>2071</v>
      </c>
      <c r="C608" s="2" t="s">
        <v>2072</v>
      </c>
      <c r="D608" s="2" t="s">
        <v>2073</v>
      </c>
      <c r="E608" s="2" t="str">
        <f ca="1">IFERROR(__xludf.DUMMYFUNCTION("GOOGLETRANSLATE(D608,""en"",""pt"")"),"Duosion é um Pokémon do tipo psíquico introduzido na geração 5. É conhecido como Pokémon da mitose.")</f>
        <v>Duosion é um Pokémon do tipo psíquico introduzido na geração 5. É conhecido como Pokémon da mitose.</v>
      </c>
      <c r="F608" s="2" t="str">
        <f ca="1">IFERROR(__xludf.DUMMYFUNCTION("GOOGLETRANSLATE(B608,""en"",""pt"")"),"Mitose Pokémon")</f>
        <v>Mitose Pokémon</v>
      </c>
    </row>
    <row r="609" spans="1:6" ht="15.75" customHeight="1" x14ac:dyDescent="0.25">
      <c r="A609" s="2" t="s">
        <v>2074</v>
      </c>
      <c r="B609" s="2" t="s">
        <v>2075</v>
      </c>
      <c r="C609" s="2" t="s">
        <v>2076</v>
      </c>
      <c r="D609" s="2" t="s">
        <v>2077</v>
      </c>
      <c r="E609" s="2" t="str">
        <f ca="1">IFERROR(__xludf.DUMMYFUNCTION("GOOGLETRANSLATE(D609,""en"",""pt"")"),"O Reuniclus é um Pokémon do tipo psíquico introduzido na geração 5. É conhecido como Pokémon multiplicador.")</f>
        <v>O Reuniclus é um Pokémon do tipo psíquico introduzido na geração 5. É conhecido como Pokémon multiplicador.</v>
      </c>
      <c r="F609" s="2" t="str">
        <f ca="1">IFERROR(__xludf.DUMMYFUNCTION("GOOGLETRANSLATE(B609,""en"",""pt"")"),"Multiplicando Pokémon")</f>
        <v>Multiplicando Pokémon</v>
      </c>
    </row>
    <row r="610" spans="1:6" ht="15.75" customHeight="1" x14ac:dyDescent="0.25">
      <c r="A610" s="2" t="s">
        <v>2078</v>
      </c>
      <c r="B610" s="2" t="s">
        <v>1764</v>
      </c>
      <c r="C610" s="2" t="s">
        <v>2079</v>
      </c>
      <c r="D610" s="2" t="s">
        <v>2080</v>
      </c>
      <c r="E610" s="2" t="str">
        <f ca="1">IFERROR(__xludf.DUMMYFUNCTION("GOOGLETRANSLATE(D610,""en"",""pt"")"),"Growlithe é um Pokémon do tipo incêndio introduzido na geração 1. É conhecido como Pokémon Puppy.")</f>
        <v>Growlithe é um Pokémon do tipo incêndio introduzido na geração 1. É conhecido como Pokémon Puppy.</v>
      </c>
      <c r="F610" s="2" t="str">
        <f ca="1">IFERROR(__xludf.DUMMYFUNCTION("GOOGLETRANSLATE(B610,""en"",""pt"")"),"Pokémon de cachorro")</f>
        <v>Pokémon de cachorro</v>
      </c>
    </row>
    <row r="611" spans="1:6" ht="15.75" customHeight="1" x14ac:dyDescent="0.25">
      <c r="A611" s="2" t="s">
        <v>2081</v>
      </c>
      <c r="B611" s="2" t="s">
        <v>771</v>
      </c>
      <c r="C611" s="2" t="s">
        <v>2082</v>
      </c>
      <c r="D611" s="2" t="s">
        <v>2083</v>
      </c>
      <c r="E611" s="2" t="str">
        <f ca="1">IFERROR(__xludf.DUMMYFUNCTION("GOOGLETRANSLATE(D611,""en"",""pt"")"),"Ducklett é um Pokémon do tipo água/voador introduzido na geração 5. É conhecido como Pokémon de pássaro aquático.")</f>
        <v>Ducklett é um Pokémon do tipo água/voador introduzido na geração 5. É conhecido como Pokémon de pássaro aquático.</v>
      </c>
      <c r="F611" s="2" t="str">
        <f ca="1">IFERROR(__xludf.DUMMYFUNCTION("GOOGLETRANSLATE(B611,""en"",""pt"")"),"Pokémon de pássaros aquáticos")</f>
        <v>Pokémon de pássaros aquáticos</v>
      </c>
    </row>
    <row r="612" spans="1:6" ht="15.75" customHeight="1" x14ac:dyDescent="0.25">
      <c r="A612" s="2" t="s">
        <v>2084</v>
      </c>
      <c r="B612" s="2" t="s">
        <v>2085</v>
      </c>
      <c r="C612" s="2" t="s">
        <v>2086</v>
      </c>
      <c r="D612" s="2" t="s">
        <v>2087</v>
      </c>
      <c r="E612" s="2" t="str">
        <f ca="1">IFERROR(__xludf.DUMMYFUNCTION("GOOGLETRANSLATE(D612,""en"",""pt"")"),"Swanna é um Pokémon do tipo água/voador introduzido na geração 5. É conhecido como o Pokémon Branco Branco.")</f>
        <v>Swanna é um Pokémon do tipo água/voador introduzido na geração 5. É conhecido como o Pokémon Branco Branco.</v>
      </c>
      <c r="F612" s="2" t="str">
        <f ca="1">IFERROR(__xludf.DUMMYFUNCTION("GOOGLETRANSLATE(B612,""en"",""pt"")"),"Pokémon de pássaro branco")</f>
        <v>Pokémon de pássaro branco</v>
      </c>
    </row>
    <row r="613" spans="1:6" ht="15.75" customHeight="1" x14ac:dyDescent="0.25">
      <c r="A613" s="2" t="s">
        <v>2088</v>
      </c>
      <c r="B613" s="2" t="s">
        <v>1607</v>
      </c>
      <c r="C613" s="2" t="s">
        <v>2089</v>
      </c>
      <c r="D613" s="2" t="s">
        <v>2090</v>
      </c>
      <c r="E613" s="2" t="str">
        <f ca="1">IFERROR(__xludf.DUMMYFUNCTION("GOOGLETRANSLATE(D613,""en"",""pt"")"),"Vanillite é um Pokémon do tipo gelo introduzido na geração 5. É conhecido como Pokémon Fresh Snow.")</f>
        <v>Vanillite é um Pokémon do tipo gelo introduzido na geração 5. É conhecido como Pokémon Fresh Snow.</v>
      </c>
      <c r="F613" s="2" t="str">
        <f ca="1">IFERROR(__xludf.DUMMYFUNCTION("GOOGLETRANSLATE(B613,""en"",""pt"")"),"Pokémon fresco de neve")</f>
        <v>Pokémon fresco de neve</v>
      </c>
    </row>
    <row r="614" spans="1:6" ht="15.75" customHeight="1" x14ac:dyDescent="0.25">
      <c r="A614" s="2" t="s">
        <v>2091</v>
      </c>
      <c r="B614" s="2" t="s">
        <v>2092</v>
      </c>
      <c r="C614" s="2" t="s">
        <v>2093</v>
      </c>
      <c r="D614" s="2" t="s">
        <v>2094</v>
      </c>
      <c r="E614" s="2" t="str">
        <f ca="1">IFERROR(__xludf.DUMMYFUNCTION("GOOGLETRANSLATE(D614,""en"",""pt"")"),"Vanillish é um Pokémon do tipo gelo introduzido na geração 5. É conhecido como Pokémon Icy Snow.")</f>
        <v>Vanillish é um Pokémon do tipo gelo introduzido na geração 5. É conhecido como Pokémon Icy Snow.</v>
      </c>
      <c r="F614" s="2" t="str">
        <f ca="1">IFERROR(__xludf.DUMMYFUNCTION("GOOGLETRANSLATE(B614,""en"",""pt"")"),"Pokémon de neve gelado")</f>
        <v>Pokémon de neve gelado</v>
      </c>
    </row>
    <row r="615" spans="1:6" ht="15.75" customHeight="1" x14ac:dyDescent="0.25">
      <c r="A615" s="2" t="s">
        <v>2095</v>
      </c>
      <c r="B615" s="2" t="s">
        <v>2096</v>
      </c>
      <c r="C615" s="2" t="s">
        <v>2097</v>
      </c>
      <c r="D615" s="2" t="s">
        <v>2098</v>
      </c>
      <c r="E615" s="2" t="str">
        <f ca="1">IFERROR(__xludf.DUMMYFUNCTION("GOOGLETRANSLATE(D615,""en"",""pt"")"),"Vanilluxe é um Pokémon do tipo gelo introduzido na geração 5. É conhecido como Pokémon de tempestade de neve.")</f>
        <v>Vanilluxe é um Pokémon do tipo gelo introduzido na geração 5. É conhecido como Pokémon de tempestade de neve.</v>
      </c>
      <c r="F615" s="2" t="str">
        <f ca="1">IFERROR(__xludf.DUMMYFUNCTION("GOOGLETRANSLATE(B615,""en"",""pt"")"),"Pokémon de tempestade de neve")</f>
        <v>Pokémon de tempestade de neve</v>
      </c>
    </row>
    <row r="616" spans="1:6" ht="15.75" customHeight="1" x14ac:dyDescent="0.25">
      <c r="A616" s="2" t="s">
        <v>2099</v>
      </c>
      <c r="B616" s="2" t="s">
        <v>2100</v>
      </c>
      <c r="C616" s="2" t="s">
        <v>2101</v>
      </c>
      <c r="D616" s="2" t="s">
        <v>2102</v>
      </c>
      <c r="E616" s="2" t="str">
        <f ca="1">IFERROR(__xludf.DUMMYFUNCTION("GOOGLETRANSLATE(D616,""en"",""pt"")"),"Deerling é um Pokémon normal/tipo de grama introduzido na geração 5. É conhecido como Pokémon da estação.")</f>
        <v>Deerling é um Pokémon normal/tipo de grama introduzido na geração 5. É conhecido como Pokémon da estação.</v>
      </c>
      <c r="F616" s="2" t="str">
        <f ca="1">IFERROR(__xludf.DUMMYFUNCTION("GOOGLETRANSLATE(B616,""en"",""pt"")"),"Pokémon da temporada")</f>
        <v>Pokémon da temporada</v>
      </c>
    </row>
    <row r="617" spans="1:6" ht="15.75" customHeight="1" x14ac:dyDescent="0.25">
      <c r="A617" s="2" t="s">
        <v>2103</v>
      </c>
      <c r="B617" s="2" t="s">
        <v>2100</v>
      </c>
      <c r="C617" s="2" t="s">
        <v>2104</v>
      </c>
      <c r="D617" s="2" t="s">
        <v>2105</v>
      </c>
      <c r="E617" s="2" t="str">
        <f ca="1">IFERROR(__xludf.DUMMYFUNCTION("GOOGLETRANSLATE(D617,""en"",""pt"")"),"Sawsbuck é um Pokémon normal/tipo de grama introduzido na geração 5. É conhecido como Pokémon da estação.")</f>
        <v>Sawsbuck é um Pokémon normal/tipo de grama introduzido na geração 5. É conhecido como Pokémon da estação.</v>
      </c>
      <c r="F617" s="2" t="str">
        <f ca="1">IFERROR(__xludf.DUMMYFUNCTION("GOOGLETRANSLATE(B617,""en"",""pt"")"),"Pokémon da temporada")</f>
        <v>Pokémon da temporada</v>
      </c>
    </row>
    <row r="618" spans="1:6" ht="15.75" customHeight="1" x14ac:dyDescent="0.25">
      <c r="A618" s="2" t="s">
        <v>2106</v>
      </c>
      <c r="B618" s="2" t="s">
        <v>2107</v>
      </c>
      <c r="C618" s="2" t="s">
        <v>2108</v>
      </c>
      <c r="D618" s="2" t="s">
        <v>2109</v>
      </c>
      <c r="E618" s="2" t="str">
        <f ca="1">IFERROR(__xludf.DUMMYFUNCTION("GOOGLETRANSLATE(D618,""en"",""pt"")"),"Emolga é um Pokémon elétrico/voador introduzido na geração 5. É conhecido como Pokémon Sky Squirrel.")</f>
        <v>Emolga é um Pokémon elétrico/voador introduzido na geração 5. É conhecido como Pokémon Sky Squirrel.</v>
      </c>
      <c r="F618" s="2" t="str">
        <f ca="1">IFERROR(__xludf.DUMMYFUNCTION("GOOGLETRANSLATE(B618,""en"",""pt"")"),"Sky Squirrel Pokémon")</f>
        <v>Sky Squirrel Pokémon</v>
      </c>
    </row>
    <row r="619" spans="1:6" ht="15.75" customHeight="1" x14ac:dyDescent="0.25">
      <c r="A619" s="2" t="s">
        <v>2110</v>
      </c>
      <c r="B619" s="2" t="s">
        <v>2111</v>
      </c>
      <c r="C619" s="2" t="s">
        <v>2112</v>
      </c>
      <c r="D619" s="2" t="s">
        <v>2113</v>
      </c>
      <c r="E619" s="2" t="str">
        <f ca="1">IFERROR(__xludf.DUMMYFUNCTION("GOOGLETRANSLATE(D619,""en"",""pt"")"),"Karrablast é um Pokémon do tipo bug introduzido na geração 5. É conhecido como Pokémon de aperto.")</f>
        <v>Karrablast é um Pokémon do tipo bug introduzido na geração 5. É conhecido como Pokémon de aperto.</v>
      </c>
      <c r="F619" s="2" t="str">
        <f ca="1">IFERROR(__xludf.DUMMYFUNCTION("GOOGLETRANSLATE(B619,""en"",""pt"")"),"Pokémon de aperto")</f>
        <v>Pokémon de aperto</v>
      </c>
    </row>
    <row r="620" spans="1:6" ht="15.75" customHeight="1" x14ac:dyDescent="0.25">
      <c r="A620" s="2" t="s">
        <v>2114</v>
      </c>
      <c r="B620" s="2" t="s">
        <v>2115</v>
      </c>
      <c r="C620" s="2" t="s">
        <v>2116</v>
      </c>
      <c r="D620" s="2" t="s">
        <v>2117</v>
      </c>
      <c r="E620" s="2" t="str">
        <f ca="1">IFERROR(__xludf.DUMMYFUNCTION("GOOGLETRANSLATE(D620,""en"",""pt"")"),"Escavalier é um Pokémon do tipo bug/aço introduzido na geração 5. É conhecido como Pokémon de Cavalaria.")</f>
        <v>Escavalier é um Pokémon do tipo bug/aço introduzido na geração 5. É conhecido como Pokémon de Cavalaria.</v>
      </c>
      <c r="F620" s="2" t="str">
        <f ca="1">IFERROR(__xludf.DUMMYFUNCTION("GOOGLETRANSLATE(B620,""en"",""pt"")"),"Pokémon de cavalaria")</f>
        <v>Pokémon de cavalaria</v>
      </c>
    </row>
    <row r="621" spans="1:6" ht="15.75" customHeight="1" x14ac:dyDescent="0.25">
      <c r="A621" s="2" t="s">
        <v>2118</v>
      </c>
      <c r="B621" s="2" t="s">
        <v>2119</v>
      </c>
      <c r="C621" s="2" t="s">
        <v>2120</v>
      </c>
      <c r="D621" s="2" t="s">
        <v>2121</v>
      </c>
      <c r="E621" s="2" t="str">
        <f ca="1">IFERROR(__xludf.DUMMYFUNCTION("GOOGLETRANSLATE(D621,""en"",""pt"")"),"Arcanine é um Pokémon do tipo incêndio introduzido na geração 1. É conhecido como o lendário Pokémon.")</f>
        <v>Arcanine é um Pokémon do tipo incêndio introduzido na geração 1. É conhecido como o lendário Pokémon.</v>
      </c>
      <c r="F621" s="2" t="str">
        <f ca="1">IFERROR(__xludf.DUMMYFUNCTION("GOOGLETRANSLATE(B621,""en"",""pt"")"),"Pokémon lendário")</f>
        <v>Pokémon lendário</v>
      </c>
    </row>
    <row r="622" spans="1:6" ht="15.75" customHeight="1" x14ac:dyDescent="0.25">
      <c r="A622" s="2" t="s">
        <v>2122</v>
      </c>
      <c r="B622" s="2" t="s">
        <v>800</v>
      </c>
      <c r="C622" s="2" t="s">
        <v>2123</v>
      </c>
      <c r="D622" s="2" t="s">
        <v>2124</v>
      </c>
      <c r="E622" s="2" t="str">
        <f ca="1">IFERROR(__xludf.DUMMYFUNCTION("GOOGLETRANSLATE(D622,""en"",""pt"")"),"O POOMOLUS é um Pokémon do tipo grama/veneno introduzido na geração 5. É conhecido como Pokémon de cogumelos.")</f>
        <v>O POOMOLUS é um Pokémon do tipo grama/veneno introduzido na geração 5. É conhecido como Pokémon de cogumelos.</v>
      </c>
      <c r="F622" s="2" t="str">
        <f ca="1">IFERROR(__xludf.DUMMYFUNCTION("GOOGLETRANSLATE(B622,""en"",""pt"")"),"Pokémon de cogumelos")</f>
        <v>Pokémon de cogumelos</v>
      </c>
    </row>
    <row r="623" spans="1:6" ht="15.75" customHeight="1" x14ac:dyDescent="0.25">
      <c r="A623" s="2" t="s">
        <v>2125</v>
      </c>
      <c r="B623" s="2" t="s">
        <v>800</v>
      </c>
      <c r="C623" s="2" t="s">
        <v>2126</v>
      </c>
      <c r="D623" s="2" t="s">
        <v>2127</v>
      </c>
      <c r="E623" s="2" t="str">
        <f ca="1">IFERROR(__xludf.DUMMYFUNCTION("GOOGLETRANSLATE(D623,""en"",""pt"")"),"Amoonguss é um Pokémon do tipo grama/veneno introduzido na geração 5. É conhecido como Pokémon de cogumelos.")</f>
        <v>Amoonguss é um Pokémon do tipo grama/veneno introduzido na geração 5. É conhecido como Pokémon de cogumelos.</v>
      </c>
      <c r="F623" s="2" t="str">
        <f ca="1">IFERROR(__xludf.DUMMYFUNCTION("GOOGLETRANSLATE(B623,""en"",""pt"")"),"Pokémon de cogumelos")</f>
        <v>Pokémon de cogumelos</v>
      </c>
    </row>
    <row r="624" spans="1:6" ht="15.75" customHeight="1" x14ac:dyDescent="0.25">
      <c r="A624" s="2" t="s">
        <v>2128</v>
      </c>
      <c r="B624" s="2" t="s">
        <v>2129</v>
      </c>
      <c r="C624" s="2" t="s">
        <v>2130</v>
      </c>
      <c r="D624" s="2" t="s">
        <v>2131</v>
      </c>
      <c r="E624" s="2" t="str">
        <f ca="1">IFERROR(__xludf.DUMMYFUNCTION("GOOGLETRANSLATE(D624,""en"",""pt"")"),"O Frillish é um Pokémon do tipo água/fantasma introduzido na geração 5. É conhecido como Pokémon flutuante.")</f>
        <v>O Frillish é um Pokémon do tipo água/fantasma introduzido na geração 5. É conhecido como Pokémon flutuante.</v>
      </c>
      <c r="F624" s="2" t="str">
        <f ca="1">IFERROR(__xludf.DUMMYFUNCTION("GOOGLETRANSLATE(B624,""en"",""pt"")"),"Pokémon flutuante")</f>
        <v>Pokémon flutuante</v>
      </c>
    </row>
    <row r="625" spans="1:6" ht="15.75" customHeight="1" x14ac:dyDescent="0.25">
      <c r="A625" s="2" t="s">
        <v>2132</v>
      </c>
      <c r="B625" s="2" t="s">
        <v>2129</v>
      </c>
      <c r="C625" s="2" t="s">
        <v>2133</v>
      </c>
      <c r="D625" s="2" t="s">
        <v>2134</v>
      </c>
      <c r="E625" s="2" t="str">
        <f ca="1">IFERROR(__xludf.DUMMYFUNCTION("GOOGLETRANSLATE(D625,""en"",""pt"")"),"Jellicent é um Pokémon do tipo água/fantasma introduzido na geração 5. É conhecido como Pokémon flutuante.")</f>
        <v>Jellicent é um Pokémon do tipo água/fantasma introduzido na geração 5. É conhecido como Pokémon flutuante.</v>
      </c>
      <c r="F625" s="2" t="str">
        <f ca="1">IFERROR(__xludf.DUMMYFUNCTION("GOOGLETRANSLATE(B625,""en"",""pt"")"),"Pokémon flutuante")</f>
        <v>Pokémon flutuante</v>
      </c>
    </row>
    <row r="626" spans="1:6" ht="15.75" customHeight="1" x14ac:dyDescent="0.25">
      <c r="A626" s="2" t="s">
        <v>2135</v>
      </c>
      <c r="B626" s="2" t="s">
        <v>2136</v>
      </c>
      <c r="C626" s="2" t="s">
        <v>2137</v>
      </c>
      <c r="D626" s="2" t="s">
        <v>2138</v>
      </c>
      <c r="E626" s="2" t="str">
        <f ca="1">IFERROR(__xludf.DUMMYFUNCTION("GOOGLETRANSLATE(D626,""en"",""pt"")"),"Alomomola é um Pokémon do tipo água introduzido na geração 5. É conhecido como Pokémon carinhoso.")</f>
        <v>Alomomola é um Pokémon do tipo água introduzido na geração 5. É conhecido como Pokémon carinhoso.</v>
      </c>
      <c r="F626" s="2" t="str">
        <f ca="1">IFERROR(__xludf.DUMMYFUNCTION("GOOGLETRANSLATE(B626,""en"",""pt"")"),"Pokémon carinhoso")</f>
        <v>Pokémon carinhoso</v>
      </c>
    </row>
    <row r="627" spans="1:6" ht="15.75" customHeight="1" x14ac:dyDescent="0.25">
      <c r="A627" s="2" t="s">
        <v>2139</v>
      </c>
      <c r="B627" s="2" t="s">
        <v>2140</v>
      </c>
      <c r="C627" s="2" t="s">
        <v>2141</v>
      </c>
      <c r="D627" s="2" t="s">
        <v>2142</v>
      </c>
      <c r="E627" s="2" t="str">
        <f ca="1">IFERROR(__xludf.DUMMYFUNCTION("GOOGLETRANSLATE(D627,""en"",""pt"")"),"Joltik é um Pokémon do tipo bug/elétrico introduzido na geração 5. É conhecido como Pokémon de anexo.")</f>
        <v>Joltik é um Pokémon do tipo bug/elétrico introduzido na geração 5. É conhecido como Pokémon de anexo.</v>
      </c>
      <c r="F627" s="2" t="str">
        <f ca="1">IFERROR(__xludf.DUMMYFUNCTION("GOOGLETRANSLATE(B627,""en"",""pt"")"),"Anexar Pokémon")</f>
        <v>Anexar Pokémon</v>
      </c>
    </row>
    <row r="628" spans="1:6" ht="15.75" customHeight="1" x14ac:dyDescent="0.25">
      <c r="A628" s="2" t="s">
        <v>2143</v>
      </c>
      <c r="B628" s="2" t="s">
        <v>2144</v>
      </c>
      <c r="C628" s="2" t="s">
        <v>2145</v>
      </c>
      <c r="D628" s="2" t="s">
        <v>2146</v>
      </c>
      <c r="E628" s="2" t="str">
        <f ca="1">IFERROR(__xludf.DUMMYFUNCTION("GOOGLETRANSLATE(D628,""en"",""pt"")"),"Galvantula é um Pokémon do tipo bug/elétrico introduzido na geração 5. É conhecido como Pokémon ELESPIDER.")</f>
        <v>Galvantula é um Pokémon do tipo bug/elétrico introduzido na geração 5. É conhecido como Pokémon ELESPIDER.</v>
      </c>
      <c r="F628" s="2" t="str">
        <f ca="1">IFERROR(__xludf.DUMMYFUNCTION("GOOGLETRANSLATE(B628,""en"",""pt"")"),"ELESPIDER POKÉMON")</f>
        <v>ELESPIDER POKÉMON</v>
      </c>
    </row>
    <row r="629" spans="1:6" ht="15.75" customHeight="1" x14ac:dyDescent="0.25">
      <c r="A629" s="2" t="s">
        <v>2147</v>
      </c>
      <c r="B629" s="2" t="s">
        <v>2148</v>
      </c>
      <c r="C629" s="2" t="s">
        <v>2149</v>
      </c>
      <c r="D629" s="2" t="s">
        <v>2150</v>
      </c>
      <c r="E629" s="2" t="str">
        <f ca="1">IFERROR(__xludf.DUMMYFUNCTION("GOOGLETRANSLATE(D629,""en"",""pt"")"),"Ferroseed é um Pokémon do tipo grama/aço introduzido na geração 5. É conhecido como Pokémon de sementes de Thorn.")</f>
        <v>Ferroseed é um Pokémon do tipo grama/aço introduzido na geração 5. É conhecido como Pokémon de sementes de Thorn.</v>
      </c>
      <c r="F629" s="2" t="str">
        <f ca="1">IFERROR(__xludf.DUMMYFUNCTION("GOOGLETRANSLATE(B629,""en"",""pt"")"),"Pokémon de semente de espinhos")</f>
        <v>Pokémon de semente de espinhos</v>
      </c>
    </row>
    <row r="630" spans="1:6" ht="15.75" customHeight="1" x14ac:dyDescent="0.25">
      <c r="A630" s="2" t="s">
        <v>2151</v>
      </c>
      <c r="B630" s="2" t="s">
        <v>2152</v>
      </c>
      <c r="C630" s="2" t="s">
        <v>2153</v>
      </c>
      <c r="D630" s="2" t="s">
        <v>2154</v>
      </c>
      <c r="E630" s="2" t="str">
        <f ca="1">IFERROR(__xludf.DUMMYFUNCTION("GOOGLETRANSLATE(D630,""en"",""pt"")"),"Ferrothorn é um Pokémon do tipo grama/aço introduzido na geração 5. É conhecido como Pokémon PODS PODS.")</f>
        <v>Ferrothorn é um Pokémon do tipo grama/aço introduzido na geração 5. É conhecido como Pokémon PODS PODS.</v>
      </c>
      <c r="F630" s="2" t="str">
        <f ca="1">IFERROR(__xludf.DUMMYFUNCTION("GOOGLETRANSLATE(B630,""en"",""pt"")"),"Pokémon de chorn")</f>
        <v>Pokémon de chorn</v>
      </c>
    </row>
    <row r="631" spans="1:6" ht="15.75" customHeight="1" x14ac:dyDescent="0.25">
      <c r="A631" s="2" t="s">
        <v>2155</v>
      </c>
      <c r="B631" s="2" t="s">
        <v>2156</v>
      </c>
      <c r="C631" s="2" t="s">
        <v>2157</v>
      </c>
      <c r="D631" s="2" t="s">
        <v>2158</v>
      </c>
      <c r="E631" s="2" t="str">
        <f ca="1">IFERROR(__xludf.DUMMYFUNCTION("GOOGLETRANSLATE(D631,""en"",""pt"")"),"Klink é um Pokémon do tipo aço introduzido na geração 5. É conhecido como Pokémon de Gear.")</f>
        <v>Klink é um Pokémon do tipo aço introduzido na geração 5. É conhecido como Pokémon de Gear.</v>
      </c>
      <c r="F631" s="2" t="str">
        <f ca="1">IFERROR(__xludf.DUMMYFUNCTION("GOOGLETRANSLATE(B631,""en"",""pt"")"),"Gear Pokémon")</f>
        <v>Gear Pokémon</v>
      </c>
    </row>
    <row r="632" spans="1:6" ht="15.75" customHeight="1" x14ac:dyDescent="0.25">
      <c r="A632" s="2" t="s">
        <v>2159</v>
      </c>
      <c r="B632" s="2" t="s">
        <v>170</v>
      </c>
      <c r="C632" s="2" t="s">
        <v>2160</v>
      </c>
      <c r="D632" s="2" t="s">
        <v>2161</v>
      </c>
      <c r="E632" s="2" t="str">
        <f ca="1">IFERROR(__xludf.DUMMYFUNCTION("GOOGLETRANSLATE(D632,""en"",""pt"")"),"Charizard é um Pokémon do tipo Fire/Flying introduzido na geração 1. É conhecido como Pokémon Flame.
Charizard tem duas mega evoluções, disponíveis a partir da X&amp;Y.")</f>
        <v>Charizard é um Pokémon do tipo Fire/Flying introduzido na geração 1. É conhecido como Pokémon Flame.
Charizard tem duas mega evoluções, disponíveis a partir da X&amp;Y.</v>
      </c>
      <c r="F632" s="2" t="str">
        <f ca="1">IFERROR(__xludf.DUMMYFUNCTION("GOOGLETRANSLATE(B632,""en"",""pt"")"),"Pokémon de chama")</f>
        <v>Pokémon de chama</v>
      </c>
    </row>
    <row r="633" spans="1:6" ht="15.75" customHeight="1" x14ac:dyDescent="0.25">
      <c r="A633" s="2" t="s">
        <v>2159</v>
      </c>
      <c r="B633" s="2" t="s">
        <v>170</v>
      </c>
      <c r="C633" s="2" t="s">
        <v>2162</v>
      </c>
      <c r="D633" s="2" t="s">
        <v>2161</v>
      </c>
      <c r="E633" s="2" t="str">
        <f ca="1">IFERROR(__xludf.DUMMYFUNCTION("GOOGLETRANSLATE(D633,""en"",""pt"")"),"Charizard é um Pokémon do tipo Fire/Flying introduzido na geração 1. É conhecido como Pokémon Flame.
Charizard tem duas mega evoluções, disponíveis a partir da X&amp;Y.")</f>
        <v>Charizard é um Pokémon do tipo Fire/Flying introduzido na geração 1. É conhecido como Pokémon Flame.
Charizard tem duas mega evoluções, disponíveis a partir da X&amp;Y.</v>
      </c>
      <c r="F633" s="2" t="str">
        <f ca="1">IFERROR(__xludf.DUMMYFUNCTION("GOOGLETRANSLATE(B633,""en"",""pt"")"),"Pokémon de chama")</f>
        <v>Pokémon de chama</v>
      </c>
    </row>
    <row r="634" spans="1:6" ht="15.75" customHeight="1" x14ac:dyDescent="0.25">
      <c r="A634" s="2" t="s">
        <v>2159</v>
      </c>
      <c r="B634" s="2" t="s">
        <v>170</v>
      </c>
      <c r="C634" s="2" t="s">
        <v>2163</v>
      </c>
      <c r="D634" s="2" t="s">
        <v>2161</v>
      </c>
      <c r="E634" s="2" t="str">
        <f ca="1">IFERROR(__xludf.DUMMYFUNCTION("GOOGLETRANSLATE(D634,""en"",""pt"")"),"Charizard é um Pokémon do tipo Fire/Flying introduzido na geração 1. É conhecido como Pokémon Flame.
Charizard tem duas mega evoluções, disponíveis a partir da X&amp;Y.")</f>
        <v>Charizard é um Pokémon do tipo Fire/Flying introduzido na geração 1. É conhecido como Pokémon Flame.
Charizard tem duas mega evoluções, disponíveis a partir da X&amp;Y.</v>
      </c>
      <c r="F634" s="2" t="str">
        <f ca="1">IFERROR(__xludf.DUMMYFUNCTION("GOOGLETRANSLATE(B634,""en"",""pt"")"),"Pokémon de chama")</f>
        <v>Pokémon de chama</v>
      </c>
    </row>
    <row r="635" spans="1:6" ht="15.75" customHeight="1" x14ac:dyDescent="0.25">
      <c r="A635" s="2" t="s">
        <v>2164</v>
      </c>
      <c r="B635" s="2" t="s">
        <v>1890</v>
      </c>
      <c r="C635" s="2" t="s">
        <v>2165</v>
      </c>
      <c r="D635" s="2" t="s">
        <v>2166</v>
      </c>
      <c r="E635" s="2" t="str">
        <f ca="1">IFERROR(__xludf.DUMMYFUNCTION("GOOGLETRANSLATE(D635,""en"",""pt"")"),"Poliwag é um Pokémon do tipo água introduzido na geração 1. É conhecido como Pokémon de girino.")</f>
        <v>Poliwag é um Pokémon do tipo água introduzido na geração 1. É conhecido como Pokémon de girino.</v>
      </c>
      <c r="F635" s="2" t="str">
        <f ca="1">IFERROR(__xludf.DUMMYFUNCTION("GOOGLETRANSLATE(B635,""en"",""pt"")"),"Pokémon de Tadpole")</f>
        <v>Pokémon de Tadpole</v>
      </c>
    </row>
    <row r="636" spans="1:6" ht="15.75" customHeight="1" x14ac:dyDescent="0.25">
      <c r="A636" s="2" t="s">
        <v>2167</v>
      </c>
      <c r="B636" s="2" t="s">
        <v>2156</v>
      </c>
      <c r="C636" s="2" t="s">
        <v>2168</v>
      </c>
      <c r="D636" s="2" t="s">
        <v>2169</v>
      </c>
      <c r="E636" s="2" t="str">
        <f ca="1">IFERROR(__xludf.DUMMYFUNCTION("GOOGLETRANSLATE(D636,""en"",""pt"")"),"Klang é um Pokémon do tipo aço introduzido na geração 5. É conhecido como Pokémon de Gear.")</f>
        <v>Klang é um Pokémon do tipo aço introduzido na geração 5. É conhecido como Pokémon de Gear.</v>
      </c>
      <c r="F636" s="2" t="str">
        <f ca="1">IFERROR(__xludf.DUMMYFUNCTION("GOOGLETRANSLATE(B636,""en"",""pt"")"),"Gear Pokémon")</f>
        <v>Gear Pokémon</v>
      </c>
    </row>
    <row r="637" spans="1:6" ht="15.75" customHeight="1" x14ac:dyDescent="0.25">
      <c r="A637" s="2" t="s">
        <v>2170</v>
      </c>
      <c r="B637" s="2" t="s">
        <v>2156</v>
      </c>
      <c r="C637" s="2" t="s">
        <v>2171</v>
      </c>
      <c r="D637" s="2" t="s">
        <v>2172</v>
      </c>
      <c r="E637" s="2" t="str">
        <f ca="1">IFERROR(__xludf.DUMMYFUNCTION("GOOGLETRANSLATE(D637,""en"",""pt"")"),"Klinklang é um Pokémon do tipo aço introduzido na geração 5. É conhecido como Pokémon de Gear.")</f>
        <v>Klinklang é um Pokémon do tipo aço introduzido na geração 5. É conhecido como Pokémon de Gear.</v>
      </c>
      <c r="F637" s="2" t="str">
        <f ca="1">IFERROR(__xludf.DUMMYFUNCTION("GOOGLETRANSLATE(B637,""en"",""pt"")"),"Gear Pokémon")</f>
        <v>Gear Pokémon</v>
      </c>
    </row>
    <row r="638" spans="1:6" ht="15.75" customHeight="1" x14ac:dyDescent="0.25">
      <c r="A638" s="2" t="s">
        <v>2173</v>
      </c>
      <c r="B638" s="2" t="s">
        <v>2174</v>
      </c>
      <c r="C638" s="2" t="s">
        <v>2175</v>
      </c>
      <c r="D638" s="2" t="s">
        <v>2176</v>
      </c>
      <c r="E638" s="2" t="str">
        <f ca="1">IFERROR(__xludf.DUMMYFUNCTION("GOOGLETRANSLATE(D638,""en"",""pt"")"),"Tynamo é um Pokémon do tipo elétrico introduzido na geração 5. É conhecido como Pokémon elefishish.")</f>
        <v>Tynamo é um Pokémon do tipo elétrico introduzido na geração 5. É conhecido como Pokémon elefishish.</v>
      </c>
      <c r="F638" s="2" t="str">
        <f ca="1">IFERROR(__xludf.DUMMYFUNCTION("GOOGLETRANSLATE(B638,""en"",""pt"")"),"Pokémon elefishis")</f>
        <v>Pokémon elefishis</v>
      </c>
    </row>
    <row r="639" spans="1:6" ht="15.75" customHeight="1" x14ac:dyDescent="0.25">
      <c r="A639" s="2" t="s">
        <v>2177</v>
      </c>
      <c r="B639" s="2" t="s">
        <v>2174</v>
      </c>
      <c r="C639" s="2" t="s">
        <v>2178</v>
      </c>
      <c r="D639" s="2" t="s">
        <v>2179</v>
      </c>
      <c r="E639" s="2" t="str">
        <f ca="1">IFERROR(__xludf.DUMMYFUNCTION("GOOGLETRANSLATE(D639,""en"",""pt"")"),"Eelektrik é um Pokémon do tipo elétrico introduzido na geração 5. É conhecido como Pokémon Elefish.")</f>
        <v>Eelektrik é um Pokémon do tipo elétrico introduzido na geração 5. É conhecido como Pokémon Elefish.</v>
      </c>
      <c r="F639" s="2" t="str">
        <f ca="1">IFERROR(__xludf.DUMMYFUNCTION("GOOGLETRANSLATE(B639,""en"",""pt"")"),"Pokémon elefishis")</f>
        <v>Pokémon elefishis</v>
      </c>
    </row>
    <row r="640" spans="1:6" ht="15.75" customHeight="1" x14ac:dyDescent="0.25">
      <c r="A640" s="2" t="s">
        <v>2180</v>
      </c>
      <c r="B640" s="2" t="s">
        <v>2174</v>
      </c>
      <c r="C640" s="2" t="s">
        <v>2181</v>
      </c>
      <c r="D640" s="2" t="s">
        <v>2182</v>
      </c>
      <c r="E640" s="2" t="str">
        <f ca="1">IFERROR(__xludf.DUMMYFUNCTION("GOOGLETRANSLATE(D640,""en"",""pt"")"),"Eelektross é um Pokémon do tipo elétrico introduzido na geração 5. É conhecido como Pokémon Elefish.")</f>
        <v>Eelektross é um Pokémon do tipo elétrico introduzido na geração 5. É conhecido como Pokémon Elefish.</v>
      </c>
      <c r="F640" s="2" t="str">
        <f ca="1">IFERROR(__xludf.DUMMYFUNCTION("GOOGLETRANSLATE(B640,""en"",""pt"")"),"Pokémon elefishis")</f>
        <v>Pokémon elefishis</v>
      </c>
    </row>
    <row r="641" spans="1:6" ht="15.75" customHeight="1" x14ac:dyDescent="0.25">
      <c r="A641" s="2" t="s">
        <v>2183</v>
      </c>
      <c r="B641" s="2" t="s">
        <v>2184</v>
      </c>
      <c r="C641" s="2" t="s">
        <v>2185</v>
      </c>
      <c r="D641" s="2" t="s">
        <v>2186</v>
      </c>
      <c r="E641" s="2" t="str">
        <f ca="1">IFERROR(__xludf.DUMMYFUNCTION("GOOGLETRANSLATE(D641,""en"",""pt"")"),"Elgyem é um Pokémon do tipo psíquico introduzido na geração 5. É conhecido como Pokémon cerebral.")</f>
        <v>Elgyem é um Pokémon do tipo psíquico introduzido na geração 5. É conhecido como Pokémon cerebral.</v>
      </c>
      <c r="F641" s="2" t="str">
        <f ca="1">IFERROR(__xludf.DUMMYFUNCTION("GOOGLETRANSLATE(B641,""en"",""pt"")"),"Pokémon cerebral")</f>
        <v>Pokémon cerebral</v>
      </c>
    </row>
    <row r="642" spans="1:6" ht="15.75" customHeight="1" x14ac:dyDescent="0.25">
      <c r="A642" s="2" t="s">
        <v>2187</v>
      </c>
      <c r="B642" s="2" t="s">
        <v>2184</v>
      </c>
      <c r="C642" s="2" t="s">
        <v>2188</v>
      </c>
      <c r="D642" s="2" t="s">
        <v>2189</v>
      </c>
      <c r="E642" s="2" t="str">
        <f ca="1">IFERROR(__xludf.DUMMYFUNCTION("GOOGLETRANSLATE(D642,""en"",""pt"")"),"Beheeyem é um Pokémon do tipo psíquico introduzido na geração 5. É conhecido como Pokémon cerebral.")</f>
        <v>Beheeyem é um Pokémon do tipo psíquico introduzido na geração 5. É conhecido como Pokémon cerebral.</v>
      </c>
      <c r="F642" s="2" t="str">
        <f ca="1">IFERROR(__xludf.DUMMYFUNCTION("GOOGLETRANSLATE(B642,""en"",""pt"")"),"Pokémon cerebral")</f>
        <v>Pokémon cerebral</v>
      </c>
    </row>
    <row r="643" spans="1:6" ht="15.75" customHeight="1" x14ac:dyDescent="0.25">
      <c r="A643" s="2" t="s">
        <v>2190</v>
      </c>
      <c r="B643" s="2" t="s">
        <v>2191</v>
      </c>
      <c r="C643" s="2" t="s">
        <v>2192</v>
      </c>
      <c r="D643" s="2" t="s">
        <v>2193</v>
      </c>
      <c r="E643" s="2" t="str">
        <f ca="1">IFERROR(__xludf.DUMMYFUNCTION("GOOGLETRANSLATE(D643,""en"",""pt"")"),"Litwick é um Pokémon do tipo fantasma/incêndio introduzido na geração 5. É conhecido como Pokémon Candle.")</f>
        <v>Litwick é um Pokémon do tipo fantasma/incêndio introduzido na geração 5. É conhecido como Pokémon Candle.</v>
      </c>
      <c r="F643" s="2" t="str">
        <f ca="1">IFERROR(__xludf.DUMMYFUNCTION("GOOGLETRANSLATE(B643,""en"",""pt"")"),"Pokémon de vela")</f>
        <v>Pokémon de vela</v>
      </c>
    </row>
    <row r="644" spans="1:6" ht="15.75" customHeight="1" x14ac:dyDescent="0.25">
      <c r="A644" s="2" t="s">
        <v>2194</v>
      </c>
      <c r="B644" s="2" t="s">
        <v>2195</v>
      </c>
      <c r="C644" s="2" t="s">
        <v>2196</v>
      </c>
      <c r="D644" s="2" t="s">
        <v>2197</v>
      </c>
      <c r="E644" s="2" t="str">
        <f ca="1">IFERROR(__xludf.DUMMYFUNCTION("GOOGLETRANSLATE(D644,""en"",""pt"")"),"O Lampent é um Pokémon Ghost/Fire, introduzido na geração 5. É conhecido como Pokémon da lâmpada.")</f>
        <v>O Lampent é um Pokémon Ghost/Fire, introduzido na geração 5. É conhecido como Pokémon da lâmpada.</v>
      </c>
      <c r="F644" s="2" t="str">
        <f ca="1">IFERROR(__xludf.DUMMYFUNCTION("GOOGLETRANSLATE(B644,""en"",""pt"")"),"Pokémon da lâmpada")</f>
        <v>Pokémon da lâmpada</v>
      </c>
    </row>
    <row r="645" spans="1:6" ht="15.75" customHeight="1" x14ac:dyDescent="0.25">
      <c r="A645" s="2" t="s">
        <v>2198</v>
      </c>
      <c r="B645" s="2" t="s">
        <v>2199</v>
      </c>
      <c r="C645" s="2" t="s">
        <v>2200</v>
      </c>
      <c r="D645" s="2" t="s">
        <v>2201</v>
      </c>
      <c r="E645" s="2" t="str">
        <f ca="1">IFERROR(__xludf.DUMMYFUNCTION("GOOGLETRANSLATE(D645,""en"",""pt"")"),"O Chandelure é um Pokémon do tipo fantasma/incêndio introduzido na geração 5. É conhecido como Pokémon atraente.")</f>
        <v>O Chandelure é um Pokémon do tipo fantasma/incêndio introduzido na geração 5. É conhecido como Pokémon atraente.</v>
      </c>
      <c r="F645" s="2" t="str">
        <f ca="1">IFERROR(__xludf.DUMMYFUNCTION("GOOGLETRANSLATE(B645,""en"",""pt"")"),"Pokémon atraente")</f>
        <v>Pokémon atraente</v>
      </c>
    </row>
    <row r="646" spans="1:6" ht="15.75" customHeight="1" x14ac:dyDescent="0.25">
      <c r="A646" s="2" t="s">
        <v>2202</v>
      </c>
      <c r="B646" s="2" t="s">
        <v>1890</v>
      </c>
      <c r="C646" s="2" t="s">
        <v>2203</v>
      </c>
      <c r="D646" s="2" t="s">
        <v>2204</v>
      </c>
      <c r="E646" s="2" t="str">
        <f ca="1">IFERROR(__xludf.DUMMYFUNCTION("GOOGLETRANSLATE(D646,""en"",""pt"")"),"Poliwhirl é um Pokémon do tipo água introduzido na geração 1. É conhecido como Pokémon de girino.")</f>
        <v>Poliwhirl é um Pokémon do tipo água introduzido na geração 1. É conhecido como Pokémon de girino.</v>
      </c>
      <c r="F646" s="2" t="str">
        <f ca="1">IFERROR(__xludf.DUMMYFUNCTION("GOOGLETRANSLATE(B646,""en"",""pt"")"),"Pokémon de Tadpole")</f>
        <v>Pokémon de Tadpole</v>
      </c>
    </row>
    <row r="647" spans="1:6" ht="15.75" customHeight="1" x14ac:dyDescent="0.25">
      <c r="A647" s="2" t="s">
        <v>2205</v>
      </c>
      <c r="B647" s="2" t="s">
        <v>2206</v>
      </c>
      <c r="C647" s="2" t="s">
        <v>2207</v>
      </c>
      <c r="D647" s="2" t="s">
        <v>2208</v>
      </c>
      <c r="E647" s="2" t="str">
        <f ca="1">IFERROR(__xludf.DUMMYFUNCTION("GOOGLETRANSLATE(D647,""en"",""pt"")"),"Axew é um Pokémon do tipo dragão introduzido na geração 5. É conhecido como Pokémon presa.")</f>
        <v>Axew é um Pokémon do tipo dragão introduzido na geração 5. É conhecido como Pokémon presa.</v>
      </c>
      <c r="F647" s="2" t="str">
        <f ca="1">IFERROR(__xludf.DUMMYFUNCTION("GOOGLETRANSLATE(B647,""en"",""pt"")"),"Pokémon de presa")</f>
        <v>Pokémon de presa</v>
      </c>
    </row>
    <row r="648" spans="1:6" ht="15.75" customHeight="1" x14ac:dyDescent="0.25">
      <c r="A648" s="2" t="s">
        <v>2209</v>
      </c>
      <c r="B648" s="2" t="s">
        <v>2210</v>
      </c>
      <c r="C648" s="2" t="s">
        <v>2211</v>
      </c>
      <c r="D648" s="2" t="s">
        <v>2212</v>
      </c>
      <c r="E648" s="2" t="str">
        <f ca="1">IFERROR(__xludf.DUMMYFUNCTION("GOOGLETRANSLATE(D648,""en"",""pt"")"),"Fraxure é um Pokémon do tipo dragão introduzido na geração 5. É conhecido como Pokémon da mandíbula AX.")</f>
        <v>Fraxure é um Pokémon do tipo dragão introduzido na geração 5. É conhecido como Pokémon da mandíbula AX.</v>
      </c>
      <c r="F648" s="2" t="str">
        <f ca="1">IFERROR(__xludf.DUMMYFUNCTION("GOOGLETRANSLATE(B648,""en"",""pt"")"),"Pokémon da mandíbula machado")</f>
        <v>Pokémon da mandíbula machado</v>
      </c>
    </row>
    <row r="649" spans="1:6" ht="15.75" customHeight="1" x14ac:dyDescent="0.25">
      <c r="A649" s="2" t="s">
        <v>2213</v>
      </c>
      <c r="B649" s="2" t="s">
        <v>2210</v>
      </c>
      <c r="C649" s="2" t="s">
        <v>2214</v>
      </c>
      <c r="D649" s="2" t="s">
        <v>2215</v>
      </c>
      <c r="E649" s="2" t="str">
        <f ca="1">IFERROR(__xludf.DUMMYFUNCTION("GOOGLETRANSLATE(D649,""en"",""pt"")"),"Haxorus é um Pokémon do tipo dragão introduzido na geração 5. É conhecido como Pokémon da mandíbula Axe.")</f>
        <v>Haxorus é um Pokémon do tipo dragão introduzido na geração 5. É conhecido como Pokémon da mandíbula Axe.</v>
      </c>
      <c r="F649" s="2" t="str">
        <f ca="1">IFERROR(__xludf.DUMMYFUNCTION("GOOGLETRANSLATE(B649,""en"",""pt"")"),"Pokémon da mandíbula machado")</f>
        <v>Pokémon da mandíbula machado</v>
      </c>
    </row>
    <row r="650" spans="1:6" ht="15.75" customHeight="1" x14ac:dyDescent="0.25">
      <c r="A650" s="2" t="s">
        <v>2216</v>
      </c>
      <c r="B650" s="2" t="s">
        <v>2217</v>
      </c>
      <c r="C650" s="2" t="s">
        <v>2218</v>
      </c>
      <c r="D650" s="2" t="s">
        <v>2219</v>
      </c>
      <c r="E650" s="2" t="str">
        <f ca="1">IFERROR(__xludf.DUMMYFUNCTION("GOOGLETRANSLATE(D650,""en"",""pt"")"),"Cubchoo é um Pokémon do tipo gelo introduzido na geração 5. É conhecido como Pokémon Chill.")</f>
        <v>Cubchoo é um Pokémon do tipo gelo introduzido na geração 5. É conhecido como Pokémon Chill.</v>
      </c>
      <c r="F650" s="2" t="str">
        <f ca="1">IFERROR(__xludf.DUMMYFUNCTION("GOOGLETRANSLATE(B650,""en"",""pt"")"),"Pokémon frio")</f>
        <v>Pokémon frio</v>
      </c>
    </row>
    <row r="651" spans="1:6" ht="15.75" customHeight="1" x14ac:dyDescent="0.25">
      <c r="A651" s="2" t="s">
        <v>2220</v>
      </c>
      <c r="B651" s="2" t="s">
        <v>2221</v>
      </c>
      <c r="C651" s="2" t="s">
        <v>2222</v>
      </c>
      <c r="D651" s="2" t="s">
        <v>2223</v>
      </c>
      <c r="E651" s="2" t="str">
        <f ca="1">IFERROR(__xludf.DUMMYFUNCTION("GOOGLETRANSLATE(D651,""en"",""pt"")"),"O Beartic é um Pokémon do tipo gelo introduzido na geração 5. É conhecido como Pokémon congelante.")</f>
        <v>O Beartic é um Pokémon do tipo gelo introduzido na geração 5. É conhecido como Pokémon congelante.</v>
      </c>
      <c r="F651" s="2" t="str">
        <f ca="1">IFERROR(__xludf.DUMMYFUNCTION("GOOGLETRANSLATE(B651,""en"",""pt"")"),"Pokémon congelante")</f>
        <v>Pokémon congelante</v>
      </c>
    </row>
    <row r="652" spans="1:6" ht="15.75" customHeight="1" x14ac:dyDescent="0.25">
      <c r="A652" s="2" t="s">
        <v>2224</v>
      </c>
      <c r="B652" s="2" t="s">
        <v>2225</v>
      </c>
      <c r="C652" s="2" t="s">
        <v>2226</v>
      </c>
      <c r="D652" s="2" t="s">
        <v>2227</v>
      </c>
      <c r="E652" s="2" t="str">
        <f ca="1">IFERROR(__xludf.DUMMYFUNCTION("GOOGLETRANSLATE(D652,""en"",""pt"")"),"Cryogonal é um Pokémon do tipo gelo introduzido na geração 5. É conhecido como Pokémon cristalizado.")</f>
        <v>Cryogonal é um Pokémon do tipo gelo introduzido na geração 5. É conhecido como Pokémon cristalizado.</v>
      </c>
      <c r="F652" s="2" t="str">
        <f ca="1">IFERROR(__xludf.DUMMYFUNCTION("GOOGLETRANSLATE(B652,""en"",""pt"")"),"Cristalizando Pokémon")</f>
        <v>Cristalizando Pokémon</v>
      </c>
    </row>
    <row r="653" spans="1:6" ht="15.75" customHeight="1" x14ac:dyDescent="0.25">
      <c r="A653" s="2" t="s">
        <v>2228</v>
      </c>
      <c r="B653" s="2" t="s">
        <v>2229</v>
      </c>
      <c r="C653" s="2" t="s">
        <v>2230</v>
      </c>
      <c r="D653" s="2" t="s">
        <v>2231</v>
      </c>
      <c r="E653" s="2" t="str">
        <f ca="1">IFERROR(__xludf.DUMMYFUNCTION("GOOGLETRANSLATE(D653,""en"",""pt"")"),"Shelmet é um Pokémon do tipo bug introduzido na geração 5. É conhecido como Pokémon de caracol.")</f>
        <v>Shelmet é um Pokémon do tipo bug introduzido na geração 5. É conhecido como Pokémon de caracol.</v>
      </c>
      <c r="F653" s="2" t="str">
        <f ca="1">IFERROR(__xludf.DUMMYFUNCTION("GOOGLETRANSLATE(B653,""en"",""pt"")"),"Pokémon de caracol")</f>
        <v>Pokémon de caracol</v>
      </c>
    </row>
    <row r="654" spans="1:6" ht="15.75" customHeight="1" x14ac:dyDescent="0.25">
      <c r="A654" s="2" t="s">
        <v>2232</v>
      </c>
      <c r="B654" s="2" t="s">
        <v>2233</v>
      </c>
      <c r="C654" s="2" t="s">
        <v>2234</v>
      </c>
      <c r="D654" s="2" t="s">
        <v>2235</v>
      </c>
      <c r="E654" s="2" t="str">
        <f ca="1">IFERROR(__xludf.DUMMYFUNCTION("GOOGLETRANSLATE(D654,""en"",""pt"")"),"O Accelgor é um Pokémon do tipo bug introduzido na geração 5. É conhecido como Pokémon da Shell.")</f>
        <v>O Accelgor é um Pokémon do tipo bug introduzido na geração 5. É conhecido como Pokémon da Shell.</v>
      </c>
      <c r="F654" s="2" t="str">
        <f ca="1">IFERROR(__xludf.DUMMYFUNCTION("GOOGLETRANSLATE(B654,""en"",""pt"")"),"Desligue o Pokémon")</f>
        <v>Desligue o Pokémon</v>
      </c>
    </row>
    <row r="655" spans="1:6" ht="15.75" customHeight="1" x14ac:dyDescent="0.25">
      <c r="A655" s="2" t="s">
        <v>2236</v>
      </c>
      <c r="B655" s="2" t="s">
        <v>2237</v>
      </c>
      <c r="C655" s="2" t="s">
        <v>2238</v>
      </c>
      <c r="D655" s="2" t="s">
        <v>2239</v>
      </c>
      <c r="E655" s="2" t="str">
        <f ca="1">IFERROR(__xludf.DUMMYFUNCTION("GOOGLETRANSLATE(D655,""en"",""pt"")"),"O Stunfisk é um Pokémon de Terra -Coloque/Elétrico introduzido na geração 5. É conhecido como Pokémon Trap.")</f>
        <v>O Stunfisk é um Pokémon de Terra -Coloque/Elétrico introduzido na geração 5. É conhecido como Pokémon Trap.</v>
      </c>
      <c r="F655" s="2" t="str">
        <f ca="1">IFERROR(__xludf.DUMMYFUNCTION("GOOGLETRANSLATE(B655,""en"",""pt"")"),"Pokémon de armadilha")</f>
        <v>Pokémon de armadilha</v>
      </c>
    </row>
    <row r="656" spans="1:6" ht="15.75" customHeight="1" x14ac:dyDescent="0.25">
      <c r="A656" s="2" t="s">
        <v>2240</v>
      </c>
      <c r="B656" s="2" t="s">
        <v>2241</v>
      </c>
      <c r="C656" s="2" t="s">
        <v>2242</v>
      </c>
      <c r="D656" s="2" t="s">
        <v>2243</v>
      </c>
      <c r="E656" s="2" t="str">
        <f ca="1">IFERROR(__xludf.DUMMYFUNCTION("GOOGLETRANSLATE(D656,""en"",""pt"")"),"Mienfoo é um Pokémon do tipo de luta introduzido na geração 5. É conhecido como Pokémon de Artes Marciais.")</f>
        <v>Mienfoo é um Pokémon do tipo de luta introduzido na geração 5. É conhecido como Pokémon de Artes Marciais.</v>
      </c>
      <c r="F656" s="2" t="str">
        <f ca="1">IFERROR(__xludf.DUMMYFUNCTION("GOOGLETRANSLATE(B656,""en"",""pt"")"),"Pokémon de artes marciais")</f>
        <v>Pokémon de artes marciais</v>
      </c>
    </row>
    <row r="657" spans="1:6" ht="15.75" customHeight="1" x14ac:dyDescent="0.25">
      <c r="A657" s="2" t="s">
        <v>2244</v>
      </c>
      <c r="B657" s="2" t="s">
        <v>1890</v>
      </c>
      <c r="C657" s="2" t="s">
        <v>2245</v>
      </c>
      <c r="D657" s="2" t="s">
        <v>2246</v>
      </c>
      <c r="E657" s="2" t="str">
        <f ca="1">IFERROR(__xludf.DUMMYFUNCTION("GOOGLETRANSLATE(D657,""en"",""pt"")"),"Poliwrath é um Pokémon do tipo água/luta introduzido na geração 1. É conhecido como Pokémon de girino.")</f>
        <v>Poliwrath é um Pokémon do tipo água/luta introduzido na geração 1. É conhecido como Pokémon de girino.</v>
      </c>
      <c r="F657" s="2" t="str">
        <f ca="1">IFERROR(__xludf.DUMMYFUNCTION("GOOGLETRANSLATE(B657,""en"",""pt"")"),"Pokémon de Tadpole")</f>
        <v>Pokémon de Tadpole</v>
      </c>
    </row>
    <row r="658" spans="1:6" ht="15.75" customHeight="1" x14ac:dyDescent="0.25">
      <c r="A658" s="2" t="s">
        <v>2247</v>
      </c>
      <c r="B658" s="2" t="s">
        <v>2241</v>
      </c>
      <c r="C658" s="2" t="s">
        <v>2248</v>
      </c>
      <c r="D658" s="2" t="s">
        <v>2249</v>
      </c>
      <c r="E658" s="2" t="str">
        <f ca="1">IFERROR(__xludf.DUMMYFUNCTION("GOOGLETRANSLATE(D658,""en"",""pt"")"),"Mienshao é um Pokémon do tipo de luta introduzido na geração 5. É conhecido como Pokémon de Artes Marciais.")</f>
        <v>Mienshao é um Pokémon do tipo de luta introduzido na geração 5. É conhecido como Pokémon de Artes Marciais.</v>
      </c>
      <c r="F658" s="2" t="str">
        <f ca="1">IFERROR(__xludf.DUMMYFUNCTION("GOOGLETRANSLATE(B658,""en"",""pt"")"),"Pokémon de artes marciais")</f>
        <v>Pokémon de artes marciais</v>
      </c>
    </row>
    <row r="659" spans="1:6" ht="15.75" customHeight="1" x14ac:dyDescent="0.25">
      <c r="A659" s="2" t="s">
        <v>2250</v>
      </c>
      <c r="B659" s="2" t="s">
        <v>1494</v>
      </c>
      <c r="C659" s="2" t="s">
        <v>2251</v>
      </c>
      <c r="D659" s="2" t="s">
        <v>2252</v>
      </c>
      <c r="E659" s="2" t="str">
        <f ca="1">IFERROR(__xludf.DUMMYFUNCTION("GOOGLETRANSLATE(D659,""en"",""pt"")"),"Druddigon é um Pokémon do tipo dragão introduzido na geração 5. É conhecido como Pokémon da caverna.")</f>
        <v>Druddigon é um Pokémon do tipo dragão introduzido na geração 5. É conhecido como Pokémon da caverna.</v>
      </c>
      <c r="F659" s="2" t="str">
        <f ca="1">IFERROR(__xludf.DUMMYFUNCTION("GOOGLETRANSLATE(B659,""en"",""pt"")"),"Pokémon da caverna")</f>
        <v>Pokémon da caverna</v>
      </c>
    </row>
    <row r="660" spans="1:6" ht="15.75" customHeight="1" x14ac:dyDescent="0.25">
      <c r="A660" s="2" t="s">
        <v>2253</v>
      </c>
      <c r="B660" s="2" t="s">
        <v>2254</v>
      </c>
      <c r="C660" s="2" t="s">
        <v>2255</v>
      </c>
      <c r="D660" s="2" t="s">
        <v>2256</v>
      </c>
      <c r="E660" s="2" t="str">
        <f ca="1">IFERROR(__xludf.DUMMYFUNCTION("GOOGLETRANSLATE(D660,""en"",""pt"")"),"Golett é um Pokémon do tipo terrestre/fantasma introduzido na geração 5. É conhecido como Pokémon autômato.")</f>
        <v>Golett é um Pokémon do tipo terrestre/fantasma introduzido na geração 5. É conhecido como Pokémon autômato.</v>
      </c>
      <c r="F660" s="2" t="str">
        <f ca="1">IFERROR(__xludf.DUMMYFUNCTION("GOOGLETRANSLATE(B660,""en"",""pt"")"),"Pokémon de autômato")</f>
        <v>Pokémon de autômato</v>
      </c>
    </row>
    <row r="661" spans="1:6" ht="15.75" customHeight="1" x14ac:dyDescent="0.25">
      <c r="A661" s="2" t="s">
        <v>2257</v>
      </c>
      <c r="B661" s="2" t="s">
        <v>2254</v>
      </c>
      <c r="C661" s="2" t="s">
        <v>2258</v>
      </c>
      <c r="D661" s="2" t="s">
        <v>2259</v>
      </c>
      <c r="E661" s="2" t="str">
        <f ca="1">IFERROR(__xludf.DUMMYFUNCTION("GOOGLETRANSLATE(D661,""en"",""pt"")"),"Golurk é um Pokémon do tipo terrestre/fantasma introduzido na geração 5. É conhecido como Pokémon autômato.")</f>
        <v>Golurk é um Pokémon do tipo terrestre/fantasma introduzido na geração 5. É conhecido como Pokémon autômato.</v>
      </c>
      <c r="F661" s="2" t="str">
        <f ca="1">IFERROR(__xludf.DUMMYFUNCTION("GOOGLETRANSLATE(B661,""en"",""pt"")"),"Pokémon de autômato")</f>
        <v>Pokémon de autômato</v>
      </c>
    </row>
    <row r="662" spans="1:6" ht="15.75" customHeight="1" x14ac:dyDescent="0.25">
      <c r="A662" s="2" t="s">
        <v>2260</v>
      </c>
      <c r="B662" s="2" t="s">
        <v>2261</v>
      </c>
      <c r="C662" s="2" t="s">
        <v>2262</v>
      </c>
      <c r="D662" s="2" t="s">
        <v>2263</v>
      </c>
      <c r="E662" s="2" t="str">
        <f ca="1">IFERROR(__xludf.DUMMYFUNCTION("GOOGLETRANSLATE(D662,""en"",""pt"")"),"Pawniard é um Pokémon do tipo escuro/aço introduzido na geração 5. É conhecido como Pokémon Sharp Blade.")</f>
        <v>Pawniard é um Pokémon do tipo escuro/aço introduzido na geração 5. É conhecido como Pokémon Sharp Blade.</v>
      </c>
      <c r="F662" s="2" t="str">
        <f ca="1">IFERROR(__xludf.DUMMYFUNCTION("GOOGLETRANSLATE(B662,""en"",""pt"")"),"Pokémon de lâmina afiada")</f>
        <v>Pokémon de lâmina afiada</v>
      </c>
    </row>
    <row r="663" spans="1:6" ht="15.75" customHeight="1" x14ac:dyDescent="0.25">
      <c r="A663" s="2" t="s">
        <v>2264</v>
      </c>
      <c r="B663" s="2" t="s">
        <v>2265</v>
      </c>
      <c r="C663" s="2" t="s">
        <v>2266</v>
      </c>
      <c r="D663" s="2" t="s">
        <v>2267</v>
      </c>
      <c r="E663" s="2" t="str">
        <f ca="1">IFERROR(__xludf.DUMMYFUNCTION("GOOGLETRANSLATE(D663,""en"",""pt"")"),"O Bisharp é um Pokémon do tipo escuro/aço introduzido na geração 5. É conhecido como Pokémon da lâmina de espada.")</f>
        <v>O Bisharp é um Pokémon do tipo escuro/aço introduzido na geração 5. É conhecido como Pokémon da lâmina de espada.</v>
      </c>
      <c r="F663" s="2" t="str">
        <f ca="1">IFERROR(__xludf.DUMMYFUNCTION("GOOGLETRANSLATE(B663,""en"",""pt"")"),"Pokémon da lâmina de espada")</f>
        <v>Pokémon da lâmina de espada</v>
      </c>
    </row>
    <row r="664" spans="1:6" ht="15.75" customHeight="1" x14ac:dyDescent="0.25">
      <c r="A664" s="2" t="s">
        <v>2268</v>
      </c>
      <c r="B664" s="2" t="s">
        <v>2269</v>
      </c>
      <c r="C664" s="2" t="s">
        <v>2270</v>
      </c>
      <c r="D664" s="2" t="s">
        <v>2271</v>
      </c>
      <c r="E664" s="2" t="str">
        <f ca="1">IFERROR(__xludf.DUMMYFUNCTION("GOOGLETRANSLATE(D664,""en"",""pt"")"),"Bouffalant é um Pokémon do tipo normal introduzido na geração 5. É conhecido como Bash Buffalo Pokémon.")</f>
        <v>Bouffalant é um Pokémon do tipo normal introduzido na geração 5. É conhecido como Bash Buffalo Pokémon.</v>
      </c>
      <c r="F664" s="2" t="str">
        <f ca="1">IFERROR(__xludf.DUMMYFUNCTION("GOOGLETRANSLATE(B664,""en"",""pt"")"),"Bash Buffalo Pokémon")</f>
        <v>Bash Buffalo Pokémon</v>
      </c>
    </row>
    <row r="665" spans="1:6" ht="15.75" customHeight="1" x14ac:dyDescent="0.25">
      <c r="A665" s="2" t="s">
        <v>2272</v>
      </c>
      <c r="B665" s="2" t="s">
        <v>2273</v>
      </c>
      <c r="C665" s="2" t="s">
        <v>2274</v>
      </c>
      <c r="D665" s="2" t="s">
        <v>2275</v>
      </c>
      <c r="E665" s="2" t="str">
        <f ca="1">IFERROR(__xludf.DUMMYFUNCTION("GOOGLETRANSLATE(D665,""en"",""pt"")"),"Rufflet é um Pokémon normal/voador introduzido na geração 5. É conhecido como Pokémon Eaglet.")</f>
        <v>Rufflet é um Pokémon normal/voador introduzido na geração 5. É conhecido como Pokémon Eaglet.</v>
      </c>
      <c r="F665" s="2" t="str">
        <f ca="1">IFERROR(__xludf.DUMMYFUNCTION("GOOGLETRANSLATE(B665,""en"",""pt"")"),"Eaglet Pokémon")</f>
        <v>Eaglet Pokémon</v>
      </c>
    </row>
    <row r="666" spans="1:6" ht="15.75" customHeight="1" x14ac:dyDescent="0.25">
      <c r="A666" s="2" t="s">
        <v>2276</v>
      </c>
      <c r="B666" s="2" t="s">
        <v>2277</v>
      </c>
      <c r="C666" s="2" t="s">
        <v>2278</v>
      </c>
      <c r="D666" s="2" t="s">
        <v>2279</v>
      </c>
      <c r="E666" s="2" t="str">
        <f ca="1">IFERROR(__xludf.DUMMYFUNCTION("GOOGLETRANSLATE(D666,""en"",""pt"")"),"Braviary é um Pokémon Normal/Voador Introduzido na Geração 5. É conhecido como Pokémon Valiant.")</f>
        <v>Braviary é um Pokémon Normal/Voador Introduzido na Geração 5. É conhecido como Pokémon Valiant.</v>
      </c>
      <c r="F666" s="2" t="str">
        <f ca="1">IFERROR(__xludf.DUMMYFUNCTION("GOOGLETRANSLATE(B666,""en"",""pt"")"),"Valiant Pokémon")</f>
        <v>Valiant Pokémon</v>
      </c>
    </row>
    <row r="667" spans="1:6" ht="15.75" customHeight="1" x14ac:dyDescent="0.25">
      <c r="A667" s="2" t="s">
        <v>2280</v>
      </c>
      <c r="B667" s="2" t="s">
        <v>2281</v>
      </c>
      <c r="C667" s="2" t="s">
        <v>2282</v>
      </c>
      <c r="D667" s="2" t="s">
        <v>2283</v>
      </c>
      <c r="E667" s="2" t="str">
        <f ca="1">IFERROR(__xludf.DUMMYFUNCTION("GOOGLETRANSLATE(D667,""en"",""pt"")"),"Vullaby é um Pokémon escuro/voador introduzido na geração 5. É conhecido como Pokémon fralda.")</f>
        <v>Vullaby é um Pokémon escuro/voador introduzido na geração 5. É conhecido como Pokémon fralda.</v>
      </c>
      <c r="F667" s="2" t="str">
        <f ca="1">IFERROR(__xludf.DUMMYFUNCTION("GOOGLETRANSLATE(B667,""en"",""pt"")"),"Pokémon fraldas")</f>
        <v>Pokémon fraldas</v>
      </c>
    </row>
    <row r="668" spans="1:6" ht="15.75" customHeight="1" x14ac:dyDescent="0.25">
      <c r="A668" s="2" t="s">
        <v>2284</v>
      </c>
      <c r="B668" s="2" t="s">
        <v>2285</v>
      </c>
      <c r="C668" s="2" t="s">
        <v>2286</v>
      </c>
      <c r="D668" s="2" t="s">
        <v>2287</v>
      </c>
      <c r="E668" s="2" t="str">
        <f ca="1">IFERROR(__xludf.DUMMYFUNCTION("GOOGLETRANSLATE(D668,""en"",""pt"")"),"Abra é um Pokémon do tipo psíquico introduzido na geração 1. É conhecido como Psi Pokémon.")</f>
        <v>Abra é um Pokémon do tipo psíquico introduzido na geração 1. É conhecido como Psi Pokémon.</v>
      </c>
      <c r="F668" s="2" t="str">
        <f ca="1">IFERROR(__xludf.DUMMYFUNCTION("GOOGLETRANSLATE(B668,""en"",""pt"")"),"Psi Pokémon")</f>
        <v>Psi Pokémon</v>
      </c>
    </row>
    <row r="669" spans="1:6" ht="15.75" customHeight="1" x14ac:dyDescent="0.25">
      <c r="A669" s="2" t="s">
        <v>2288</v>
      </c>
      <c r="B669" s="2" t="s">
        <v>2289</v>
      </c>
      <c r="C669" s="2" t="s">
        <v>2290</v>
      </c>
      <c r="D669" s="2" t="s">
        <v>2291</v>
      </c>
      <c r="E669" s="2" t="str">
        <f ca="1">IFERROR(__xludf.DUMMYFUNCTION("GOOGLETRANSLATE(D669,""en"",""pt"")"),"Mandibuzz é um Pokémon do tipo escuro/voador introduzido na geração 5. É conhecido como Pokémon Vulture.")</f>
        <v>Mandibuzz é um Pokémon do tipo escuro/voador introduzido na geração 5. É conhecido como Pokémon Vulture.</v>
      </c>
      <c r="F669" s="2" t="str">
        <f ca="1">IFERROR(__xludf.DUMMYFUNCTION("GOOGLETRANSLATE(B669,""en"",""pt"")"),"Pokémon de abutres ósseos")</f>
        <v>Pokémon de abutres ósseos</v>
      </c>
    </row>
    <row r="670" spans="1:6" ht="15.75" customHeight="1" x14ac:dyDescent="0.25">
      <c r="A670" s="2" t="s">
        <v>2292</v>
      </c>
      <c r="B670" s="2" t="s">
        <v>2293</v>
      </c>
      <c r="C670" s="2" t="s">
        <v>2294</v>
      </c>
      <c r="D670" s="2" t="s">
        <v>2295</v>
      </c>
      <c r="E670" s="2" t="str">
        <f ca="1">IFERROR(__xludf.DUMMYFUNCTION("GOOGLETRANSLATE(D670,""en"",""pt"")"),"O Heatmor é um Pokémon do tipo incêndio introduzido na geração 5. É conhecido como Pokémon de Antéter.")</f>
        <v>O Heatmor é um Pokémon do tipo incêndio introduzido na geração 5. É conhecido como Pokémon de Antéter.</v>
      </c>
      <c r="F670" s="2" t="str">
        <f ca="1">IFERROR(__xludf.DUMMYFUNCTION("GOOGLETRANSLATE(B670,""en"",""pt"")"),"Pokémon de tades")</f>
        <v>Pokémon de tades</v>
      </c>
    </row>
    <row r="671" spans="1:6" ht="15.75" customHeight="1" x14ac:dyDescent="0.25">
      <c r="A671" s="2" t="s">
        <v>2296</v>
      </c>
      <c r="B671" s="2" t="s">
        <v>2297</v>
      </c>
      <c r="C671" s="2" t="s">
        <v>2298</v>
      </c>
      <c r="D671" s="2" t="s">
        <v>2299</v>
      </c>
      <c r="E671" s="2" t="str">
        <f ca="1">IFERROR(__xludf.DUMMYFUNCTION("GOOGLETRANSLATE(D671,""en"",""pt"")"),"Durant é um Pokémon do tipo bug/aço introduzido na geração 5. É conhecido como Pokémon de Ant Ant.")</f>
        <v>Durant é um Pokémon do tipo bug/aço introduzido na geração 5. É conhecido como Pokémon de Ant Ant.</v>
      </c>
      <c r="F671" s="2" t="str">
        <f ca="1">IFERROR(__xludf.DUMMYFUNCTION("GOOGLETRANSLATE(B671,""en"",""pt"")"),"Pokémon de Iron Ant")</f>
        <v>Pokémon de Iron Ant</v>
      </c>
    </row>
    <row r="672" spans="1:6" ht="15.75" customHeight="1" x14ac:dyDescent="0.25">
      <c r="A672" s="2" t="s">
        <v>2300</v>
      </c>
      <c r="B672" s="2" t="s">
        <v>2301</v>
      </c>
      <c r="C672" s="2" t="s">
        <v>2302</v>
      </c>
      <c r="D672" s="2" t="s">
        <v>2303</v>
      </c>
      <c r="E672" s="2" t="str">
        <f ca="1">IFERROR(__xludf.DUMMYFUNCTION("GOOGLETRANSLATE(D672,""en"",""pt"")"),"Deino é um Pokémon escuro/do tipo dragão introduzido na geração 5. É conhecido como Pokémon irado.")</f>
        <v>Deino é um Pokémon escuro/do tipo dragão introduzido na geração 5. É conhecido como Pokémon irado.</v>
      </c>
      <c r="F672" s="2" t="str">
        <f ca="1">IFERROR(__xludf.DUMMYFUNCTION("GOOGLETRANSLATE(B672,""en"",""pt"")"),"Pokémon irado")</f>
        <v>Pokémon irado</v>
      </c>
    </row>
    <row r="673" spans="1:6" ht="15.75" customHeight="1" x14ac:dyDescent="0.25">
      <c r="A673" s="2" t="s">
        <v>2304</v>
      </c>
      <c r="B673" s="2" t="s">
        <v>1955</v>
      </c>
      <c r="C673" s="2" t="s">
        <v>2305</v>
      </c>
      <c r="D673" s="2" t="s">
        <v>2306</v>
      </c>
      <c r="E673" s="2" t="str">
        <f ca="1">IFERROR(__xludf.DUMMYFUNCTION("GOOGLETRANSLATE(D673,""en"",""pt"")"),"Zweilous é um Pokémon escuro/dragão introduzido na geração 5. É conhecido como Pokémon hostil.")</f>
        <v>Zweilous é um Pokémon escuro/dragão introduzido na geração 5. É conhecido como Pokémon hostil.</v>
      </c>
      <c r="F673" s="2" t="str">
        <f ca="1">IFERROR(__xludf.DUMMYFUNCTION("GOOGLETRANSLATE(B673,""en"",""pt"")"),"Pokémon hostil")</f>
        <v>Pokémon hostil</v>
      </c>
    </row>
    <row r="674" spans="1:6" ht="15.75" customHeight="1" x14ac:dyDescent="0.25">
      <c r="A674" s="2" t="s">
        <v>2307</v>
      </c>
      <c r="B674" s="2" t="s">
        <v>947</v>
      </c>
      <c r="C674" s="2" t="s">
        <v>2308</v>
      </c>
      <c r="D674" s="2" t="s">
        <v>2309</v>
      </c>
      <c r="E674" s="2" t="str">
        <f ca="1">IFERROR(__xludf.DUMMYFUNCTION("GOOGLETRANSLATE(D674,""en"",""pt"")"),"Hydreigon é um Pokémon do tipo escuro/dragão introduzido na geração 5. É conhecido como Pokémon brutal.")</f>
        <v>Hydreigon é um Pokémon do tipo escuro/dragão introduzido na geração 5. É conhecido como Pokémon brutal.</v>
      </c>
      <c r="F674" s="2" t="str">
        <f ca="1">IFERROR(__xludf.DUMMYFUNCTION("GOOGLETRANSLATE(B674,""en"",""pt"")"),"Pokémon brutal")</f>
        <v>Pokémon brutal</v>
      </c>
    </row>
    <row r="675" spans="1:6" ht="15.75" customHeight="1" x14ac:dyDescent="0.25">
      <c r="A675" s="2" t="s">
        <v>2310</v>
      </c>
      <c r="B675" s="2" t="s">
        <v>2311</v>
      </c>
      <c r="C675" s="2" t="s">
        <v>2312</v>
      </c>
      <c r="D675" s="2" t="s">
        <v>2313</v>
      </c>
      <c r="E675" s="2" t="str">
        <f ca="1">IFERROR(__xludf.DUMMYFUNCTION("GOOGLETRANSLATE(D675,""en"",""pt"")"),"Larvesta é um Pokémon do tipo de bug/fogo introduzido na geração 5. É conhecido como Pokémon da tocha.")</f>
        <v>Larvesta é um Pokémon do tipo de bug/fogo introduzido na geração 5. É conhecido como Pokémon da tocha.</v>
      </c>
      <c r="F675" s="2" t="str">
        <f ca="1">IFERROR(__xludf.DUMMYFUNCTION("GOOGLETRANSLATE(B675,""en"",""pt"")"),"Pokémon da tocha")</f>
        <v>Pokémon da tocha</v>
      </c>
    </row>
    <row r="676" spans="1:6" ht="15.75" customHeight="1" x14ac:dyDescent="0.25">
      <c r="A676" s="2" t="s">
        <v>2314</v>
      </c>
      <c r="B676" s="2" t="s">
        <v>403</v>
      </c>
      <c r="C676" s="2" t="s">
        <v>2315</v>
      </c>
      <c r="D676" s="2" t="s">
        <v>2316</v>
      </c>
      <c r="E676" s="2" t="str">
        <f ca="1">IFERROR(__xludf.DUMMYFUNCTION("GOOGLETRANSLATE(D676,""en"",""pt"")"),"O Volcarona é um Pokémon do tipo bug/fogo introduzido na geração 5. É conhecido como Pokémon Sun.")</f>
        <v>O Volcarona é um Pokémon do tipo bug/fogo introduzido na geração 5. É conhecido como Pokémon Sun.</v>
      </c>
      <c r="F676" s="2" t="str">
        <f ca="1">IFERROR(__xludf.DUMMYFUNCTION("GOOGLETRANSLATE(B676,""en"",""pt"")"),"Pokémon de sol")</f>
        <v>Pokémon de sol</v>
      </c>
    </row>
    <row r="677" spans="1:6" ht="15.75" customHeight="1" x14ac:dyDescent="0.25">
      <c r="A677" s="2" t="s">
        <v>2317</v>
      </c>
      <c r="B677" s="2" t="s">
        <v>2318</v>
      </c>
      <c r="C677" s="2" t="s">
        <v>2319</v>
      </c>
      <c r="D677" s="2" t="s">
        <v>2320</v>
      </c>
      <c r="E677" s="2" t="str">
        <f ca="1">IFERROR(__xludf.DUMMYFUNCTION("GOOGLETRANSLATE(D677,""en"",""pt"")"),"Cobalion é um Pokémon de aço/combate introduzido na geração 5. É conhecido como Pokémon de Iron Will.")</f>
        <v>Cobalion é um Pokémon de aço/combate introduzido na geração 5. É conhecido como Pokémon de Iron Will.</v>
      </c>
      <c r="F677" s="2" t="str">
        <f ca="1">IFERROR(__xludf.DUMMYFUNCTION("GOOGLETRANSLATE(B677,""en"",""pt"")"),"Ferro vai Pokémon")</f>
        <v>Ferro vai Pokémon</v>
      </c>
    </row>
    <row r="678" spans="1:6" ht="15.75" customHeight="1" x14ac:dyDescent="0.25">
      <c r="A678" s="2" t="s">
        <v>2321</v>
      </c>
      <c r="B678" s="2" t="s">
        <v>2322</v>
      </c>
      <c r="C678" s="2" t="s">
        <v>2323</v>
      </c>
      <c r="D678" s="2" t="s">
        <v>2324</v>
      </c>
      <c r="E678" s="2" t="str">
        <f ca="1">IFERROR(__xludf.DUMMYFUNCTION("GOOGLETRANSLATE(D678,""en"",""pt"")"),"Terrakion é um Pokémon do tipo rock/luta introduzido na geração 5. É conhecido como Pokémon Cavern.")</f>
        <v>Terrakion é um Pokémon do tipo rock/luta introduzido na geração 5. É conhecido como Pokémon Cavern.</v>
      </c>
      <c r="F678" s="2" t="str">
        <f ca="1">IFERROR(__xludf.DUMMYFUNCTION("GOOGLETRANSLATE(B678,""en"",""pt"")"),"Cavern Pokémon")</f>
        <v>Cavern Pokémon</v>
      </c>
    </row>
    <row r="679" spans="1:6" ht="15.75" customHeight="1" x14ac:dyDescent="0.25">
      <c r="A679" s="2" t="s">
        <v>2325</v>
      </c>
      <c r="B679" s="2" t="s">
        <v>2285</v>
      </c>
      <c r="C679" s="2" t="s">
        <v>2326</v>
      </c>
      <c r="D679" s="2" t="s">
        <v>2327</v>
      </c>
      <c r="E679" s="2" t="str">
        <f ca="1">IFERROR(__xludf.DUMMYFUNCTION("GOOGLETRANSLATE(D679,""en"",""pt"")"),"Kadabra é um Pokémon do tipo psíquico introduzido na geração 1. É conhecido como Psi Pokémon.")</f>
        <v>Kadabra é um Pokémon do tipo psíquico introduzido na geração 1. É conhecido como Psi Pokémon.</v>
      </c>
      <c r="F679" s="2" t="str">
        <f ca="1">IFERROR(__xludf.DUMMYFUNCTION("GOOGLETRANSLATE(B679,""en"",""pt"")"),"Psi Pokémon")</f>
        <v>Psi Pokémon</v>
      </c>
    </row>
    <row r="680" spans="1:6" ht="15.75" customHeight="1" x14ac:dyDescent="0.25">
      <c r="A680" s="2" t="s">
        <v>2328</v>
      </c>
      <c r="B680" s="2" t="s">
        <v>2329</v>
      </c>
      <c r="C680" s="2" t="s">
        <v>2330</v>
      </c>
      <c r="D680" s="2" t="s">
        <v>2331</v>
      </c>
      <c r="E680" s="2" t="str">
        <f ca="1">IFERROR(__xludf.DUMMYFUNCTION("GOOGLETRANSLATE(D680,""en"",""pt"")"),"Virizion é um Pokémon do tipo grama/luta introduzido na geração 5. É conhecido como Pokémon de pastagem.")</f>
        <v>Virizion é um Pokémon do tipo grama/luta introduzido na geração 5. É conhecido como Pokémon de pastagem.</v>
      </c>
      <c r="F680" s="2" t="str">
        <f ca="1">IFERROR(__xludf.DUMMYFUNCTION("GOOGLETRANSLATE(B680,""en"",""pt"")"),"Pokémon de pastagem")</f>
        <v>Pokémon de pastagem</v>
      </c>
    </row>
    <row r="681" spans="1:6" ht="15.75" customHeight="1" x14ac:dyDescent="0.25">
      <c r="A681" s="2" t="s">
        <v>2332</v>
      </c>
      <c r="B681" s="2" t="s">
        <v>2333</v>
      </c>
      <c r="C681" s="2" t="s">
        <v>2334</v>
      </c>
      <c r="D681" s="2" t="s">
        <v>2335</v>
      </c>
      <c r="E681" s="2" t="str">
        <f ca="1">IFERROR(__xludf.DUMMYFUNCTION("GOOGLETRANSLATE(D681,""en"",""pt"")"),"Tornadus é um Pokémon do tipo voador introduzido na geração 5. É conhecido como Pokémon Cyclone.")</f>
        <v>Tornadus é um Pokémon do tipo voador introduzido na geração 5. É conhecido como Pokémon Cyclone.</v>
      </c>
      <c r="F681" s="2" t="str">
        <f ca="1">IFERROR(__xludf.DUMMYFUNCTION("GOOGLETRANSLATE(B681,""en"",""pt"")"),"Pokémon de ciclone")</f>
        <v>Pokémon de ciclone</v>
      </c>
    </row>
    <row r="682" spans="1:6" ht="15.75" customHeight="1" x14ac:dyDescent="0.25">
      <c r="A682" s="2" t="s">
        <v>2332</v>
      </c>
      <c r="B682" s="2" t="s">
        <v>2333</v>
      </c>
      <c r="C682" s="2" t="s">
        <v>2336</v>
      </c>
      <c r="D682" s="2" t="s">
        <v>2335</v>
      </c>
      <c r="E682" s="2" t="str">
        <f ca="1">IFERROR(__xludf.DUMMYFUNCTION("GOOGLETRANSLATE(D682,""en"",""pt"")"),"Tornadus é um Pokémon do tipo voador introduzido na geração 5. É conhecido como Pokémon Cyclone.")</f>
        <v>Tornadus é um Pokémon do tipo voador introduzido na geração 5. É conhecido como Pokémon Cyclone.</v>
      </c>
      <c r="F682" s="2" t="str">
        <f ca="1">IFERROR(__xludf.DUMMYFUNCTION("GOOGLETRANSLATE(B682,""en"",""pt"")"),"Pokémon de ciclone")</f>
        <v>Pokémon de ciclone</v>
      </c>
    </row>
    <row r="683" spans="1:6" ht="15.75" customHeight="1" x14ac:dyDescent="0.25">
      <c r="A683" s="2" t="s">
        <v>2337</v>
      </c>
      <c r="B683" s="2" t="s">
        <v>2338</v>
      </c>
      <c r="C683" s="2" t="s">
        <v>2334</v>
      </c>
      <c r="D683" s="2" t="s">
        <v>2339</v>
      </c>
      <c r="E683" s="2" t="str">
        <f ca="1">IFERROR(__xludf.DUMMYFUNCTION("GOOGLETRANSLATE(D683,""en"",""pt"")"),"Thundurus é um Pokémon elétrico/voador introduzido na geração 5. É conhecido como Pokémon de ataque de parafuso.")</f>
        <v>Thundurus é um Pokémon elétrico/voador introduzido na geração 5. É conhecido como Pokémon de ataque de parafuso.</v>
      </c>
      <c r="F683" s="2" t="str">
        <f ca="1">IFERROR(__xludf.DUMMYFUNCTION("GOOGLETRANSLATE(B683,""en"",""pt"")"),"Pokémon de ataque de parafuso")</f>
        <v>Pokémon de ataque de parafuso</v>
      </c>
    </row>
    <row r="684" spans="1:6" ht="15.75" customHeight="1" x14ac:dyDescent="0.25">
      <c r="A684" s="2" t="s">
        <v>2337</v>
      </c>
      <c r="B684" s="2" t="s">
        <v>2338</v>
      </c>
      <c r="C684" s="2" t="s">
        <v>2336</v>
      </c>
      <c r="D684" s="2" t="s">
        <v>2339</v>
      </c>
      <c r="E684" s="2" t="str">
        <f ca="1">IFERROR(__xludf.DUMMYFUNCTION("GOOGLETRANSLATE(D684,""en"",""pt"")"),"Thundurus é um Pokémon elétrico/voador introduzido na geração 5. É conhecido como Pokémon de ataque de parafuso.")</f>
        <v>Thundurus é um Pokémon elétrico/voador introduzido na geração 5. É conhecido como Pokémon de ataque de parafuso.</v>
      </c>
      <c r="F684" s="2" t="str">
        <f ca="1">IFERROR(__xludf.DUMMYFUNCTION("GOOGLETRANSLATE(B684,""en"",""pt"")"),"Pokémon de ataque de parafuso")</f>
        <v>Pokémon de ataque de parafuso</v>
      </c>
    </row>
    <row r="685" spans="1:6" ht="15.75" customHeight="1" x14ac:dyDescent="0.25">
      <c r="A685" s="2" t="s">
        <v>2340</v>
      </c>
      <c r="B685" s="2" t="s">
        <v>2341</v>
      </c>
      <c r="C685" s="2" t="s">
        <v>2342</v>
      </c>
      <c r="D685" s="2" t="s">
        <v>2343</v>
      </c>
      <c r="E685" s="2" t="str">
        <f ca="1">IFERROR(__xludf.DUMMYFUNCTION("GOOGLETRANSLATE(D685,""en"",""pt"")"),"Reshiram é um Pokémon do tipo dragão/fogo introduzido na geração 5. É conhecido como vasto Pokémon branco.")</f>
        <v>Reshiram é um Pokémon do tipo dragão/fogo introduzido na geração 5. É conhecido como vasto Pokémon branco.</v>
      </c>
      <c r="F685" s="2" t="str">
        <f ca="1">IFERROR(__xludf.DUMMYFUNCTION("GOOGLETRANSLATE(B685,""en"",""pt"")"),"Vasto Pokémon branco")</f>
        <v>Vasto Pokémon branco</v>
      </c>
    </row>
    <row r="686" spans="1:6" ht="15.75" customHeight="1" x14ac:dyDescent="0.25">
      <c r="A686" s="2" t="s">
        <v>2344</v>
      </c>
      <c r="B686" s="2" t="s">
        <v>2345</v>
      </c>
      <c r="C686" s="2" t="s">
        <v>2346</v>
      </c>
      <c r="D686" s="2" t="s">
        <v>2347</v>
      </c>
      <c r="E686" s="2" t="str">
        <f ca="1">IFERROR(__xludf.DUMMYFUNCTION("GOOGLETRANSLATE(D686,""en"",""pt"")"),"Zekrom é um Pokémon do tipo dragão/elétrico introduzido na geração 5. É conhecido como Pokémon preto profundo.")</f>
        <v>Zekrom é um Pokémon do tipo dragão/elétrico introduzido na geração 5. É conhecido como Pokémon preto profundo.</v>
      </c>
      <c r="F686" s="2" t="str">
        <f ca="1">IFERROR(__xludf.DUMMYFUNCTION("GOOGLETRANSLATE(B686,""en"",""pt"")"),"Pokémon preto profundo")</f>
        <v>Pokémon preto profundo</v>
      </c>
    </row>
    <row r="687" spans="1:6" ht="15.75" customHeight="1" x14ac:dyDescent="0.25">
      <c r="A687" s="2" t="s">
        <v>2348</v>
      </c>
      <c r="B687" s="2" t="s">
        <v>2349</v>
      </c>
      <c r="C687" s="2" t="s">
        <v>2334</v>
      </c>
      <c r="D687" s="2" t="s">
        <v>2350</v>
      </c>
      <c r="E687" s="2" t="str">
        <f ca="1">IFERROR(__xludf.DUMMYFUNCTION("GOOGLETRANSLATE(D687,""en"",""pt"")"),"Landorus é um Pokémon do tipo terrestre/voador introduzido na geração 5. É conhecido como Pokémon de abundância.")</f>
        <v>Landorus é um Pokémon do tipo terrestre/voador introduzido na geração 5. É conhecido como Pokémon de abundância.</v>
      </c>
      <c r="F687" s="2" t="str">
        <f ca="1">IFERROR(__xludf.DUMMYFUNCTION("GOOGLETRANSLATE(B687,""en"",""pt"")"),"Pokémon em abundância")</f>
        <v>Pokémon em abundância</v>
      </c>
    </row>
    <row r="688" spans="1:6" ht="15.75" customHeight="1" x14ac:dyDescent="0.25">
      <c r="A688" s="2" t="s">
        <v>2348</v>
      </c>
      <c r="B688" s="2" t="s">
        <v>2349</v>
      </c>
      <c r="C688" s="2" t="s">
        <v>2336</v>
      </c>
      <c r="D688" s="2" t="s">
        <v>2350</v>
      </c>
      <c r="E688" s="2" t="str">
        <f ca="1">IFERROR(__xludf.DUMMYFUNCTION("GOOGLETRANSLATE(D688,""en"",""pt"")"),"Landorus é um Pokémon do tipo terrestre/voador introduzido na geração 5. É conhecido como Pokémon de abundância.")</f>
        <v>Landorus é um Pokémon do tipo terrestre/voador introduzido na geração 5. É conhecido como Pokémon de abundância.</v>
      </c>
      <c r="F688" s="2" t="str">
        <f ca="1">IFERROR(__xludf.DUMMYFUNCTION("GOOGLETRANSLATE(B688,""en"",""pt"")"),"Pokémon em abundância")</f>
        <v>Pokémon em abundância</v>
      </c>
    </row>
    <row r="689" spans="1:6" ht="15.75" customHeight="1" x14ac:dyDescent="0.25">
      <c r="A689" s="2" t="s">
        <v>2351</v>
      </c>
      <c r="B689" s="2" t="s">
        <v>2352</v>
      </c>
      <c r="C689" s="2" t="s">
        <v>2353</v>
      </c>
      <c r="D689" s="2" t="s">
        <v>2354</v>
      </c>
      <c r="E689" s="2" t="str">
        <f ca="1">IFERROR(__xludf.DUMMYFUNCTION("GOOGLETRANSLATE(D689,""en"",""pt"")"),"Kyurem é um Pokémon do tipo dragão/gelo introduzido na geração 5. É conhecido como Pokémon de limite.")</f>
        <v>Kyurem é um Pokémon do tipo dragão/gelo introduzido na geração 5. É conhecido como Pokémon de limite.</v>
      </c>
      <c r="F689" s="2" t="str">
        <f ca="1">IFERROR(__xludf.DUMMYFUNCTION("GOOGLETRANSLATE(B689,""en"",""pt"")"),"Pokémon de limite")</f>
        <v>Pokémon de limite</v>
      </c>
    </row>
    <row r="690" spans="1:6" ht="15.75" customHeight="1" x14ac:dyDescent="0.25">
      <c r="A690" s="2" t="s">
        <v>2351</v>
      </c>
      <c r="B690" s="2" t="s">
        <v>2352</v>
      </c>
      <c r="C690" s="2" t="s">
        <v>2355</v>
      </c>
      <c r="D690" s="2" t="s">
        <v>2354</v>
      </c>
      <c r="E690" s="2" t="str">
        <f ca="1">IFERROR(__xludf.DUMMYFUNCTION("GOOGLETRANSLATE(D690,""en"",""pt"")"),"Kyurem é um Pokémon do tipo dragão/gelo introduzido na geração 5. É conhecido como Pokémon de limite.")</f>
        <v>Kyurem é um Pokémon do tipo dragão/gelo introduzido na geração 5. É conhecido como Pokémon de limite.</v>
      </c>
      <c r="F690" s="2" t="str">
        <f ca="1">IFERROR(__xludf.DUMMYFUNCTION("GOOGLETRANSLATE(B690,""en"",""pt"")"),"Pokémon de limite")</f>
        <v>Pokémon de limite</v>
      </c>
    </row>
    <row r="691" spans="1:6" ht="15.75" customHeight="1" x14ac:dyDescent="0.25">
      <c r="A691" s="2" t="s">
        <v>2351</v>
      </c>
      <c r="B691" s="2" t="s">
        <v>2352</v>
      </c>
      <c r="C691" s="2" t="s">
        <v>2356</v>
      </c>
      <c r="D691" s="2" t="s">
        <v>2354</v>
      </c>
      <c r="E691" s="2" t="str">
        <f ca="1">IFERROR(__xludf.DUMMYFUNCTION("GOOGLETRANSLATE(D691,""en"",""pt"")"),"Kyurem é um Pokémon do tipo dragão/gelo introduzido na geração 5. É conhecido como Pokémon de limite.")</f>
        <v>Kyurem é um Pokémon do tipo dragão/gelo introduzido na geração 5. É conhecido como Pokémon de limite.</v>
      </c>
      <c r="F691" s="2" t="str">
        <f ca="1">IFERROR(__xludf.DUMMYFUNCTION("GOOGLETRANSLATE(B691,""en"",""pt"")"),"Pokémon de limite")</f>
        <v>Pokémon de limite</v>
      </c>
    </row>
    <row r="692" spans="1:6" ht="15.75" customHeight="1" x14ac:dyDescent="0.25">
      <c r="A692" s="2" t="s">
        <v>2357</v>
      </c>
      <c r="B692" s="2" t="s">
        <v>2358</v>
      </c>
      <c r="C692" s="2" t="s">
        <v>2359</v>
      </c>
      <c r="D692" s="2" t="s">
        <v>2360</v>
      </c>
      <c r="E692" s="2" t="str">
        <f ca="1">IFERROR(__xludf.DUMMYFUNCTION("GOOGLETRANSLATE(D692,""en"",""pt"")"),"Keldeo é um Pokémon do tipo de água/luta introduzido na geração 5. É conhecido como Pokémon Colt.")</f>
        <v>Keldeo é um Pokémon do tipo de água/luta introduzido na geração 5. É conhecido como Pokémon Colt.</v>
      </c>
      <c r="F692" s="2" t="str">
        <f ca="1">IFERROR(__xludf.DUMMYFUNCTION("GOOGLETRANSLATE(B692,""en"",""pt"")"),"Colt Pokémon")</f>
        <v>Colt Pokémon</v>
      </c>
    </row>
    <row r="693" spans="1:6" ht="15.75" customHeight="1" x14ac:dyDescent="0.25">
      <c r="A693" s="2" t="s">
        <v>2357</v>
      </c>
      <c r="B693" s="2" t="s">
        <v>2358</v>
      </c>
      <c r="C693" s="2" t="s">
        <v>2361</v>
      </c>
      <c r="D693" s="2" t="s">
        <v>2360</v>
      </c>
      <c r="E693" s="2" t="str">
        <f ca="1">IFERROR(__xludf.DUMMYFUNCTION("GOOGLETRANSLATE(D693,""en"",""pt"")"),"Keldeo é um Pokémon do tipo de água/luta introduzido na geração 5. É conhecido como Pokémon Colt.")</f>
        <v>Keldeo é um Pokémon do tipo de água/luta introduzido na geração 5. É conhecido como Pokémon Colt.</v>
      </c>
      <c r="F693" s="2" t="str">
        <f ca="1">IFERROR(__xludf.DUMMYFUNCTION("GOOGLETRANSLATE(B693,""en"",""pt"")"),"Colt Pokémon")</f>
        <v>Colt Pokémon</v>
      </c>
    </row>
    <row r="694" spans="1:6" ht="15.75" customHeight="1" x14ac:dyDescent="0.25">
      <c r="A694" s="2" t="s">
        <v>2362</v>
      </c>
      <c r="B694" s="2" t="s">
        <v>2363</v>
      </c>
      <c r="C694" s="2" t="s">
        <v>2364</v>
      </c>
      <c r="D694" s="2" t="s">
        <v>2365</v>
      </c>
      <c r="E694" s="2" t="str">
        <f ca="1">IFERROR(__xludf.DUMMYFUNCTION("GOOGLETRANSLATE(D694,""en"",""pt"")"),"Meloetta é um Pokémon normal/psíquico introduzido na geração 5. É conhecido como Pokémon da melodia.")</f>
        <v>Meloetta é um Pokémon normal/psíquico introduzido na geração 5. É conhecido como Pokémon da melodia.</v>
      </c>
      <c r="F694" s="2" t="str">
        <f ca="1">IFERROR(__xludf.DUMMYFUNCTION("GOOGLETRANSLATE(B694,""en"",""pt"")"),"Melody Pokémon")</f>
        <v>Melody Pokémon</v>
      </c>
    </row>
    <row r="695" spans="1:6" ht="15.75" customHeight="1" x14ac:dyDescent="0.25">
      <c r="A695" s="2" t="s">
        <v>2362</v>
      </c>
      <c r="B695" s="2" t="s">
        <v>2363</v>
      </c>
      <c r="C695" s="2" t="s">
        <v>2366</v>
      </c>
      <c r="D695" s="2" t="s">
        <v>2365</v>
      </c>
      <c r="E695" s="2" t="str">
        <f ca="1">IFERROR(__xludf.DUMMYFUNCTION("GOOGLETRANSLATE(D695,""en"",""pt"")"),"Meloetta é um Pokémon normal/psíquico introduzido na geração 5. É conhecido como Pokémon da melodia.")</f>
        <v>Meloetta é um Pokémon normal/psíquico introduzido na geração 5. É conhecido como Pokémon da melodia.</v>
      </c>
      <c r="F695" s="2" t="str">
        <f ca="1">IFERROR(__xludf.DUMMYFUNCTION("GOOGLETRANSLATE(B695,""en"",""pt"")"),"Melody Pokémon")</f>
        <v>Melody Pokémon</v>
      </c>
    </row>
    <row r="696" spans="1:6" ht="15.75" customHeight="1" x14ac:dyDescent="0.25">
      <c r="A696" s="2" t="s">
        <v>2367</v>
      </c>
      <c r="B696" s="2" t="s">
        <v>2368</v>
      </c>
      <c r="C696" s="2" t="s">
        <v>2369</v>
      </c>
      <c r="D696" s="2" t="s">
        <v>2370</v>
      </c>
      <c r="E696" s="2" t="str">
        <f ca="1">IFERROR(__xludf.DUMMYFUNCTION("GOOGLETRANSLATE(D696,""en"",""pt"")"),"Genesect é um Pokémon do tipo bug/aço introduzido na geração 5. É conhecido como Pokémon Paleozóico.")</f>
        <v>Genesect é um Pokémon do tipo bug/aço introduzido na geração 5. É conhecido como Pokémon Paleozóico.</v>
      </c>
      <c r="F696" s="2" t="str">
        <f ca="1">IFERROR(__xludf.DUMMYFUNCTION("GOOGLETRANSLATE(B696,""en"",""pt"")"),"Pokémon Paleozóico")</f>
        <v>Pokémon Paleozóico</v>
      </c>
    </row>
    <row r="697" spans="1:6" ht="15.75" customHeight="1" x14ac:dyDescent="0.25">
      <c r="A697" s="2" t="s">
        <v>2371</v>
      </c>
      <c r="B697" s="2" t="s">
        <v>2285</v>
      </c>
      <c r="C697" s="2" t="s">
        <v>2372</v>
      </c>
      <c r="D697" s="2" t="s">
        <v>2373</v>
      </c>
      <c r="E697" s="2" t="str">
        <f ca="1">IFERROR(__xludf.DUMMYFUNCTION("GOOGLETRANSLATE(D697,""en"",""pt"")"),"Alakazam é ​​um Pokémon do tipo psíquico introduzido na geração 1. É conhecido como Psi Pokémon.
Alakazam tem uma mega evolução, disponível a partir da X&amp;Y.")</f>
        <v>Alakazam é ​​um Pokémon do tipo psíquico introduzido na geração 1. É conhecido como Psi Pokémon.
Alakazam tem uma mega evolução, disponível a partir da X&amp;Y.</v>
      </c>
      <c r="F697" s="2" t="str">
        <f ca="1">IFERROR(__xludf.DUMMYFUNCTION("GOOGLETRANSLATE(B697,""en"",""pt"")"),"Psi Pokémon")</f>
        <v>Psi Pokémon</v>
      </c>
    </row>
    <row r="698" spans="1:6" ht="15.75" customHeight="1" x14ac:dyDescent="0.25">
      <c r="A698" s="2" t="s">
        <v>2371</v>
      </c>
      <c r="B698" s="2" t="s">
        <v>2285</v>
      </c>
      <c r="C698" s="2" t="s">
        <v>2374</v>
      </c>
      <c r="D698" s="2" t="s">
        <v>2373</v>
      </c>
      <c r="E698" s="2" t="str">
        <f ca="1">IFERROR(__xludf.DUMMYFUNCTION("GOOGLETRANSLATE(D698,""en"",""pt"")"),"Alakazam é ​​um Pokémon do tipo psíquico introduzido na geração 1. É conhecido como Psi Pokémon.
Alakazam tem uma mega evolução, disponível a partir da X&amp;Y.")</f>
        <v>Alakazam é ​​um Pokémon do tipo psíquico introduzido na geração 1. É conhecido como Psi Pokémon.
Alakazam tem uma mega evolução, disponível a partir da X&amp;Y.</v>
      </c>
      <c r="F698" s="2" t="str">
        <f ca="1">IFERROR(__xludf.DUMMYFUNCTION("GOOGLETRANSLATE(B698,""en"",""pt"")"),"Psi Pokémon")</f>
        <v>Psi Pokémon</v>
      </c>
    </row>
    <row r="699" spans="1:6" ht="15.75" customHeight="1" x14ac:dyDescent="0.25">
      <c r="A699" s="2" t="s">
        <v>2375</v>
      </c>
      <c r="B699" s="2" t="s">
        <v>2376</v>
      </c>
      <c r="C699" s="2" t="s">
        <v>2377</v>
      </c>
      <c r="D699" s="2" t="s">
        <v>2378</v>
      </c>
      <c r="E699" s="2" t="str">
        <f ca="1">IFERROR(__xludf.DUMMYFUNCTION("GOOGLETRANSLATE(D699,""en"",""pt"")"),"Chespin é um Pokémon do tipo grama introduzido na geração 6. É conhecido como Pokémon Spiny Nut.
Chespin tem uma concha difícil cobrindo a cabeça e as costas. Apesar de ter uma natureza curiosa que tende a ter problemas, Chespin mantém uma perspectiva oti"&amp;"mista e não se preocupa com pequenos detalhes.
Chespin evolui para o quilladin no nível 16.")</f>
        <v>Chespin é um Pokémon do tipo grama introduzido na geração 6. É conhecido como Pokémon Spiny Nut.
Chespin tem uma concha difícil cobrindo a cabeça e as costas. Apesar de ter uma natureza curiosa que tende a ter problemas, Chespin mantém uma perspectiva otimista e não se preocupa com pequenos detalhes.
Chespin evolui para o quilladin no nível 16.</v>
      </c>
      <c r="F699" s="2" t="str">
        <f ca="1">IFERROR(__xludf.DUMMYFUNCTION("GOOGLETRANSLATE(B699,""en"",""pt"")"),"Pokémon espinhoso")</f>
        <v>Pokémon espinhoso</v>
      </c>
    </row>
    <row r="700" spans="1:6" ht="15.75" customHeight="1" x14ac:dyDescent="0.25">
      <c r="A700" s="2" t="s">
        <v>2379</v>
      </c>
      <c r="B700" s="2" t="s">
        <v>2380</v>
      </c>
      <c r="C700" s="2" t="s">
        <v>2381</v>
      </c>
      <c r="D700" s="2" t="s">
        <v>2382</v>
      </c>
      <c r="E700" s="2" t="str">
        <f ca="1">IFERROR(__xludf.DUMMYFUNCTION("GOOGLETRANSLATE(D700,""en"",""pt"")"),"O quilladin é um Pokémon do tipo grama introduzido na geração 6. É conhecido como Pokémon Spiny Armour.
Após a evolução, os picos duros no corpo de Quilladin crescem ainda mais robustos. Apesar de sua aparência espinhosa, o quilladin é considerado um Poké"&amp;"mon gentil que evita a batalha.
Quilladin evolui de Chespin no nível 16 e evolui para Chesnaught no nível 36.")</f>
        <v>O quilladin é um Pokémon do tipo grama introduzido na geração 6. É conhecido como Pokémon Spiny Armour.
Após a evolução, os picos duros no corpo de Quilladin crescem ainda mais robustos. Apesar de sua aparência espinhosa, o quilladin é considerado um Pokémon gentil que evita a batalha.
Quilladin evolui de Chespin no nível 16 e evolui para Chesnaught no nível 36.</v>
      </c>
      <c r="F700" s="2" t="str">
        <f ca="1">IFERROR(__xludf.DUMMYFUNCTION("GOOGLETRANSLATE(B700,""en"",""pt"")"),"Pokémon de armadura espinhosa")</f>
        <v>Pokémon de armadura espinhosa</v>
      </c>
    </row>
    <row r="701" spans="1:6" ht="15.75" customHeight="1" x14ac:dyDescent="0.25">
      <c r="A701" s="2" t="s">
        <v>2383</v>
      </c>
      <c r="B701" s="2" t="s">
        <v>2380</v>
      </c>
      <c r="C701" s="2" t="s">
        <v>2384</v>
      </c>
      <c r="D701" s="2" t="s">
        <v>2385</v>
      </c>
      <c r="E701" s="2" t="str">
        <f ca="1">IFERROR(__xludf.DUMMYFUNCTION("GOOGLETRANSLATE(D701,""en"",""pt"")"),"Chesnaught é um Pokémon do tipo grama/luta introduzido na geração 6. É conhecido como Pokémon Spiny Armour.
Chesnaught evolui de Quilladin no nível 36.")</f>
        <v>Chesnaught é um Pokémon do tipo grama/luta introduzido na geração 6. É conhecido como Pokémon Spiny Armour.
Chesnaught evolui de Quilladin no nível 36.</v>
      </c>
      <c r="F701" s="2" t="str">
        <f ca="1">IFERROR(__xludf.DUMMYFUNCTION("GOOGLETRANSLATE(B701,""en"",""pt"")"),"Pokémon de armadura espinhosa")</f>
        <v>Pokémon de armadura espinhosa</v>
      </c>
    </row>
    <row r="702" spans="1:6" ht="15.75" customHeight="1" x14ac:dyDescent="0.25">
      <c r="A702" s="2" t="s">
        <v>2386</v>
      </c>
      <c r="B702" s="2" t="s">
        <v>1170</v>
      </c>
      <c r="C702" s="2" t="s">
        <v>2387</v>
      </c>
      <c r="D702" s="2" t="s">
        <v>2388</v>
      </c>
      <c r="E702" s="2" t="str">
        <f ca="1">IFERROR(__xludf.DUMMYFUNCTION("GOOGLETRANSLATE(D702,""en"",""pt"")"),"Fennekin é um Pokémon do tipo incêndio introduzido na geração 6. É conhecido como Fox Pokémon.
Fennekin pode ser temperamental, mas tenta fazer o melhor para o seu treinador. O calor abrasador sopra de suas orelhas. Este Pokémon adora lanche em galhos.
Fe"&amp;"nnekin evolui para Braixen no nível 16.")</f>
        <v>Fennekin é um Pokémon do tipo incêndio introduzido na geração 6. É conhecido como Fox Pokémon.
Fennekin pode ser temperamental, mas tenta fazer o melhor para o seu treinador. O calor abrasador sopra de suas orelhas. Este Pokémon adora lanche em galhos.
Fennekin evolui para Braixen no nível 16.</v>
      </c>
      <c r="F702" s="2" t="str">
        <f ca="1">IFERROR(__xludf.DUMMYFUNCTION("GOOGLETRANSLATE(B702,""en"",""pt"")"),"Fox Pokémon")</f>
        <v>Fox Pokémon</v>
      </c>
    </row>
    <row r="703" spans="1:6" ht="15.75" customHeight="1" x14ac:dyDescent="0.25">
      <c r="A703" s="2" t="s">
        <v>2389</v>
      </c>
      <c r="B703" s="2" t="s">
        <v>1170</v>
      </c>
      <c r="C703" s="2" t="s">
        <v>2390</v>
      </c>
      <c r="D703" s="2" t="s">
        <v>2391</v>
      </c>
      <c r="E703" s="2" t="str">
        <f ca="1">IFERROR(__xludf.DUMMYFUNCTION("GOOGLETRANSLATE(D703,""en"",""pt"")"),"Braixen é um Pokémon do tipo fogo introduzido na geração 6. É conhecido como Fox Pokémon.
Braixen não come mais galhos, mas ainda mantém um galho de árvore em sua cauda, ​​o que parece acalmar o Pokémon. Ocasionalmente, empunhará o ramo em batalha e usa a"&amp;"trito para acendê -lo em chamas.
Braixen evolui de Fennekin no nível 16 e evolui para Delphox no nível 36.")</f>
        <v>Braixen é um Pokémon do tipo fogo introduzido na geração 6. É conhecido como Fox Pokémon.
Braixen não come mais galhos, mas ainda mantém um galho de árvore em sua cauda, ​​o que parece acalmar o Pokémon. Ocasionalmente, empunhará o ramo em batalha e usa atrito para acendê -lo em chamas.
Braixen evolui de Fennekin no nível 16 e evolui para Delphox no nível 36.</v>
      </c>
      <c r="F703" s="2" t="str">
        <f ca="1">IFERROR(__xludf.DUMMYFUNCTION("GOOGLETRANSLATE(B703,""en"",""pt"")"),"Fox Pokémon")</f>
        <v>Fox Pokémon</v>
      </c>
    </row>
    <row r="704" spans="1:6" ht="15.75" customHeight="1" x14ac:dyDescent="0.25">
      <c r="A704" s="2" t="s">
        <v>2392</v>
      </c>
      <c r="B704" s="2" t="s">
        <v>1170</v>
      </c>
      <c r="C704" s="2" t="s">
        <v>2393</v>
      </c>
      <c r="D704" s="2" t="s">
        <v>2394</v>
      </c>
      <c r="E704" s="2" t="str">
        <f ca="1">IFERROR(__xludf.DUMMYFUNCTION("GOOGLETRANSLATE(D704,""en"",""pt"")"),"Delphox é um Pokémon do tipo Fogo/Psíquico introduzido na geração 6. É conhecido como Pokémon Fox.
Delphox evolui de Braixen no nível 36.")</f>
        <v>Delphox é um Pokémon do tipo Fogo/Psíquico introduzido na geração 6. É conhecido como Pokémon Fox.
Delphox evolui de Braixen no nível 36.</v>
      </c>
      <c r="F704" s="2" t="str">
        <f ca="1">IFERROR(__xludf.DUMMYFUNCTION("GOOGLETRANSLATE(B704,""en"",""pt"")"),"Fox Pokémon")</f>
        <v>Fox Pokémon</v>
      </c>
    </row>
    <row r="705" spans="1:6" ht="15.75" customHeight="1" x14ac:dyDescent="0.25">
      <c r="A705" s="2" t="s">
        <v>2395</v>
      </c>
      <c r="B705" s="2" t="s">
        <v>2396</v>
      </c>
      <c r="C705" s="2" t="s">
        <v>2397</v>
      </c>
      <c r="D705" s="2" t="s">
        <v>2398</v>
      </c>
      <c r="E705" s="2" t="str">
        <f ca="1">IFERROR(__xludf.DUMMYFUNCTION("GOOGLETRANSLATE(D705,""en"",""pt"")"),"Froakie é um Pokémon do tipo água introduzido na geração 6. É conhecido como Pokémon do sapo de bolhas.
Froakie é leve e forte, tornando -o capaz de pular incrivelmente alto. As bolhas no peito e nas costas o protegem dos ataques. Froakie pode parecer dis"&amp;"traído, mas, na verdade, presta muita atenção ao seu ambiente o tempo todo.
Froakie evolui para o Frogadier no nível 16.")</f>
        <v>Froakie é um Pokémon do tipo água introduzido na geração 6. É conhecido como Pokémon do sapo de bolhas.
Froakie é leve e forte, tornando -o capaz de pular incrivelmente alto. As bolhas no peito e nas costas o protegem dos ataques. Froakie pode parecer distraído, mas, na verdade, presta muita atenção ao seu ambiente o tempo todo.
Froakie evolui para o Frogadier no nível 16.</v>
      </c>
      <c r="F705" s="2" t="str">
        <f ca="1">IFERROR(__xludf.DUMMYFUNCTION("GOOGLETRANSLATE(B705,""en"",""pt"")"),"Pokémon de sapo de bolha")</f>
        <v>Pokémon de sapo de bolha</v>
      </c>
    </row>
    <row r="706" spans="1:6" ht="15.75" customHeight="1" x14ac:dyDescent="0.25">
      <c r="A706" s="2" t="s">
        <v>2399</v>
      </c>
      <c r="B706" s="2" t="s">
        <v>2396</v>
      </c>
      <c r="C706" s="2" t="s">
        <v>2400</v>
      </c>
      <c r="D706" s="2" t="s">
        <v>2401</v>
      </c>
      <c r="E706" s="2" t="str">
        <f ca="1">IFERROR(__xludf.DUMMYFUNCTION("GOOGLETRANSLATE(D706,""en"",""pt"")"),"O Frogadier é um Pokémon do tipo água introduzido na geração 6. É conhecido como Pokémon do sapo de bolhas.
Durante a batalha, o Frogadier confunde seus oponentes pulando sobre o teto ou em árvores. Sua habilidade de salto melhora muito.
O Frogadier evolu"&amp;"i de Froakie no nível 16 e evolui para Greninja no nível 36.")</f>
        <v>O Frogadier é um Pokémon do tipo água introduzido na geração 6. É conhecido como Pokémon do sapo de bolhas.
Durante a batalha, o Frogadier confunde seus oponentes pulando sobre o teto ou em árvores. Sua habilidade de salto melhora muito.
O Frogadier evolui de Froakie no nível 16 e evolui para Greninja no nível 36.</v>
      </c>
      <c r="F706" s="2" t="str">
        <f ca="1">IFERROR(__xludf.DUMMYFUNCTION("GOOGLETRANSLATE(B706,""en"",""pt"")"),"Pokémon de sapo de bolha")</f>
        <v>Pokémon de sapo de bolha</v>
      </c>
    </row>
    <row r="707" spans="1:6" ht="15.75" customHeight="1" x14ac:dyDescent="0.25">
      <c r="A707" s="2" t="s">
        <v>2402</v>
      </c>
      <c r="B707" s="2" t="s">
        <v>827</v>
      </c>
      <c r="C707" s="2" t="s">
        <v>2403</v>
      </c>
      <c r="D707" s="2" t="s">
        <v>2404</v>
      </c>
      <c r="E707" s="2" t="str">
        <f ca="1">IFERROR(__xludf.DUMMYFUNCTION("GOOGLETRANSLATE(D707,""en"",""pt"")"),"Greninja é um Pokémon de água/escuro introduzido na geração 6. É conhecido como Pokémon Ninja.
Greninja evolui do Frogadier no nível 36.
Greninja tem uma nova forma Ash-Greninja apresentada em Pokémon Sun/Moon.")</f>
        <v>Greninja é um Pokémon de água/escuro introduzido na geração 6. É conhecido como Pokémon Ninja.
Greninja evolui do Frogadier no nível 36.
Greninja tem uma nova forma Ash-Greninja apresentada em Pokémon Sun/Moon.</v>
      </c>
      <c r="F707" s="2" t="str">
        <f ca="1">IFERROR(__xludf.DUMMYFUNCTION("GOOGLETRANSLATE(B707,""en"",""pt"")"),"Pokémon ninja")</f>
        <v>Pokémon ninja</v>
      </c>
    </row>
    <row r="708" spans="1:6" ht="15.75" customHeight="1" x14ac:dyDescent="0.25">
      <c r="A708" s="2" t="s">
        <v>2402</v>
      </c>
      <c r="B708" s="2" t="s">
        <v>827</v>
      </c>
      <c r="C708" s="2" t="s">
        <v>2405</v>
      </c>
      <c r="D708" s="2" t="s">
        <v>2404</v>
      </c>
      <c r="E708" s="2" t="str">
        <f ca="1">IFERROR(__xludf.DUMMYFUNCTION("GOOGLETRANSLATE(D708,""en"",""pt"")"),"Greninja é um Pokémon de água/escuro introduzido na geração 6. É conhecido como Pokémon Ninja.
Greninja evolui do Frogadier no nível 36.
Greninja tem uma nova forma Ash-Greninja apresentada em Pokémon Sun/Moon.")</f>
        <v>Greninja é um Pokémon de água/escuro introduzido na geração 6. É conhecido como Pokémon Ninja.
Greninja evolui do Frogadier no nível 36.
Greninja tem uma nova forma Ash-Greninja apresentada em Pokémon Sun/Moon.</v>
      </c>
      <c r="F708" s="2" t="str">
        <f ca="1">IFERROR(__xludf.DUMMYFUNCTION("GOOGLETRANSLATE(B708,""en"",""pt"")"),"Pokémon ninja")</f>
        <v>Pokémon ninja</v>
      </c>
    </row>
    <row r="709" spans="1:6" ht="15.75" customHeight="1" x14ac:dyDescent="0.25">
      <c r="A709" s="2" t="s">
        <v>2406</v>
      </c>
      <c r="B709" s="2" t="s">
        <v>2407</v>
      </c>
      <c r="C709" s="2" t="s">
        <v>2408</v>
      </c>
      <c r="D709" s="2" t="s">
        <v>2409</v>
      </c>
      <c r="E709" s="2" t="str">
        <f ca="1">IFERROR(__xludf.DUMMYFUNCTION("GOOGLETRANSLATE(D709,""en"",""pt"")"),"Bunnelby é um Pokémon do tipo normal introduzido na geração 6. É conhecido como Pokémon de escavação.
Bunnelby é baseado em um coelho. Ele cria sua cova cavando no chão com suas grandes orelhas em forma de pá. Eles são fortes o suficiente para cortar as r"&amp;"aízes de árvores grossas.
Bunnelby evolui para Diggersby no nível 20.")</f>
        <v>Bunnelby é um Pokémon do tipo normal introduzido na geração 6. É conhecido como Pokémon de escavação.
Bunnelby é baseado em um coelho. Ele cria sua cova cavando no chão com suas grandes orelhas em forma de pá. Eles são fortes o suficiente para cortar as raízes de árvores grossas.
Bunnelby evolui para Diggersby no nível 20.</v>
      </c>
      <c r="F709" s="2" t="str">
        <f ca="1">IFERROR(__xludf.DUMMYFUNCTION("GOOGLETRANSLATE(B709,""en"",""pt"")"),"Cavando Pokémon")</f>
        <v>Cavando Pokémon</v>
      </c>
    </row>
    <row r="710" spans="1:6" ht="15.75" customHeight="1" x14ac:dyDescent="0.25">
      <c r="A710" s="2" t="s">
        <v>2410</v>
      </c>
      <c r="B710" s="2" t="s">
        <v>2411</v>
      </c>
      <c r="C710" s="2" t="s">
        <v>2412</v>
      </c>
      <c r="D710" s="2" t="s">
        <v>2413</v>
      </c>
      <c r="E710" s="2" t="str">
        <f ca="1">IFERROR(__xludf.DUMMYFUNCTION("GOOGLETRANSLATE(D710,""en"",""pt"")"),"Machop é um Pokémon do tipo de luta introduzido na geração 1. É conhecido como Pokémon Superpower.")</f>
        <v>Machop é um Pokémon do tipo de luta introduzido na geração 1. É conhecido como Pokémon Superpower.</v>
      </c>
      <c r="F710" s="2" t="str">
        <f ca="1">IFERROR(__xludf.DUMMYFUNCTION("GOOGLETRANSLATE(B710,""en"",""pt"")"),"Pokémon de superpotência")</f>
        <v>Pokémon de superpotência</v>
      </c>
    </row>
    <row r="711" spans="1:6" ht="15.75" customHeight="1" x14ac:dyDescent="0.25">
      <c r="A711" s="2" t="s">
        <v>2414</v>
      </c>
      <c r="B711" s="2" t="s">
        <v>2407</v>
      </c>
      <c r="C711" s="2" t="s">
        <v>2415</v>
      </c>
      <c r="D711" s="2" t="s">
        <v>2416</v>
      </c>
      <c r="E711" s="2" t="str">
        <f ca="1">IFERROR(__xludf.DUMMYFUNCTION("GOOGLETRANSLATE(D711,""en"",""pt"")"),"Diggersby é um Pokémon Normal/Tipo de terra introduzido na geração 6. É conhecido como Pokémon Digging.
Diggersby evolui de Bunnelby no nível 20.")</f>
        <v>Diggersby é um Pokémon Normal/Tipo de terra introduzido na geração 6. É conhecido como Pokémon Digging.
Diggersby evolui de Bunnelby no nível 20.</v>
      </c>
      <c r="F711" s="2" t="str">
        <f ca="1">IFERROR(__xludf.DUMMYFUNCTION("GOOGLETRANSLATE(B711,""en"",""pt"")"),"Cavando Pokémon")</f>
        <v>Cavando Pokémon</v>
      </c>
    </row>
    <row r="712" spans="1:6" ht="15.75" customHeight="1" x14ac:dyDescent="0.25">
      <c r="A712" s="2" t="s">
        <v>2417</v>
      </c>
      <c r="B712" s="2" t="s">
        <v>2418</v>
      </c>
      <c r="C712" s="2" t="s">
        <v>2419</v>
      </c>
      <c r="D712" s="2" t="s">
        <v>2420</v>
      </c>
      <c r="E712" s="2" t="str">
        <f ca="1">IFERROR(__xludf.DUMMYFUNCTION("GOOGLETRANSLATE(D712,""en"",""pt"")"),"Fletchling é um Pokémon Normal/Voador Introduzido na Geração 6. É conhecido como o pequeno Pokémon Robin.
Tem uma natureza amigável e um belo chilreado, mas Fletchling também é conhecido por ser feroz na batalha, capaz de desencadear ataques implacáveis.
"&amp;"Ele evolui para Fletchinder no nível 17.")</f>
        <v>Fletchling é um Pokémon Normal/Voador Introduzido na Geração 6. É conhecido como o pequeno Pokémon Robin.
Tem uma natureza amigável e um belo chilreado, mas Fletchling também é conhecido por ser feroz na batalha, capaz de desencadear ataques implacáveis.
Ele evolui para Fletchinder no nível 17.</v>
      </c>
      <c r="F712" s="2" t="str">
        <f ca="1">IFERROR(__xludf.DUMMYFUNCTION("GOOGLETRANSLATE(B712,""en"",""pt"")"),"Tiny Robin Pokémon")</f>
        <v>Tiny Robin Pokémon</v>
      </c>
    </row>
    <row r="713" spans="1:6" ht="15.75" customHeight="1" x14ac:dyDescent="0.25">
      <c r="A713" s="2" t="s">
        <v>2421</v>
      </c>
      <c r="B713" s="2" t="s">
        <v>1800</v>
      </c>
      <c r="C713" s="2" t="s">
        <v>2422</v>
      </c>
      <c r="D713" s="2" t="s">
        <v>2423</v>
      </c>
      <c r="E713" s="2" t="str">
        <f ca="1">IFERROR(__xludf.DUMMYFUNCTION("GOOGLETRANSLATE(D713,""en"",""pt"")"),"Fletchinder é um Pokémon do tipo Fire/Flying introduzido na geração 6. É conhecido como Pokémon Ember.
Fletchinder evolui de Fletchling no nível 17 e evolui para o Talonflame no nível 35.")</f>
        <v>Fletchinder é um Pokémon do tipo Fire/Flying introduzido na geração 6. É conhecido como Pokémon Ember.
Fletchinder evolui de Fletchling no nível 17 e evolui para o Talonflame no nível 35.</v>
      </c>
      <c r="F713" s="2" t="str">
        <f ca="1">IFERROR(__xludf.DUMMYFUNCTION("GOOGLETRANSLATE(B713,""en"",""pt"")"),"Pokémon Ember")</f>
        <v>Pokémon Ember</v>
      </c>
    </row>
    <row r="714" spans="1:6" ht="15.75" customHeight="1" x14ac:dyDescent="0.25">
      <c r="A714" s="2" t="s">
        <v>2424</v>
      </c>
      <c r="B714" s="2" t="s">
        <v>2425</v>
      </c>
      <c r="C714" s="2" t="s">
        <v>2426</v>
      </c>
      <c r="D714" s="2" t="s">
        <v>2427</v>
      </c>
      <c r="E714" s="2" t="str">
        <f ca="1">IFERROR(__xludf.DUMMYFUNCTION("GOOGLETRANSLATE(D714,""en"",""pt"")"),"O Taloonflame é um Pokémon do tipo Fire/Flying introduzido na geração 6. É conhecido como Pokémon escaldante.
Ele mergulha nos inimigos e depois ataca com chutes devastadores.
Ele evolui de Fletchinder no nível 35.")</f>
        <v>O Taloonflame é um Pokémon do tipo Fire/Flying introduzido na geração 6. É conhecido como Pokémon escaldante.
Ele mergulha nos inimigos e depois ataca com chutes devastadores.
Ele evolui de Fletchinder no nível 35.</v>
      </c>
      <c r="F714" s="2" t="str">
        <f ca="1">IFERROR(__xludf.DUMMYFUNCTION("GOOGLETRANSLATE(B714,""en"",""pt"")"),"Pokémon escaldante")</f>
        <v>Pokémon escaldante</v>
      </c>
    </row>
    <row r="715" spans="1:6" ht="15.75" customHeight="1" x14ac:dyDescent="0.25">
      <c r="A715" s="2" t="s">
        <v>2428</v>
      </c>
      <c r="B715" s="2" t="s">
        <v>2429</v>
      </c>
      <c r="C715" s="2" t="s">
        <v>2430</v>
      </c>
      <c r="D715" s="2" t="s">
        <v>2431</v>
      </c>
      <c r="E715" s="2" t="str">
        <f ca="1">IFERROR(__xludf.DUMMYFUNCTION("GOOGLETRANSLATE(D715,""en"",""pt"")"),"Scatterbug é um Pokémon do tipo bug introduzido na geração 6. É conhecido como Pokémon ScatterDust.
Scatterbug reside principalmente em florestas e planícies selvagens. Ele usa o pêlo em volta do pescoço para controlar a temperatura corporal.")</f>
        <v>Scatterbug é um Pokémon do tipo bug introduzido na geração 6. É conhecido como Pokémon ScatterDust.
Scatterbug reside principalmente em florestas e planícies selvagens. Ele usa o pêlo em volta do pescoço para controlar a temperatura corporal.</v>
      </c>
      <c r="F715" s="2" t="str">
        <f ca="1">IFERROR(__xludf.DUMMYFUNCTION("GOOGLETRANSLATE(B715,""en"",""pt"")"),"Pokémon ScatterDust")</f>
        <v>Pokémon ScatterDust</v>
      </c>
    </row>
    <row r="716" spans="1:6" ht="15.75" customHeight="1" x14ac:dyDescent="0.25">
      <c r="A716" s="2" t="s">
        <v>2432</v>
      </c>
      <c r="B716" s="2" t="s">
        <v>2429</v>
      </c>
      <c r="C716" s="2" t="s">
        <v>2433</v>
      </c>
      <c r="D716" s="2" t="s">
        <v>2434</v>
      </c>
      <c r="E716" s="2" t="str">
        <f ca="1">IFERROR(__xludf.DUMMYFUNCTION("GOOGLETRANSLATE(D716,""en"",""pt"")"),"O Spewpa é um Pokémon do tipo bug introduzido na geração 6. É conhecido como Pokémon ScatterDust.")</f>
        <v>O Spewpa é um Pokémon do tipo bug introduzido na geração 6. É conhecido como Pokémon ScatterDust.</v>
      </c>
      <c r="F716" s="2" t="str">
        <f ca="1">IFERROR(__xludf.DUMMYFUNCTION("GOOGLETRANSLATE(B716,""en"",""pt"")"),"Pokémon ScatterDust")</f>
        <v>Pokémon ScatterDust</v>
      </c>
    </row>
    <row r="717" spans="1:6" ht="15.75" customHeight="1" x14ac:dyDescent="0.25">
      <c r="A717" s="2" t="s">
        <v>2435</v>
      </c>
      <c r="B717" s="2" t="s">
        <v>2436</v>
      </c>
      <c r="C717" s="2" t="s">
        <v>2437</v>
      </c>
      <c r="D717" s="2" t="s">
        <v>2438</v>
      </c>
      <c r="E717" s="2" t="str">
        <f ca="1">IFERROR(__xludf.DUMMYFUNCTION("GOOGLETRANSLATE(D717,""en"",""pt"")"),"Vivillon é um Pokémon do tipo bug/voador introduzido na geração 6. É conhecido como Pokémon em escala.
Vivillon tem 18 formas diferentes, dependendo da região definida no 3DS. (Uma vez encontrado, a alteração da região não altera o formulário encontrado.)"&amp;" Também existem dois padrões exclusivos de eventos. Os formulários são:
Padrão de prado
Padrão de jardim
Padrão do arquipélago
Padrão continental
Padrão elegante
Padrão de planícies altas
Padrão de neve gelada
Padrão da selva
Padrão marinho
Padrão modern"&amp;"o
Padrão de monção
Padrão oceânico
Padrão polar
Padrão do rio
Padrão de tempestade de areia
Padrão de savana
Padrão solar
Padrão de tundra
Padrão de bola Poké (evento)
Padrão sofisticado (evento)")</f>
        <v>Vivillon é um Pokémon do tipo bug/voador introduzido na geração 6. É conhecido como Pokémon em escala.
Vivillon tem 18 formas diferentes, dependendo da região definida no 3DS. (Uma vez encontrado, a alteração da região não altera o formulário encontrado.) Também existem dois padrões exclusivos de eventos. Os formulários são:
Padrão de prado
Padrão de jardim
Padrão do arquipélago
Padrão continental
Padrão elegante
Padrão de planícies altas
Padrão de neve gelada
Padrão da selva
Padrão marinho
Padrão moderno
Padrão de monção
Padrão oceânico
Padrão polar
Padrão do rio
Padrão de tempestade de areia
Padrão de savana
Padrão solar
Padrão de tundra
Padrão de bola Poké (evento)
Padrão sofisticado (evento)</v>
      </c>
      <c r="F717" s="2" t="str">
        <f ca="1">IFERROR(__xludf.DUMMYFUNCTION("GOOGLETRANSLATE(B717,""en"",""pt"")"),"Pokémon em escala")</f>
        <v>Pokémon em escala</v>
      </c>
    </row>
    <row r="718" spans="1:6" ht="15.75" customHeight="1" x14ac:dyDescent="0.25">
      <c r="A718" s="2" t="s">
        <v>2439</v>
      </c>
      <c r="B718" s="2" t="s">
        <v>2440</v>
      </c>
      <c r="C718" s="2" t="s">
        <v>2441</v>
      </c>
      <c r="D718" s="2" t="s">
        <v>2442</v>
      </c>
      <c r="E718" s="2" t="str">
        <f ca="1">IFERROR(__xludf.DUMMYFUNCTION("GOOGLETRANSLATE(D718,""en"",""pt"")"),"Litleo é um Pokémon de Fogo/Tipo Normal introduzido na geração 6. É conhecido como Pokémon Cub Lion.
Sua juba brilho com calor durante a batalha, queimando mais e quente quanto mais forte seu oponente.")</f>
        <v>Litleo é um Pokémon de Fogo/Tipo Normal introduzido na geração 6. É conhecido como Pokémon Cub Lion.
Sua juba brilho com calor durante a batalha, queimando mais e quente quanto mais forte seu oponente.</v>
      </c>
      <c r="F718" s="2" t="str">
        <f ca="1">IFERROR(__xludf.DUMMYFUNCTION("GOOGLETRANSLATE(B718,""en"",""pt"")"),"Pokémon de filhote de leão")</f>
        <v>Pokémon de filhote de leão</v>
      </c>
    </row>
    <row r="719" spans="1:6" ht="15.75" customHeight="1" x14ac:dyDescent="0.25">
      <c r="A719" s="2" t="s">
        <v>2443</v>
      </c>
      <c r="B719" s="2" t="s">
        <v>429</v>
      </c>
      <c r="C719" s="2" t="s">
        <v>2444</v>
      </c>
      <c r="D719" s="2" t="s">
        <v>2445</v>
      </c>
      <c r="E719" s="2" t="str">
        <f ca="1">IFERROR(__xludf.DUMMYFUNCTION("GOOGLETRANSLATE(D719,""en"",""pt"")"),"Pyroar é um Pokémon de Fogo/Tipo Normal introduzido na geração 6. É conhecido como Pokémon Royal.
Pyroar masculino e feminino têm formas diferentes - o macho tem uma crina grande, enquanto a fêmea é mais elegante. Ambos têm as mesmas estatísticas/atributo"&amp;"s.")</f>
        <v>Pyroar é um Pokémon de Fogo/Tipo Normal introduzido na geração 6. É conhecido como Pokémon Royal.
Pyroar masculino e feminino têm formas diferentes - o macho tem uma crina grande, enquanto a fêmea é mais elegante. Ambos têm as mesmas estatísticas/atributos.</v>
      </c>
      <c r="F719" s="2" t="str">
        <f ca="1">IFERROR(__xludf.DUMMYFUNCTION("GOOGLETRANSLATE(B719,""en"",""pt"")"),"Pokémon real")</f>
        <v>Pokémon real</v>
      </c>
    </row>
    <row r="720" spans="1:6" ht="15.75" customHeight="1" x14ac:dyDescent="0.25">
      <c r="A720" s="2" t="s">
        <v>2446</v>
      </c>
      <c r="B720" s="2" t="s">
        <v>2447</v>
      </c>
      <c r="C720" s="2" t="s">
        <v>2448</v>
      </c>
      <c r="D720" s="2" t="s">
        <v>2449</v>
      </c>
      <c r="E720" s="2" t="str">
        <f ca="1">IFERROR(__xludf.DUMMYFUNCTION("GOOGLETRANSLATE(D720,""en"",""pt"")"),"Flabébé é um Pokémon do tipo de fada introduzido na geração 6. É conhecido como o Pokémon Bloom Single.
Flabébé tem várias formas, com base na flor que está segurando. Cada um deles é encontrado em manchas de flores silvestres correspondentes à sua cor. A"&amp;"s formas são: flor amarela, flor vermelha, flor laranja, flor azul e flor branca.")</f>
        <v>Flabébé é um Pokémon do tipo de fada introduzido na geração 6. É conhecido como o Pokémon Bloom Single.
Flabébé tem várias formas, com base na flor que está segurando. Cada um deles é encontrado em manchas de flores silvestres correspondentes à sua cor. As formas são: flor amarela, flor vermelha, flor laranja, flor azul e flor branca.</v>
      </c>
      <c r="F720" s="2" t="str">
        <f ca="1">IFERROR(__xludf.DUMMYFUNCTION("GOOGLETRANSLATE(B720,""en"",""pt"")"),"Pokémon de Bloom Single")</f>
        <v>Pokémon de Bloom Single</v>
      </c>
    </row>
    <row r="721" spans="1:6" ht="15.75" customHeight="1" x14ac:dyDescent="0.25">
      <c r="A721" s="2" t="s">
        <v>2450</v>
      </c>
      <c r="B721" s="2" t="s">
        <v>2411</v>
      </c>
      <c r="C721" s="2" t="s">
        <v>2451</v>
      </c>
      <c r="D721" s="2" t="s">
        <v>2452</v>
      </c>
      <c r="E721" s="2" t="str">
        <f ca="1">IFERROR(__xludf.DUMMYFUNCTION("GOOGLETRANSLATE(D721,""en"",""pt"")"),"Machoke é um Pokémon do tipo de luta introduzido na geração 1. É conhecido como Pokémon Superpower.")</f>
        <v>Machoke é um Pokémon do tipo de luta introduzido na geração 1. É conhecido como Pokémon Superpower.</v>
      </c>
      <c r="F721" s="2" t="str">
        <f ca="1">IFERROR(__xludf.DUMMYFUNCTION("GOOGLETRANSLATE(B721,""en"",""pt"")"),"Pokémon de superpotência")</f>
        <v>Pokémon de superpotência</v>
      </c>
    </row>
    <row r="722" spans="1:6" ht="15.75" customHeight="1" x14ac:dyDescent="0.25">
      <c r="A722" s="2" t="s">
        <v>2453</v>
      </c>
      <c r="B722" s="2" t="s">
        <v>2447</v>
      </c>
      <c r="C722" s="2" t="s">
        <v>2454</v>
      </c>
      <c r="D722" s="2" t="s">
        <v>2455</v>
      </c>
      <c r="E722" s="2" t="str">
        <f ca="1">IFERROR(__xludf.DUMMYFUNCTION("GOOGLETRANSLATE(D722,""en"",""pt"")"),"Floette é um Pokémon do tipo de fada introduzido na geração 6. É conhecido como o Pokémon Bloom único.
Como Flabébé, Floette tem várias formas: flor amarela, flor vermelha, flor laranja, flor azul e flor branca.")</f>
        <v>Floette é um Pokémon do tipo de fada introduzido na geração 6. É conhecido como o Pokémon Bloom único.
Como Flabébé, Floette tem várias formas: flor amarela, flor vermelha, flor laranja, flor azul e flor branca.</v>
      </c>
      <c r="F722" s="2" t="str">
        <f ca="1">IFERROR(__xludf.DUMMYFUNCTION("GOOGLETRANSLATE(B722,""en"",""pt"")"),"Pokémon de Bloom Single")</f>
        <v>Pokémon de Bloom Single</v>
      </c>
    </row>
    <row r="723" spans="1:6" ht="15.75" customHeight="1" x14ac:dyDescent="0.25">
      <c r="A723" s="2" t="s">
        <v>2456</v>
      </c>
      <c r="B723" s="2" t="s">
        <v>2457</v>
      </c>
      <c r="C723" s="2" t="s">
        <v>2458</v>
      </c>
      <c r="D723" s="2" t="s">
        <v>2459</v>
      </c>
      <c r="E723" s="2" t="str">
        <f ca="1">IFERROR(__xludf.DUMMYFUNCTION("GOOGLETRANSLATE(D723,""en"",""pt"")"),"Florges é um Pokémon do tipo de fada introduzido na geração 6. É conhecido como o Pokémon do Jardim.
Como Flabébé, Florges tem várias formas: flor amarela, flor vermelha, flor laranja, flor azul e flor branca.")</f>
        <v>Florges é um Pokémon do tipo de fada introduzido na geração 6. É conhecido como o Pokémon do Jardim.
Como Flabébé, Florges tem várias formas: flor amarela, flor vermelha, flor laranja, flor azul e flor branca.</v>
      </c>
      <c r="F723" s="2" t="str">
        <f ca="1">IFERROR(__xludf.DUMMYFUNCTION("GOOGLETRANSLATE(B723,""en"",""pt"")"),"Pokémon de jardim")</f>
        <v>Pokémon de jardim</v>
      </c>
    </row>
    <row r="724" spans="1:6" ht="15.75" customHeight="1" x14ac:dyDescent="0.25">
      <c r="A724" s="2" t="s">
        <v>2460</v>
      </c>
      <c r="B724" s="2" t="s">
        <v>2461</v>
      </c>
      <c r="C724" s="2" t="s">
        <v>2462</v>
      </c>
      <c r="D724" s="2" t="s">
        <v>2463</v>
      </c>
      <c r="E724" s="2" t="str">
        <f ca="1">IFERROR(__xludf.DUMMYFUNCTION("GOOGLETRANSLATE(D724,""en"",""pt"")"),"Skiddo é um Pokémon do tipo grama introduzido na geração 6. É conhecido como o Monte Pokémon.
Diz -se que Skiddo foi o primeiro Pokémon a viver ao lado de humanos. Tornou -se capaz de ler os sentimentos de seus pilotos através do aperto nos chifres.")</f>
        <v>Skiddo é um Pokémon do tipo grama introduzido na geração 6. É conhecido como o Monte Pokémon.
Diz -se que Skiddo foi o primeiro Pokémon a viver ao lado de humanos. Tornou -se capaz de ler os sentimentos de seus pilotos através do aperto nos chifres.</v>
      </c>
      <c r="F724" s="2" t="str">
        <f ca="1">IFERROR(__xludf.DUMMYFUNCTION("GOOGLETRANSLATE(B724,""en"",""pt"")"),"Mount Pokémon")</f>
        <v>Mount Pokémon</v>
      </c>
    </row>
    <row r="725" spans="1:6" ht="15.75" customHeight="1" x14ac:dyDescent="0.25">
      <c r="A725" s="2" t="s">
        <v>2464</v>
      </c>
      <c r="B725" s="2" t="s">
        <v>2461</v>
      </c>
      <c r="C725" s="2" t="s">
        <v>2465</v>
      </c>
      <c r="D725" s="2" t="s">
        <v>2466</v>
      </c>
      <c r="E725" s="2" t="str">
        <f ca="1">IFERROR(__xludf.DUMMYFUNCTION("GOOGLETRANSLATE(D725,""en"",""pt"")"),"O GoGoat é um Pokémon do tipo grama introduzido na geração 6. É conhecido como o Monte Pokémon.
O GoGoat é tão grande que as pessoas são capazes de andar de costas. É muito calmo e pode formar um forte vínculo com os sentimentos de seu treinador quando o "&amp;"treinador agarra seus chifres.")</f>
        <v>O GoGoat é um Pokémon do tipo grama introduzido na geração 6. É conhecido como o Monte Pokémon.
O GoGoat é tão grande que as pessoas são capazes de andar de costas. É muito calmo e pode formar um forte vínculo com os sentimentos de seu treinador quando o treinador agarra seus chifres.</v>
      </c>
      <c r="F725" s="2" t="str">
        <f ca="1">IFERROR(__xludf.DUMMYFUNCTION("GOOGLETRANSLATE(B725,""en"",""pt"")"),"Mount Pokémon")</f>
        <v>Mount Pokémon</v>
      </c>
    </row>
    <row r="726" spans="1:6" ht="15.75" customHeight="1" x14ac:dyDescent="0.25">
      <c r="A726" s="2" t="s">
        <v>2467</v>
      </c>
      <c r="B726" s="2" t="s">
        <v>1273</v>
      </c>
      <c r="C726" s="2" t="s">
        <v>2468</v>
      </c>
      <c r="D726" s="2" t="s">
        <v>2469</v>
      </c>
      <c r="E726" s="2" t="str">
        <f ca="1">IFERROR(__xludf.DUMMYFUNCTION("GOOGLETRANSLATE(D726,""en"",""pt"")"),"Pancham é um Pokémon do tipo de luta introduzido na geração 6. É conhecido como Pokémon lúdico.
Com sua folha de marca registrada sempre saindo da boca, Pancham tenta intimidar seus oponentes olhando intensamente para eles (embora isso raramente seja bem "&amp;"-sucedido).")</f>
        <v>Pancham é um Pokémon do tipo de luta introduzido na geração 6. É conhecido como Pokémon lúdico.
Com sua folha de marca registrada sempre saindo da boca, Pancham tenta intimidar seus oponentes olhando intensamente para eles (embora isso raramente seja bem -sucedido).</v>
      </c>
      <c r="F726" s="2" t="str">
        <f ca="1">IFERROR(__xludf.DUMMYFUNCTION("GOOGLETRANSLATE(B726,""en"",""pt"")"),"Pokémon brincalhão")</f>
        <v>Pokémon brincalhão</v>
      </c>
    </row>
    <row r="727" spans="1:6" ht="15.75" customHeight="1" x14ac:dyDescent="0.25">
      <c r="A727" s="2" t="s">
        <v>2470</v>
      </c>
      <c r="B727" s="2" t="s">
        <v>2471</v>
      </c>
      <c r="C727" s="2" t="s">
        <v>2472</v>
      </c>
      <c r="D727" s="2" t="s">
        <v>2473</v>
      </c>
      <c r="E727" s="2" t="str">
        <f ca="1">IFERROR(__xludf.DUMMYFUNCTION("GOOGLETRANSLATE(D727,""en"",""pt"")"),"Pangoro é um Pokémon de luta/escuro introduzido na geração 6. É conhecido como Pokémon assustador.
Pangoro é um Pokémon mal -humorado, mas tem um coração forte e não perdoa aqueles que escolhem os fracos.")</f>
        <v>Pangoro é um Pokémon de luta/escuro introduzido na geração 6. É conhecido como Pokémon assustador.
Pangoro é um Pokémon mal -humorado, mas tem um coração forte e não perdoa aqueles que escolhem os fracos.</v>
      </c>
      <c r="F727" s="2" t="str">
        <f ca="1">IFERROR(__xludf.DUMMYFUNCTION("GOOGLETRANSLATE(B727,""en"",""pt"")"),"Pokémon assustador")</f>
        <v>Pokémon assustador</v>
      </c>
    </row>
    <row r="728" spans="1:6" ht="15.75" customHeight="1" x14ac:dyDescent="0.25">
      <c r="A728" s="2" t="s">
        <v>2474</v>
      </c>
      <c r="B728" s="2" t="s">
        <v>2475</v>
      </c>
      <c r="C728" s="2" t="s">
        <v>2476</v>
      </c>
      <c r="D728" s="2" t="s">
        <v>2477</v>
      </c>
      <c r="E728" s="2" t="str">
        <f ca="1">IFERROR(__xludf.DUMMYFUNCTION("GOOGLETRANSLATE(D728,""en"",""pt"")"),"Furfrou é um Pokémon do tipo normal introduzido na geração 6. É conhecido como Pokémon Poodle.
O Furfrou pode mudar sua aparência por limpeza. Há várias aparências diferentes que ele pode levar e, quanto mais se prepara, mais estilos ficam disponíveis.
O "&amp;"Furfrou também é considerado muito inteligente e leal ao seu treinador. Dizem que, nos tempos antigos, Furfrou guardava o rei de Kalos.")</f>
        <v>Furfrou é um Pokémon do tipo normal introduzido na geração 6. É conhecido como Pokémon Poodle.
O Furfrou pode mudar sua aparência por limpeza. Há várias aparências diferentes que ele pode levar e, quanto mais se prepara, mais estilos ficam disponíveis.
O Furfrou também é considerado muito inteligente e leal ao seu treinador. Dizem que, nos tempos antigos, Furfrou guardava o rei de Kalos.</v>
      </c>
      <c r="F728" s="2" t="str">
        <f ca="1">IFERROR(__xludf.DUMMYFUNCTION("GOOGLETRANSLATE(B728,""en"",""pt"")"),"Pokémon Poodle")</f>
        <v>Pokémon Poodle</v>
      </c>
    </row>
    <row r="729" spans="1:6" ht="15.75" customHeight="1" x14ac:dyDescent="0.25">
      <c r="A729" s="2" t="s">
        <v>2478</v>
      </c>
      <c r="B729" s="2" t="s">
        <v>2479</v>
      </c>
      <c r="C729" s="2" t="s">
        <v>2480</v>
      </c>
      <c r="D729" s="2" t="s">
        <v>2481</v>
      </c>
      <c r="E729" s="2" t="str">
        <f ca="1">IFERROR(__xludf.DUMMYFUNCTION("GOOGLETRANSLATE(D729,""en"",""pt"")"),"Espurr é um Pokémon do tipo psíquico introduzido na geração 6. É conhecido como Pokémon de Restima.
O órgão que emite seu intenso poder psíquico é protegido por seus ouvidos para impedir que a energia vaze.")</f>
        <v>Espurr é um Pokémon do tipo psíquico introduzido na geração 6. É conhecido como Pokémon de Restima.
O órgão que emite seu intenso poder psíquico é protegido por seus ouvidos para impedir que a energia vaze.</v>
      </c>
      <c r="F729" s="2" t="str">
        <f ca="1">IFERROR(__xludf.DUMMYFUNCTION("GOOGLETRANSLATE(B729,""en"",""pt"")"),"Pokémon de restrição")</f>
        <v>Pokémon de restrição</v>
      </c>
    </row>
    <row r="730" spans="1:6" ht="15.75" customHeight="1" x14ac:dyDescent="0.25">
      <c r="A730" s="2" t="s">
        <v>2482</v>
      </c>
      <c r="B730" s="2" t="s">
        <v>2483</v>
      </c>
      <c r="C730" s="2" t="s">
        <v>2484</v>
      </c>
      <c r="D730" s="2" t="s">
        <v>2485</v>
      </c>
      <c r="E730" s="2" t="str">
        <f ca="1">IFERROR(__xludf.DUMMYFUNCTION("GOOGLETRANSLATE(D730,""en"",""pt"")"),"Meowstic é um Pokémon do tipo psíquico introduzido na geração 6. É conhecido como Pokémon de restrição.
Meowstic é baseado em um gato. Os órgãos dentro dos ouvidos de Meowstic possuem um poder psíquico formidável, por isso geralmente os mantém fechados. M"&amp;"as quando o Meowstic é ameaçado, ele levantará seus ouvidos e liberará esse poder.
Meowstic tem formas diferentes, dependendo de seu gênero. O homem é principalmente azul e aprende movimentos mais defensivos; A fêmea é principalmente branca e aprende mais"&amp;" movimentos de ataque.")</f>
        <v>Meowstic é um Pokémon do tipo psíquico introduzido na geração 6. É conhecido como Pokémon de restrição.
Meowstic é baseado em um gato. Os órgãos dentro dos ouvidos de Meowstic possuem um poder psíquico formidável, por isso geralmente os mantém fechados. Mas quando o Meowstic é ameaçado, ele levantará seus ouvidos e liberará esse poder.
Meowstic tem formas diferentes, dependendo de seu gênero. O homem é principalmente azul e aprende movimentos mais defensivos; A fêmea é principalmente branca e aprende mais movimentos de ataque.</v>
      </c>
      <c r="F730" s="2" t="str">
        <f ca="1">IFERROR(__xludf.DUMMYFUNCTION("GOOGLETRANSLATE(B730,""en"",""pt"")"),"Pokémon de restrição")</f>
        <v>Pokémon de restrição</v>
      </c>
    </row>
    <row r="731" spans="1:6" ht="15.75" customHeight="1" x14ac:dyDescent="0.25">
      <c r="A731" s="2" t="s">
        <v>2482</v>
      </c>
      <c r="B731" s="2" t="s">
        <v>2483</v>
      </c>
      <c r="C731" s="2" t="s">
        <v>2486</v>
      </c>
      <c r="D731" s="2" t="s">
        <v>2485</v>
      </c>
      <c r="E731" s="2" t="str">
        <f ca="1">IFERROR(__xludf.DUMMYFUNCTION("GOOGLETRANSLATE(D731,""en"",""pt"")"),"Meowstic é um Pokémon do tipo psíquico introduzido na geração 6. É conhecido como Pokémon de restrição.
Meowstic é baseado em um gato. Os órgãos dentro dos ouvidos de Meowstic possuem um poder psíquico formidável, por isso geralmente os mantém fechados. M"&amp;"as quando o Meowstic é ameaçado, ele levantará seus ouvidos e liberará esse poder.
Meowstic tem formas diferentes, dependendo de seu gênero. O homem é principalmente azul e aprende movimentos mais defensivos; A fêmea é principalmente branca e aprende mais"&amp;" movimentos de ataque.")</f>
        <v>Meowstic é um Pokémon do tipo psíquico introduzido na geração 6. É conhecido como Pokémon de restrição.
Meowstic é baseado em um gato. Os órgãos dentro dos ouvidos de Meowstic possuem um poder psíquico formidável, por isso geralmente os mantém fechados. Mas quando o Meowstic é ameaçado, ele levantará seus ouvidos e liberará esse poder.
Meowstic tem formas diferentes, dependendo de seu gênero. O homem é principalmente azul e aprende movimentos mais defensivos; A fêmea é principalmente branca e aprende mais movimentos de ataque.</v>
      </c>
      <c r="F731" s="2" t="str">
        <f ca="1">IFERROR(__xludf.DUMMYFUNCTION("GOOGLETRANSLATE(B731,""en"",""pt"")"),"Pokémon de restrição")</f>
        <v>Pokémon de restrição</v>
      </c>
    </row>
    <row r="732" spans="1:6" ht="15.75" customHeight="1" x14ac:dyDescent="0.25">
      <c r="A732" s="2" t="s">
        <v>2487</v>
      </c>
      <c r="B732" s="2" t="s">
        <v>2488</v>
      </c>
      <c r="C732" s="2" t="s">
        <v>2489</v>
      </c>
      <c r="D732" s="2" t="s">
        <v>2490</v>
      </c>
      <c r="E732" s="2" t="str">
        <f ca="1">IFERROR(__xludf.DUMMYFUNCTION("GOOGLETRANSLATE(D732,""en"",""pt"")"),"Hongere é um Pokémon do tipo de aço/fantasma introduzido na geração 6. É conhecido como Pokémon da espada.")</f>
        <v>Hongere é um Pokémon do tipo de aço/fantasma introduzido na geração 6. É conhecido como Pokémon da espada.</v>
      </c>
      <c r="F732" s="2" t="str">
        <f ca="1">IFERROR(__xludf.DUMMYFUNCTION("GOOGLETRANSLATE(B732,""en"",""pt"")"),"Pokémon de espada")</f>
        <v>Pokémon de espada</v>
      </c>
    </row>
    <row r="733" spans="1:6" ht="15.75" customHeight="1" x14ac:dyDescent="0.25">
      <c r="A733" s="2" t="s">
        <v>2491</v>
      </c>
      <c r="B733" s="2" t="s">
        <v>2411</v>
      </c>
      <c r="C733" s="2" t="s">
        <v>2492</v>
      </c>
      <c r="D733" s="2" t="s">
        <v>2493</v>
      </c>
      <c r="E733" s="2" t="str">
        <f ca="1">IFERROR(__xludf.DUMMYFUNCTION("GOOGLETRANSLATE(D733,""en"",""pt"")"),"Machamp é um Pokémon do tipo de luta introduzido na geração 1. É conhecido como Pokémon Superpower.")</f>
        <v>Machamp é um Pokémon do tipo de luta introduzido na geração 1. É conhecido como Pokémon Superpower.</v>
      </c>
      <c r="F733" s="2" t="str">
        <f ca="1">IFERROR(__xludf.DUMMYFUNCTION("GOOGLETRANSLATE(B733,""en"",""pt"")"),"Pokémon de superpotência")</f>
        <v>Pokémon de superpotência</v>
      </c>
    </row>
    <row r="734" spans="1:6" ht="15.75" customHeight="1" x14ac:dyDescent="0.25">
      <c r="A734" s="2" t="s">
        <v>2494</v>
      </c>
      <c r="B734" s="2" t="s">
        <v>2488</v>
      </c>
      <c r="C734" s="2" t="s">
        <v>2495</v>
      </c>
      <c r="D734" s="2" t="s">
        <v>2496</v>
      </c>
      <c r="E734" s="2" t="str">
        <f ca="1">IFERROR(__xludf.DUMMYFUNCTION("GOOGLETRANSLATE(D734,""en"",""pt"")"),"O Doublade é um Pokémon do tipo de aço/fantasma introduzido na geração 6. É conhecido como Pokémon da espada.
A Doublade é capaz de realizar ataques intrincados, coordenando telepaticamente suas duas lâminas para entregar duas vezes a fatia em batalha.")</f>
        <v>O Doublade é um Pokémon do tipo de aço/fantasma introduzido na geração 6. É conhecido como Pokémon da espada.
A Doublade é capaz de realizar ataques intrincados, coordenando telepaticamente suas duas lâminas para entregar duas vezes a fatia em batalha.</v>
      </c>
      <c r="F734" s="2" t="str">
        <f ca="1">IFERROR(__xludf.DUMMYFUNCTION("GOOGLETRANSLATE(B734,""en"",""pt"")"),"Pokémon de espada")</f>
        <v>Pokémon de espada</v>
      </c>
    </row>
    <row r="735" spans="1:6" ht="15.75" customHeight="1" x14ac:dyDescent="0.25">
      <c r="A735" s="2" t="s">
        <v>2497</v>
      </c>
      <c r="B735" s="2" t="s">
        <v>2498</v>
      </c>
      <c r="C735" s="2" t="s">
        <v>2499</v>
      </c>
      <c r="D735" s="2" t="s">
        <v>2500</v>
      </c>
      <c r="E735" s="2" t="str">
        <f ca="1">IFERROR(__xludf.DUMMYFUNCTION("GOOGLETRANSLATE(D735,""en"",""pt"")"),"Aegislash é um Pokémon do tipo de aço/fantasma introduzido na geração 6. É conhecido como Pokémon Royal Sword.
Aegislash tem duas formas diferentes - SHIELD FORME, que é mais defensiva e lâmina, que é mais ofensiva. Sua capacidade, mudança de posição, faz"&amp;" com que Aegishhh se transforme em forma de escudo quando um movimento defensivo é usado ou se transforma em forma de lâmina quando um movimento de ataque é usado.")</f>
        <v>Aegislash é um Pokémon do tipo de aço/fantasma introduzido na geração 6. É conhecido como Pokémon Royal Sword.
Aegislash tem duas formas diferentes - SHIELD FORME, que é mais defensiva e lâmina, que é mais ofensiva. Sua capacidade, mudança de posição, faz com que Aegishhh se transforme em forma de escudo quando um movimento defensivo é usado ou se transforma em forma de lâmina quando um movimento de ataque é usado.</v>
      </c>
      <c r="F735" s="2" t="str">
        <f ca="1">IFERROR(__xludf.DUMMYFUNCTION("GOOGLETRANSLATE(B735,""en"",""pt"")"),"Pokémon da espada real")</f>
        <v>Pokémon da espada real</v>
      </c>
    </row>
    <row r="736" spans="1:6" ht="15.75" customHeight="1" x14ac:dyDescent="0.25">
      <c r="A736" s="2" t="s">
        <v>2497</v>
      </c>
      <c r="B736" s="2" t="s">
        <v>2498</v>
      </c>
      <c r="C736" s="2" t="s">
        <v>2501</v>
      </c>
      <c r="D736" s="2" t="s">
        <v>2500</v>
      </c>
      <c r="E736" s="2" t="str">
        <f ca="1">IFERROR(__xludf.DUMMYFUNCTION("GOOGLETRANSLATE(D736,""en"",""pt"")"),"Aegislash é um Pokémon do tipo de aço/fantasma introduzido na geração 6. É conhecido como Pokémon Royal Sword.
Aegislash tem duas formas diferentes - SHIELD FORME, que é mais defensiva e lâmina, que é mais ofensiva. Sua capacidade, mudança de posição, faz"&amp;" com que Aegishhh se transforme em forma de escudo quando um movimento defensivo é usado ou se transforma em forma de lâmina quando um movimento de ataque é usado.")</f>
        <v>Aegislash é um Pokémon do tipo de aço/fantasma introduzido na geração 6. É conhecido como Pokémon Royal Sword.
Aegislash tem duas formas diferentes - SHIELD FORME, que é mais defensiva e lâmina, que é mais ofensiva. Sua capacidade, mudança de posição, faz com que Aegishhh se transforme em forma de escudo quando um movimento defensivo é usado ou se transforma em forma de lâmina quando um movimento de ataque é usado.</v>
      </c>
      <c r="F736" s="2" t="str">
        <f ca="1">IFERROR(__xludf.DUMMYFUNCTION("GOOGLETRANSLATE(B736,""en"",""pt"")"),"Pokémon da espada real")</f>
        <v>Pokémon da espada real</v>
      </c>
    </row>
    <row r="737" spans="1:6" ht="15.75" customHeight="1" x14ac:dyDescent="0.25">
      <c r="A737" s="2" t="s">
        <v>2502</v>
      </c>
      <c r="B737" s="2" t="s">
        <v>2503</v>
      </c>
      <c r="C737" s="2" t="s">
        <v>2504</v>
      </c>
      <c r="D737" s="2" t="s">
        <v>2505</v>
      </c>
      <c r="E737" s="2" t="str">
        <f ca="1">IFERROR(__xludf.DUMMYFUNCTION("GOOGLETRANSLATE(D737,""en"",""pt"")"),"Spritzee é um Pokémon do tipo de fada introduzido na geração 6. É conhecido como Pokémon de perfume.
Emite uma fragrância única de seu corpo, e qualquer um que cheire a cair sob seu feitiço.")</f>
        <v>Spritzee é um Pokémon do tipo de fada introduzido na geração 6. É conhecido como Pokémon de perfume.
Emite uma fragrância única de seu corpo, e qualquer um que cheire a cair sob seu feitiço.</v>
      </c>
      <c r="F737" s="2" t="str">
        <f ca="1">IFERROR(__xludf.DUMMYFUNCTION("GOOGLETRANSLATE(B737,""en"",""pt"")"),"Pokémon de perfume")</f>
        <v>Pokémon de perfume</v>
      </c>
    </row>
    <row r="738" spans="1:6" ht="15.75" customHeight="1" x14ac:dyDescent="0.25">
      <c r="A738" s="2" t="s">
        <v>2506</v>
      </c>
      <c r="B738" s="2" t="s">
        <v>2507</v>
      </c>
      <c r="C738" s="2" t="s">
        <v>2508</v>
      </c>
      <c r="D738" s="2" t="s">
        <v>2509</v>
      </c>
      <c r="E738" s="2" t="str">
        <f ca="1">IFERROR(__xludf.DUMMYFUNCTION("GOOGLETRANSLATE(D738,""en"",""pt"")"),"Aromatisse é um Pokémon do tipo de fada introduzido na geração 6. É conhecido como Pokémon de fragrância.
O Aromatisse pode emitir uma variedade de cheiros diferentes, de uma fragrância agradável a um odor tão repugnante ao seu oponente que pode mudar uma"&amp;" batalha a seu favor.")</f>
        <v>Aromatisse é um Pokémon do tipo de fada introduzido na geração 6. É conhecido como Pokémon de fragrância.
O Aromatisse pode emitir uma variedade de cheiros diferentes, de uma fragrância agradável a um odor tão repugnante ao seu oponente que pode mudar uma batalha a seu favor.</v>
      </c>
      <c r="F738" s="2" t="str">
        <f ca="1">IFERROR(__xludf.DUMMYFUNCTION("GOOGLETRANSLATE(B738,""en"",""pt"")"),"Pokémon de fragrância")</f>
        <v>Pokémon de fragrância</v>
      </c>
    </row>
    <row r="739" spans="1:6" ht="15.75" customHeight="1" x14ac:dyDescent="0.25">
      <c r="A739" s="2" t="s">
        <v>2510</v>
      </c>
      <c r="B739" s="2" t="s">
        <v>2511</v>
      </c>
      <c r="C739" s="2" t="s">
        <v>2512</v>
      </c>
      <c r="D739" s="2" t="s">
        <v>2513</v>
      </c>
      <c r="E739" s="2" t="str">
        <f ca="1">IFERROR(__xludf.DUMMYFUNCTION("GOOGLETRANSLATE(D739,""en"",""pt"")"),"O Swirlix é um Pokémon do tipo fada introduzido na geração 6. É conhecido como Pokémon Cotton Candy.
Ele adora doces e não come mais nada, tornando seu corpo tão doce e pegajoso quanto algodão doce.")</f>
        <v>O Swirlix é um Pokémon do tipo fada introduzido na geração 6. É conhecido como Pokémon Cotton Candy.
Ele adora doces e não come mais nada, tornando seu corpo tão doce e pegajoso quanto algodão doce.</v>
      </c>
      <c r="F739" s="2" t="str">
        <f ca="1">IFERROR(__xludf.DUMMYFUNCTION("GOOGLETRANSLATE(B739,""en"",""pt"")"),"Pokémon de algodão doce")</f>
        <v>Pokémon de algodão doce</v>
      </c>
    </row>
    <row r="740" spans="1:6" ht="15.75" customHeight="1" x14ac:dyDescent="0.25">
      <c r="A740" s="2" t="s">
        <v>2514</v>
      </c>
      <c r="B740" s="2" t="s">
        <v>2515</v>
      </c>
      <c r="C740" s="2" t="s">
        <v>2516</v>
      </c>
      <c r="D740" s="2" t="s">
        <v>2517</v>
      </c>
      <c r="E740" s="2" t="str">
        <f ca="1">IFERROR(__xludf.DUMMYFUNCTION("GOOGLETRANSLATE(D740,""en"",""pt"")"),"O Slurpuff é um Pokémon do tipo fada introduzido na geração 6. É conhecido como Pokémon Meringue.
Slurpuff tem um olfato inacreditável - cem milhões de vezes mais sensível que o dos humanos. Com seus sentidos altamente sintonizados, ele pode distinguir os"&amp;" mais fracos odores.")</f>
        <v>O Slurpuff é um Pokémon do tipo fada introduzido na geração 6. É conhecido como Pokémon Meringue.
Slurpuff tem um olfato inacreditável - cem milhões de vezes mais sensível que o dos humanos. Com seus sentidos altamente sintonizados, ele pode distinguir os mais fracos odores.</v>
      </c>
      <c r="F740" s="2" t="str">
        <f ca="1">IFERROR(__xludf.DUMMYFUNCTION("GOOGLETRANSLATE(B740,""en"",""pt"")"),"Pokémon de merengue")</f>
        <v>Pokémon de merengue</v>
      </c>
    </row>
    <row r="741" spans="1:6" ht="15.75" customHeight="1" x14ac:dyDescent="0.25">
      <c r="A741" s="2" t="s">
        <v>2518</v>
      </c>
      <c r="B741" s="2" t="s">
        <v>2519</v>
      </c>
      <c r="C741" s="2" t="s">
        <v>2520</v>
      </c>
      <c r="D741" s="2" t="s">
        <v>2521</v>
      </c>
      <c r="E741" s="2" t="str">
        <f ca="1">IFERROR(__xludf.DUMMYFUNCTION("GOOGLETRANSLATE(D741,""en"",""pt"")"),"Inkay é um Pokémon do tipo escuro/psíquico introduzido na geração 6. É conhecido como Pokémon giratório.
Os transmissores acima dos olhos de Inkay têm a capacidade de drenar a vontade de lutar de outros Pokémon. Ele usa essa habilidade para correr e se es"&amp;"conder quando atacada por inimigos mais fortes.")</f>
        <v>Inkay é um Pokémon do tipo escuro/psíquico introduzido na geração 6. É conhecido como Pokémon giratório.
Os transmissores acima dos olhos de Inkay têm a capacidade de drenar a vontade de lutar de outros Pokémon. Ele usa essa habilidade para correr e se esconder quando atacada por inimigos mais fortes.</v>
      </c>
      <c r="F741" s="2" t="str">
        <f ca="1">IFERROR(__xludf.DUMMYFUNCTION("GOOGLETRANSLATE(B741,""en"",""pt"")"),"Pokémon giratório")</f>
        <v>Pokémon giratório</v>
      </c>
    </row>
    <row r="742" spans="1:6" ht="15.75" customHeight="1" x14ac:dyDescent="0.25">
      <c r="A742" s="2" t="s">
        <v>2522</v>
      </c>
      <c r="B742" s="2" t="s">
        <v>2523</v>
      </c>
      <c r="C742" s="2" t="s">
        <v>2524</v>
      </c>
      <c r="D742" s="2" t="s">
        <v>2525</v>
      </c>
      <c r="E742" s="2" t="str">
        <f ca="1">IFERROR(__xludf.DUMMYFUNCTION("GOOGLETRANSLATE(D742,""en"",""pt"")"),"Malamar é um Pokémon do tipo escuro/psíquico introduzido na geração 6. É conhecido como Pokémon capoting.
Malamar empunha alguns dos poderes hipnóticos mais fortes de qualquer Pokémon e pode fazer com que seus oponentes se dobrem à sua vontade.")</f>
        <v>Malamar é um Pokémon do tipo escuro/psíquico introduzido na geração 6. É conhecido como Pokémon capoting.
Malamar empunha alguns dos poderes hipnóticos mais fortes de qualquer Pokémon e pode fazer com que seus oponentes se dobrem à sua vontade.</v>
      </c>
      <c r="F742" s="2" t="str">
        <f ca="1">IFERROR(__xludf.DUMMYFUNCTION("GOOGLETRANSLATE(B742,""en"",""pt"")"),"Derrubando Pokémon")</f>
        <v>Derrubando Pokémon</v>
      </c>
    </row>
    <row r="743" spans="1:6" ht="15.75" customHeight="1" x14ac:dyDescent="0.25">
      <c r="A743" s="2" t="s">
        <v>2526</v>
      </c>
      <c r="B743" s="2" t="s">
        <v>2527</v>
      </c>
      <c r="C743" s="2" t="s">
        <v>2528</v>
      </c>
      <c r="D743" s="2" t="s">
        <v>2529</v>
      </c>
      <c r="E743" s="2" t="str">
        <f ca="1">IFERROR(__xludf.DUMMYFUNCTION("GOOGLETRANSLATE(D743,""en"",""pt"")"),"Binacle é um Pokémon do tipo rocha/água introduzido na geração 6. É conhecido como o Pokémon de duas mãos.")</f>
        <v>Binacle é um Pokémon do tipo rocha/água introduzido na geração 6. É conhecido como o Pokémon de duas mãos.</v>
      </c>
      <c r="F743" s="2" t="str">
        <f ca="1">IFERROR(__xludf.DUMMYFUNCTION("GOOGLETRANSLATE(B743,""en"",""pt"")"),"Pokémon de duas mãos")</f>
        <v>Pokémon de duas mãos</v>
      </c>
    </row>
    <row r="744" spans="1:6" ht="15.75" customHeight="1" x14ac:dyDescent="0.25">
      <c r="A744" s="2" t="s">
        <v>2530</v>
      </c>
      <c r="B744" s="2" t="s">
        <v>2531</v>
      </c>
      <c r="C744" s="2" t="s">
        <v>2532</v>
      </c>
      <c r="D744" s="2" t="s">
        <v>2533</v>
      </c>
      <c r="E744" s="2" t="str">
        <f ca="1">IFERROR(__xludf.DUMMYFUNCTION("GOOGLETRANSLATE(D744,""en"",""pt"")"),"Barbaracle é um Pokémon do tipo rocha/água introduzido na geração 6. É conhecido como Pokémon coletivo.")</f>
        <v>Barbaracle é um Pokémon do tipo rocha/água introduzido na geração 6. É conhecido como Pokémon coletivo.</v>
      </c>
      <c r="F744" s="2" t="str">
        <f ca="1">IFERROR(__xludf.DUMMYFUNCTION("GOOGLETRANSLATE(B744,""en"",""pt"")"),"Pokémon coletivo")</f>
        <v>Pokémon coletivo</v>
      </c>
    </row>
    <row r="745" spans="1:6" ht="15.75" customHeight="1" x14ac:dyDescent="0.25">
      <c r="A745" s="2" t="s">
        <v>2534</v>
      </c>
      <c r="B745" s="2" t="s">
        <v>361</v>
      </c>
      <c r="C745" s="2" t="s">
        <v>2535</v>
      </c>
      <c r="D745" s="2" t="s">
        <v>2536</v>
      </c>
      <c r="E745" s="2" t="str">
        <f ca="1">IFERROR(__xludf.DUMMYFUNCTION("GOOGLETRANSLATE(D745,""en"",""pt"")"),"Bellsprout é um Pokémon do tipo grama/veneno introduzido na geração 1. É conhecido como Pokémon Flower.")</f>
        <v>Bellsprout é um Pokémon do tipo grama/veneno introduzido na geração 1. É conhecido como Pokémon Flower.</v>
      </c>
      <c r="F745" s="2" t="str">
        <f ca="1">IFERROR(__xludf.DUMMYFUNCTION("GOOGLETRANSLATE(B745,""en"",""pt"")"),"Pokémon de flor")</f>
        <v>Pokémon de flor</v>
      </c>
    </row>
    <row r="746" spans="1:6" ht="15.75" customHeight="1" x14ac:dyDescent="0.25">
      <c r="A746" s="2" t="s">
        <v>2537</v>
      </c>
      <c r="B746" s="2" t="s">
        <v>2538</v>
      </c>
      <c r="C746" s="2" t="s">
        <v>2539</v>
      </c>
      <c r="D746" s="2" t="s">
        <v>2540</v>
      </c>
      <c r="E746" s="2" t="str">
        <f ca="1">IFERROR(__xludf.DUMMYFUNCTION("GOOGLETRANSLATE(D746,""en"",""pt"")"),"O Skrelp é um Pokémon do tipo veneno/água introduzido na geração 6. É conhecido como o Pokémon Mock Kelp.
Disfarçado por sua forma, Skrelp finge ser um pedaço de algas marinhas. Quando Prey chega muito perto, Skrelp banha -o em veneno para impedir que ele"&amp;" lute.")</f>
        <v>O Skrelp é um Pokémon do tipo veneno/água introduzido na geração 6. É conhecido como o Pokémon Mock Kelp.
Disfarçado por sua forma, Skrelp finge ser um pedaço de algas marinhas. Quando Prey chega muito perto, Skrelp banha -o em veneno para impedir que ele lute.</v>
      </c>
      <c r="F746" s="2" t="str">
        <f ca="1">IFERROR(__xludf.DUMMYFUNCTION("GOOGLETRANSLATE(B746,""en"",""pt"")"),"Mock Kelp Pokémon")</f>
        <v>Mock Kelp Pokémon</v>
      </c>
    </row>
    <row r="747" spans="1:6" ht="15.75" customHeight="1" x14ac:dyDescent="0.25">
      <c r="A747" s="2" t="s">
        <v>2541</v>
      </c>
      <c r="B747" s="2" t="s">
        <v>2538</v>
      </c>
      <c r="C747" s="2" t="s">
        <v>2542</v>
      </c>
      <c r="D747" s="2" t="s">
        <v>2543</v>
      </c>
      <c r="E747" s="2" t="str">
        <f ca="1">IFERROR(__xludf.DUMMYFUNCTION("GOOGLETRANSLATE(D747,""en"",""pt"")"),"Dragalge é um Pokémon do tipo veneno/dragão introduzido na geração 6. É conhecido como o Pokémon de Kelp simulado.
Os contos são contados sobre navios que entram em mares onde Dragalge vive, para nunca mais voltar.
Quando o Dragalge evolui do Skrelp, perd"&amp;"e seu tipo de água e ganha o tipo de dragão.")</f>
        <v>Dragalge é um Pokémon do tipo veneno/dragão introduzido na geração 6. É conhecido como o Pokémon de Kelp simulado.
Os contos são contados sobre navios que entram em mares onde Dragalge vive, para nunca mais voltar.
Quando o Dragalge evolui do Skrelp, perde seu tipo de água e ganha o tipo de dragão.</v>
      </c>
      <c r="F747" s="2" t="str">
        <f ca="1">IFERROR(__xludf.DUMMYFUNCTION("GOOGLETRANSLATE(B747,""en"",""pt"")"),"Mock Kelp Pokémon")</f>
        <v>Mock Kelp Pokémon</v>
      </c>
    </row>
    <row r="748" spans="1:6" ht="15.75" customHeight="1" x14ac:dyDescent="0.25">
      <c r="A748" s="2" t="s">
        <v>2544</v>
      </c>
      <c r="B748" s="2" t="s">
        <v>2545</v>
      </c>
      <c r="C748" s="2" t="s">
        <v>2546</v>
      </c>
      <c r="D748" s="2" t="s">
        <v>2547</v>
      </c>
      <c r="E748" s="2" t="str">
        <f ca="1">IFERROR(__xludf.DUMMYFUNCTION("GOOGLETRANSLATE(D748,""en"",""pt"")"),"Clauncher é um Pokémon do tipo água introduzido na geração 6. É conhecido como Pokémon da pistola de água.
Tem uma garra de grandes dimensões em um de seus braços. Esta garra útil pode apreender presa e atirar água em outras pessoas como um projétil.")</f>
        <v>Clauncher é um Pokémon do tipo água introduzido na geração 6. É conhecido como Pokémon da pistola de água.
Tem uma garra de grandes dimensões em um de seus braços. Esta garra útil pode apreender presa e atirar água em outras pessoas como um projétil.</v>
      </c>
      <c r="F748" s="2" t="str">
        <f ca="1">IFERROR(__xludf.DUMMYFUNCTION("GOOGLETRANSLATE(B748,""en"",""pt"")"),"Pokémon da pistola de água")</f>
        <v>Pokémon da pistola de água</v>
      </c>
    </row>
    <row r="749" spans="1:6" ht="15.75" customHeight="1" x14ac:dyDescent="0.25">
      <c r="A749" s="2" t="s">
        <v>2548</v>
      </c>
      <c r="B749" s="2" t="s">
        <v>2549</v>
      </c>
      <c r="C749" s="2" t="s">
        <v>2550</v>
      </c>
      <c r="D749" s="2" t="s">
        <v>2551</v>
      </c>
      <c r="E749" s="2" t="str">
        <f ca="1">IFERROR(__xludf.DUMMYFUNCTION("GOOGLETRANSLATE(D749,""en"",""pt"")"),"Clawitzer é um Pokémon do tipo água introduzido na geração 6. É conhecido como Pokémon Howitzer.")</f>
        <v>Clawitzer é um Pokémon do tipo água introduzido na geração 6. É conhecido como Pokémon Howitzer.</v>
      </c>
      <c r="F749" s="2" t="str">
        <f ca="1">IFERROR(__xludf.DUMMYFUNCTION("GOOGLETRANSLATE(B749,""en"",""pt"")"),"Pokémon de obus")</f>
        <v>Pokémon de obus</v>
      </c>
    </row>
    <row r="750" spans="1:6" ht="15.75" customHeight="1" x14ac:dyDescent="0.25">
      <c r="A750" s="2" t="s">
        <v>2552</v>
      </c>
      <c r="B750" s="2" t="s">
        <v>2553</v>
      </c>
      <c r="C750" s="2" t="s">
        <v>2554</v>
      </c>
      <c r="D750" s="2" t="s">
        <v>2555</v>
      </c>
      <c r="E750" s="2" t="str">
        <f ca="1">IFERROR(__xludf.DUMMYFUNCTION("GOOGLETRANSLATE(D750,""en"",""pt"")"),"O Helioptile é um Pokémon elétrico/normal introduzido na geração 6. É conhecido como Pokémon do gerador.
Ele se carrega tomando banho à luz do sol, fornecendo energia suficiente para que não precise comer.")</f>
        <v>O Helioptile é um Pokémon elétrico/normal introduzido na geração 6. É conhecido como Pokémon do gerador.
Ele se carrega tomando banho à luz do sol, fornecendo energia suficiente para que não precise comer.</v>
      </c>
      <c r="F750" s="2" t="str">
        <f ca="1">IFERROR(__xludf.DUMMYFUNCTION("GOOGLETRANSLATE(B750,""en"",""pt"")"),"Pokémon do gerador")</f>
        <v>Pokémon do gerador</v>
      </c>
    </row>
    <row r="751" spans="1:6" ht="15.75" customHeight="1" x14ac:dyDescent="0.25">
      <c r="A751" s="2" t="s">
        <v>2556</v>
      </c>
      <c r="B751" s="2" t="s">
        <v>2553</v>
      </c>
      <c r="C751" s="2" t="s">
        <v>2557</v>
      </c>
      <c r="D751" s="2" t="s">
        <v>2558</v>
      </c>
      <c r="E751" s="2" t="str">
        <f ca="1">IFERROR(__xludf.DUMMYFUNCTION("GOOGLETRANSLATE(D751,""en"",""pt"")"),"O Heliolisk é um Pokémon elétrico/normal introduzido na geração 6. É conhecido como Pokémon do gerador.")</f>
        <v>O Heliolisk é um Pokémon elétrico/normal introduzido na geração 6. É conhecido como Pokémon do gerador.</v>
      </c>
      <c r="F751" s="2" t="str">
        <f ca="1">IFERROR(__xludf.DUMMYFUNCTION("GOOGLETRANSLATE(B751,""en"",""pt"")"),"Pokémon do gerador")</f>
        <v>Pokémon do gerador</v>
      </c>
    </row>
    <row r="752" spans="1:6" ht="15.75" customHeight="1" x14ac:dyDescent="0.25">
      <c r="A752" s="2" t="s">
        <v>2559</v>
      </c>
      <c r="B752" s="2" t="s">
        <v>2560</v>
      </c>
      <c r="C752" s="2" t="s">
        <v>2561</v>
      </c>
      <c r="D752" s="2" t="s">
        <v>2562</v>
      </c>
      <c r="E752" s="2" t="str">
        <f ca="1">IFERROR(__xludf.DUMMYFUNCTION("GOOGLETRANSLATE(D752,""en"",""pt"")"),"Tirunt é um Pokémon do tipo rock/dragão introduzido na geração 6. É conhecido como o herdeiro real Pokémon.
Acredita -se que Tyrunt tenha mais de cem milhões de anos. O Pokémon é conhecido por ser um pouco egoísta e se encaixará quando não gostar de algo."&amp;"
Tirunt é obtido revivendo -o do fóssil da mandíbula.")</f>
        <v>Tirunt é um Pokémon do tipo rock/dragão introduzido na geração 6. É conhecido como o herdeiro real Pokémon.
Acredita -se que Tyrunt tenha mais de cem milhões de anos. O Pokémon é conhecido por ser um pouco egoísta e se encaixará quando não gostar de algo.
Tirunt é obtido revivendo -o do fóssil da mandíbula.</v>
      </c>
      <c r="F752" s="2" t="str">
        <f ca="1">IFERROR(__xludf.DUMMYFUNCTION("GOOGLETRANSLATE(B752,""en"",""pt"")"),"Pokémon de herdeiro real")</f>
        <v>Pokémon de herdeiro real</v>
      </c>
    </row>
    <row r="753" spans="1:6" ht="15.75" customHeight="1" x14ac:dyDescent="0.25">
      <c r="A753" s="2" t="s">
        <v>2563</v>
      </c>
      <c r="B753" s="2" t="s">
        <v>2564</v>
      </c>
      <c r="C753" s="2" t="s">
        <v>2565</v>
      </c>
      <c r="D753" s="2" t="s">
        <v>2566</v>
      </c>
      <c r="E753" s="2" t="str">
        <f ca="1">IFERROR(__xludf.DUMMYFUNCTION("GOOGLETRANSLATE(D753,""en"",""pt"")"),"O Tyrantrum é um Pokémon do tipo rock/dragão introduzido na geração 6. É conhecido como Pokémon de Déspota.
As mandíbulas de Tyrantrum podem rasgar placas de metal grossas como se fossem papel.")</f>
        <v>O Tyrantrum é um Pokémon do tipo rock/dragão introduzido na geração 6. É conhecido como Pokémon de Déspota.
As mandíbulas de Tyrantrum podem rasgar placas de metal grossas como se fossem papel.</v>
      </c>
      <c r="F753" s="2" t="str">
        <f ca="1">IFERROR(__xludf.DUMMYFUNCTION("GOOGLETRANSLATE(B753,""en"",""pt"")"),"Pokémon de déspota")</f>
        <v>Pokémon de déspota</v>
      </c>
    </row>
    <row r="754" spans="1:6" ht="15.75" customHeight="1" x14ac:dyDescent="0.25">
      <c r="A754" s="2" t="s">
        <v>2567</v>
      </c>
      <c r="B754" s="2" t="s">
        <v>2568</v>
      </c>
      <c r="C754" s="2" t="s">
        <v>2569</v>
      </c>
      <c r="D754" s="2" t="s">
        <v>2570</v>
      </c>
      <c r="E754" s="2" t="str">
        <f ca="1">IFERROR(__xludf.DUMMYFUNCTION("GOOGLETRANSLATE(D754,""en"",""pt"")"),"Amaura é um Pokémon do tipo rock/gelo introduzido na geração 6. É conhecido como Pokémon Tundra.
Acredita -se que Amaura tenha mais de cem milhões de anos.
Amaura é obtida revivendo -o do fóssil da vela.")</f>
        <v>Amaura é um Pokémon do tipo rock/gelo introduzido na geração 6. É conhecido como Pokémon Tundra.
Acredita -se que Amaura tenha mais de cem milhões de anos.
Amaura é obtida revivendo -o do fóssil da vela.</v>
      </c>
      <c r="F754" s="2" t="str">
        <f ca="1">IFERROR(__xludf.DUMMYFUNCTION("GOOGLETRANSLATE(B754,""en"",""pt"")"),"Tundra Pokémon")</f>
        <v>Tundra Pokémon</v>
      </c>
    </row>
    <row r="755" spans="1:6" ht="15.75" customHeight="1" x14ac:dyDescent="0.25">
      <c r="A755" s="2" t="s">
        <v>2571</v>
      </c>
      <c r="B755" s="2" t="s">
        <v>2568</v>
      </c>
      <c r="C755" s="2" t="s">
        <v>2572</v>
      </c>
      <c r="D755" s="2" t="s">
        <v>2573</v>
      </c>
      <c r="E755" s="2" t="str">
        <f ca="1">IFERROR(__xludf.DUMMYFUNCTION("GOOGLETRANSLATE(D755,""en"",""pt"")"),"Aurorus é um Pokémon do tipo rocha/gelo introduzido na geração 6. É conhecido como Pokémon Tundra.
Aurorus pode explodir o ar frio congelante para formar uma parede de gelo para se proteger de ataques.")</f>
        <v>Aurorus é um Pokémon do tipo rocha/gelo introduzido na geração 6. É conhecido como Pokémon Tundra.
Aurorus pode explodir o ar frio congelante para formar uma parede de gelo para se proteger de ataques.</v>
      </c>
      <c r="F755" s="2" t="str">
        <f ca="1">IFERROR(__xludf.DUMMYFUNCTION("GOOGLETRANSLATE(B755,""en"",""pt"")"),"Tundra Pokémon")</f>
        <v>Tundra Pokémon</v>
      </c>
    </row>
    <row r="756" spans="1:6" ht="15.75" customHeight="1" x14ac:dyDescent="0.25">
      <c r="A756" s="2" t="s">
        <v>2574</v>
      </c>
      <c r="B756" s="2" t="s">
        <v>2575</v>
      </c>
      <c r="C756" s="2" t="s">
        <v>2576</v>
      </c>
      <c r="D756" s="2" t="s">
        <v>2577</v>
      </c>
      <c r="E756" s="2" t="str">
        <f ca="1">IFERROR(__xludf.DUMMYFUNCTION("GOOGLETRANSLATE(D756,""en"",""pt"")"),"Squirtle é um Pokémon do tipo água introduzido na geração 1. É conhecido como o pequeno Pokémon de tartaruga.")</f>
        <v>Squirtle é um Pokémon do tipo água introduzido na geração 1. É conhecido como o pequeno Pokémon de tartaruga.</v>
      </c>
      <c r="F756" s="2" t="str">
        <f ca="1">IFERROR(__xludf.DUMMYFUNCTION("GOOGLETRANSLATE(B756,""en"",""pt"")"),"Pequeno Pokémon de Tartaruga")</f>
        <v>Pequeno Pokémon de Tartaruga</v>
      </c>
    </row>
    <row r="757" spans="1:6" ht="15.75" customHeight="1" x14ac:dyDescent="0.25">
      <c r="A757" s="2" t="s">
        <v>2578</v>
      </c>
      <c r="B757" s="2" t="s">
        <v>2579</v>
      </c>
      <c r="C757" s="2" t="s">
        <v>2580</v>
      </c>
      <c r="D757" s="2" t="s">
        <v>2581</v>
      </c>
      <c r="E757" s="2" t="str">
        <f ca="1">IFERROR(__xludf.DUMMYFUNCTION("GOOGLETRANSLATE(D757,""en"",""pt"")"),"Weepinbell é um Pokémon do tipo grama/veneno introduzido na geração 1. É conhecido como Pokémon Flycatcher.")</f>
        <v>Weepinbell é um Pokémon do tipo grama/veneno introduzido na geração 1. É conhecido como Pokémon Flycatcher.</v>
      </c>
      <c r="F757" s="2" t="str">
        <f ca="1">IFERROR(__xludf.DUMMYFUNCTION("GOOGLETRANSLATE(B757,""en"",""pt"")"),"Pokémon Flycatcher")</f>
        <v>Pokémon Flycatcher</v>
      </c>
    </row>
    <row r="758" spans="1:6" ht="15.75" customHeight="1" x14ac:dyDescent="0.25">
      <c r="A758" s="2" t="s">
        <v>2582</v>
      </c>
      <c r="B758" s="2" t="s">
        <v>2583</v>
      </c>
      <c r="C758" s="2" t="s">
        <v>2584</v>
      </c>
      <c r="D758" s="2" t="s">
        <v>2585</v>
      </c>
      <c r="E758" s="2" t="str">
        <f ca="1">IFERROR(__xludf.DUMMYFUNCTION("GOOGLETRANSLATE(D758,""en"",""pt"")"),"Sylveon é um Pokémon do tipo de fada introduzido na geração 6. É conhecido como Pokémon entrelaçados.")</f>
        <v>Sylveon é um Pokémon do tipo de fada introduzido na geração 6. É conhecido como Pokémon entrelaçados.</v>
      </c>
      <c r="F758" s="2" t="str">
        <f ca="1">IFERROR(__xludf.DUMMYFUNCTION("GOOGLETRANSLATE(B758,""en"",""pt"")"),"Pokémon entrelaçados")</f>
        <v>Pokémon entrelaçados</v>
      </c>
    </row>
    <row r="759" spans="1:6" ht="15.75" customHeight="1" x14ac:dyDescent="0.25">
      <c r="A759" s="2" t="s">
        <v>2586</v>
      </c>
      <c r="B759" s="2" t="s">
        <v>2587</v>
      </c>
      <c r="C759" s="2" t="s">
        <v>2588</v>
      </c>
      <c r="D759" s="2" t="s">
        <v>2589</v>
      </c>
      <c r="E759" s="2" t="str">
        <f ca="1">IFERROR(__xludf.DUMMYFUNCTION("GOOGLETRANSLATE(D759,""en"",""pt"")"),"Hawlucha é um Pokémon do tipo de luta/vôo introduzido na geração 6. É conhecido como Pokémon de luta livre.")</f>
        <v>Hawlucha é um Pokémon do tipo de luta/vôo introduzido na geração 6. É conhecido como Pokémon de luta livre.</v>
      </c>
      <c r="F759" s="2" t="str">
        <f ca="1">IFERROR(__xludf.DUMMYFUNCTION("GOOGLETRANSLATE(B759,""en"",""pt"")"),"Pokémon de luta livre")</f>
        <v>Pokémon de luta livre</v>
      </c>
    </row>
    <row r="760" spans="1:6" ht="15.75" customHeight="1" x14ac:dyDescent="0.25">
      <c r="A760" s="2" t="s">
        <v>2590</v>
      </c>
      <c r="B760" s="2" t="s">
        <v>2591</v>
      </c>
      <c r="C760" s="2" t="s">
        <v>2592</v>
      </c>
      <c r="D760" s="2" t="s">
        <v>2593</v>
      </c>
      <c r="E760" s="2" t="str">
        <f ca="1">IFERROR(__xludf.DUMMYFUNCTION("GOOGLETRANSLATE(D760,""en"",""pt"")"),"Dedenne é um Pokémon elétrico/de fada introduzido na geração 6. É conhecido como Pokémon da Antena.
Ao emitir ondas de rádio de seus bigodes em forma de antena, ele pode se comunicar com aliados distantes. A Dedenne também pode conectar sua cauda em ponto"&amp;"s de venda para drenar a eletricidade deles.")</f>
        <v>Dedenne é um Pokémon elétrico/de fada introduzido na geração 6. É conhecido como Pokémon da Antena.
Ao emitir ondas de rádio de seus bigodes em forma de antena, ele pode se comunicar com aliados distantes. A Dedenne também pode conectar sua cauda em pontos de venda para drenar a eletricidade deles.</v>
      </c>
      <c r="F760" s="2" t="str">
        <f ca="1">IFERROR(__xludf.DUMMYFUNCTION("GOOGLETRANSLATE(B760,""en"",""pt"")"),"Pokémon da antena")</f>
        <v>Pokémon da antena</v>
      </c>
    </row>
    <row r="761" spans="1:6" ht="15.75" customHeight="1" x14ac:dyDescent="0.25">
      <c r="A761" s="2" t="s">
        <v>2594</v>
      </c>
      <c r="B761" s="2" t="s">
        <v>2595</v>
      </c>
      <c r="C761" s="2" t="s">
        <v>2596</v>
      </c>
      <c r="D761" s="2" t="s">
        <v>2597</v>
      </c>
      <c r="E761" s="2" t="str">
        <f ca="1">IFERROR(__xludf.DUMMYFUNCTION("GOOGLETRANSLATE(D761,""en"",""pt"")"),"Carbink é um Pokémon do tipo rock/fada introduzido na geração 6. É conhecido como Pokémon Jewel.")</f>
        <v>Carbink é um Pokémon do tipo rock/fada introduzido na geração 6. É conhecido como Pokémon Jewel.</v>
      </c>
      <c r="F761" s="2" t="str">
        <f ca="1">IFERROR(__xludf.DUMMYFUNCTION("GOOGLETRANSLATE(B761,""en"",""pt"")"),"Jóia Pokémon")</f>
        <v>Jóia Pokémon</v>
      </c>
    </row>
    <row r="762" spans="1:6" ht="15.75" customHeight="1" x14ac:dyDescent="0.25">
      <c r="A762" s="2" t="s">
        <v>2598</v>
      </c>
      <c r="B762" s="2" t="s">
        <v>2599</v>
      </c>
      <c r="C762" s="2" t="s">
        <v>2600</v>
      </c>
      <c r="D762" s="2" t="s">
        <v>2601</v>
      </c>
      <c r="E762" s="2" t="str">
        <f ca="1">IFERROR(__xludf.DUMMYFUNCTION("GOOGLETRANSLATE(D762,""en"",""pt"")"),"Goomy é um Pokémon do tipo dragão introduzido na geração 6. É conhecido como Pokémon de tecidos moles.
O Goomy é coberto por uma membrana viscosa que faz com que os socos ou chutes deslizem inofensivamente.")</f>
        <v>Goomy é um Pokémon do tipo dragão introduzido na geração 6. É conhecido como Pokémon de tecidos moles.
O Goomy é coberto por uma membrana viscosa que faz com que os socos ou chutes deslizem inofensivamente.</v>
      </c>
      <c r="F762" s="2" t="str">
        <f ca="1">IFERROR(__xludf.DUMMYFUNCTION("GOOGLETRANSLATE(B762,""en"",""pt"")"),"Pokémon de tecidos moles")</f>
        <v>Pokémon de tecidos moles</v>
      </c>
    </row>
    <row r="763" spans="1:6" ht="15.75" customHeight="1" x14ac:dyDescent="0.25">
      <c r="A763" s="2" t="s">
        <v>2602</v>
      </c>
      <c r="B763" s="2" t="s">
        <v>2599</v>
      </c>
      <c r="C763" s="2" t="s">
        <v>2603</v>
      </c>
      <c r="D763" s="2" t="s">
        <v>2604</v>
      </c>
      <c r="E763" s="2" t="str">
        <f ca="1">IFERROR(__xludf.DUMMYFUNCTION("GOOGLETRANSLATE(D763,""en"",""pt"")"),"Sliggoo é um Pokémon do tipo dragão introduzido na geração 6. É conhecido como Pokémon de tecidos moles.
Seus quatro chifres são um sistema de radar de alto desempenho. Ele os usa para sentir sons e cheiros.")</f>
        <v>Sliggoo é um Pokémon do tipo dragão introduzido na geração 6. É conhecido como Pokémon de tecidos moles.
Seus quatro chifres são um sistema de radar de alto desempenho. Ele os usa para sentir sons e cheiros.</v>
      </c>
      <c r="F763" s="2" t="str">
        <f ca="1">IFERROR(__xludf.DUMMYFUNCTION("GOOGLETRANSLATE(B763,""en"",""pt"")"),"Pokémon de tecidos moles")</f>
        <v>Pokémon de tecidos moles</v>
      </c>
    </row>
    <row r="764" spans="1:6" ht="15.75" customHeight="1" x14ac:dyDescent="0.25">
      <c r="A764" s="2" t="s">
        <v>2605</v>
      </c>
      <c r="B764" s="2" t="s">
        <v>81</v>
      </c>
      <c r="C764" s="2" t="s">
        <v>2606</v>
      </c>
      <c r="D764" s="2" t="s">
        <v>2607</v>
      </c>
      <c r="E764" s="2" t="str">
        <f ca="1">IFERROR(__xludf.DUMMYFUNCTION("GOOGLETRANSLATE(D764,""en"",""pt"")"),"Goodra é um Pokémon do tipo dragão introduzido na geração 6. É conhecido como Pokémon Dragon.")</f>
        <v>Goodra é um Pokémon do tipo dragão introduzido na geração 6. É conhecido como Pokémon Dragon.</v>
      </c>
      <c r="F764" s="2" t="str">
        <f ca="1">IFERROR(__xludf.DUMMYFUNCTION("GOOGLETRANSLATE(B764,""en"",""pt"")"),"Dragão Pokémon")</f>
        <v>Dragão Pokémon</v>
      </c>
    </row>
    <row r="765" spans="1:6" ht="15.75" customHeight="1" x14ac:dyDescent="0.25">
      <c r="A765" s="2" t="s">
        <v>2608</v>
      </c>
      <c r="B765" s="2" t="s">
        <v>2609</v>
      </c>
      <c r="C765" s="2" t="s">
        <v>2610</v>
      </c>
      <c r="D765" s="2" t="s">
        <v>2611</v>
      </c>
      <c r="E765" s="2" t="str">
        <f ca="1">IFERROR(__xludf.DUMMYFUNCTION("GOOGLETRANSLATE(D765,""en"",""pt"")"),"Klefki é um Pokémon do tipo de aço/fada introduzido na geração 6. É conhecido como Pokémon do anel -chave.
Klefki nunca deixa de lado a chave que gosta, então as pessoas dão as chaves para cofres e cofres como uma maneira de impedir o crime.")</f>
        <v>Klefki é um Pokémon do tipo de aço/fada introduzido na geração 6. É conhecido como Pokémon do anel -chave.
Klefki nunca deixa de lado a chave que gosta, então as pessoas dão as chaves para cofres e cofres como uma maneira de impedir o crime.</v>
      </c>
      <c r="F765" s="2" t="str">
        <f ca="1">IFERROR(__xludf.DUMMYFUNCTION("GOOGLETRANSLATE(B765,""en"",""pt"")"),"Pokémon do anel -chave")</f>
        <v>Pokémon do anel -chave</v>
      </c>
    </row>
    <row r="766" spans="1:6" ht="15.75" customHeight="1" x14ac:dyDescent="0.25">
      <c r="A766" s="2" t="s">
        <v>2612</v>
      </c>
      <c r="B766" s="2" t="s">
        <v>2613</v>
      </c>
      <c r="C766" s="2" t="s">
        <v>2614</v>
      </c>
      <c r="D766" s="2" t="s">
        <v>2615</v>
      </c>
      <c r="E766" s="2" t="str">
        <f ca="1">IFERROR(__xludf.DUMMYFUNCTION("GOOGLETRANSLATE(D766,""en"",""pt"")"),"Phantump é um Pokémon do tipo fantasma/grama introduzido na geração 6. É conhecido como Pokémon Stump.
Segundo os antigos contos, Phantump são tocos possuídos pelos espíritos de crianças que morreram enquanto perdiam na floresta.")</f>
        <v>Phantump é um Pokémon do tipo fantasma/grama introduzido na geração 6. É conhecido como Pokémon Stump.
Segundo os antigos contos, Phantump são tocos possuídos pelos espíritos de crianças que morreram enquanto perdiam na floresta.</v>
      </c>
      <c r="F766" s="2" t="str">
        <f ca="1">IFERROR(__xludf.DUMMYFUNCTION("GOOGLETRANSLATE(B766,""en"",""pt"")"),"Pokémon de toco")</f>
        <v>Pokémon de toco</v>
      </c>
    </row>
    <row r="767" spans="1:6" ht="15.75" customHeight="1" x14ac:dyDescent="0.25">
      <c r="A767" s="2" t="s">
        <v>2616</v>
      </c>
      <c r="B767" s="2" t="s">
        <v>2617</v>
      </c>
      <c r="C767" s="2" t="s">
        <v>2618</v>
      </c>
      <c r="D767" s="2" t="s">
        <v>2619</v>
      </c>
      <c r="E767" s="2" t="str">
        <f ca="1">IFERROR(__xludf.DUMMYFUNCTION("GOOGLETRANSLATE(D767,""en"",""pt"")"),"Trevenante é um Pokémon do tipo fantasma/grama introduzido na geração 6. É conhecido como Pokémon da Árvore de Velho.")</f>
        <v>Trevenante é um Pokémon do tipo fantasma/grama introduzido na geração 6. É conhecido como Pokémon da Árvore de Velho.</v>
      </c>
      <c r="F767" s="2" t="str">
        <f ca="1">IFERROR(__xludf.DUMMYFUNCTION("GOOGLETRANSLATE(B767,""en"",""pt"")"),"Pokémon de árvore de anciãos")</f>
        <v>Pokémon de árvore de anciãos</v>
      </c>
    </row>
    <row r="768" spans="1:6" ht="15.75" customHeight="1" x14ac:dyDescent="0.25">
      <c r="A768" s="2" t="s">
        <v>2620</v>
      </c>
      <c r="B768" s="2" t="s">
        <v>2579</v>
      </c>
      <c r="C768" s="2" t="s">
        <v>2621</v>
      </c>
      <c r="D768" s="2" t="s">
        <v>2622</v>
      </c>
      <c r="E768" s="2" t="str">
        <f ca="1">IFERROR(__xludf.DUMMYFUNCTION("GOOGLETRANSLATE(D768,""en"",""pt"")"),"Victreebel é um Pokémon do tipo grama/veneno introduzido na geração 1. É conhecido como Pokémon Flycatcher.")</f>
        <v>Victreebel é um Pokémon do tipo grama/veneno introduzido na geração 1. É conhecido como Pokémon Flycatcher.</v>
      </c>
      <c r="F768" s="2" t="str">
        <f ca="1">IFERROR(__xludf.DUMMYFUNCTION("GOOGLETRANSLATE(B768,""en"",""pt"")"),"Pokémon Flycatcher")</f>
        <v>Pokémon Flycatcher</v>
      </c>
    </row>
    <row r="769" spans="1:6" ht="15.75" customHeight="1" x14ac:dyDescent="0.25">
      <c r="A769" s="2" t="s">
        <v>2623</v>
      </c>
      <c r="B769" s="2" t="s">
        <v>2624</v>
      </c>
      <c r="C769" s="2" t="s">
        <v>2625</v>
      </c>
      <c r="D769" s="2" t="s">
        <v>2626</v>
      </c>
      <c r="E769" s="2" t="str">
        <f ca="1">IFERROR(__xludf.DUMMYFUNCTION("GOOGLETRANSLATE(D769,""en"",""pt"")"),"O PumpKaboo é um Pokémon do tipo fantasma/grama introduzido na geração 6. É conhecido como Pokémon de abóbora.
Diz -se que o PumpKaboo carrega espíritos errantes para o local onde pertencem para que possam seguir em frente.")</f>
        <v>O PumpKaboo é um Pokémon do tipo fantasma/grama introduzido na geração 6. É conhecido como Pokémon de abóbora.
Diz -se que o PumpKaboo carrega espíritos errantes para o local onde pertencem para que possam seguir em frente.</v>
      </c>
      <c r="F769" s="2" t="str">
        <f ca="1">IFERROR(__xludf.DUMMYFUNCTION("GOOGLETRANSLATE(B769,""en"",""pt"")"),"Pokémon de abóbora")</f>
        <v>Pokémon de abóbora</v>
      </c>
    </row>
    <row r="770" spans="1:6" ht="15.75" customHeight="1" x14ac:dyDescent="0.25">
      <c r="A770" s="2" t="s">
        <v>2623</v>
      </c>
      <c r="B770" s="2" t="s">
        <v>2624</v>
      </c>
      <c r="C770" s="2" t="s">
        <v>2627</v>
      </c>
      <c r="D770" s="2" t="s">
        <v>2626</v>
      </c>
      <c r="E770" s="2" t="str">
        <f ca="1">IFERROR(__xludf.DUMMYFUNCTION("GOOGLETRANSLATE(D770,""en"",""pt"")"),"O PumpKaboo é um Pokémon do tipo fantasma/grama introduzido na geração 6. É conhecido como Pokémon de abóbora.
Diz -se que o PumpKaboo carrega espíritos errantes para o local onde pertencem para que possam seguir em frente.")</f>
        <v>O PumpKaboo é um Pokémon do tipo fantasma/grama introduzido na geração 6. É conhecido como Pokémon de abóbora.
Diz -se que o PumpKaboo carrega espíritos errantes para o local onde pertencem para que possam seguir em frente.</v>
      </c>
      <c r="F770" s="2" t="str">
        <f ca="1">IFERROR(__xludf.DUMMYFUNCTION("GOOGLETRANSLATE(B770,""en"",""pt"")"),"Pokémon de abóbora")</f>
        <v>Pokémon de abóbora</v>
      </c>
    </row>
    <row r="771" spans="1:6" ht="15.75" customHeight="1" x14ac:dyDescent="0.25">
      <c r="A771" s="2" t="s">
        <v>2623</v>
      </c>
      <c r="B771" s="2" t="s">
        <v>2624</v>
      </c>
      <c r="C771" s="2" t="s">
        <v>2628</v>
      </c>
      <c r="D771" s="2" t="s">
        <v>2626</v>
      </c>
      <c r="E771" s="2" t="str">
        <f ca="1">IFERROR(__xludf.DUMMYFUNCTION("GOOGLETRANSLATE(D771,""en"",""pt"")"),"O PumpKaboo é um Pokémon do tipo fantasma/grama introduzido na geração 6. É conhecido como Pokémon de abóbora.
Diz -se que o PumpKaboo carrega espíritos errantes para o local onde pertencem para que possam seguir em frente.")</f>
        <v>O PumpKaboo é um Pokémon do tipo fantasma/grama introduzido na geração 6. É conhecido como Pokémon de abóbora.
Diz -se que o PumpKaboo carrega espíritos errantes para o local onde pertencem para que possam seguir em frente.</v>
      </c>
      <c r="F771" s="2" t="str">
        <f ca="1">IFERROR(__xludf.DUMMYFUNCTION("GOOGLETRANSLATE(B771,""en"",""pt"")"),"Pokémon de abóbora")</f>
        <v>Pokémon de abóbora</v>
      </c>
    </row>
    <row r="772" spans="1:6" ht="15.75" customHeight="1" x14ac:dyDescent="0.25">
      <c r="A772" s="2" t="s">
        <v>2623</v>
      </c>
      <c r="B772" s="2" t="s">
        <v>2624</v>
      </c>
      <c r="C772" s="2" t="s">
        <v>2629</v>
      </c>
      <c r="D772" s="2" t="s">
        <v>2626</v>
      </c>
      <c r="E772" s="2" t="str">
        <f ca="1">IFERROR(__xludf.DUMMYFUNCTION("GOOGLETRANSLATE(D772,""en"",""pt"")"),"O PumpKaboo é um Pokémon do tipo fantasma/grama introduzido na geração 6. É conhecido como Pokémon de abóbora.
Diz -se que o PumpKaboo carrega espíritos errantes para o local onde pertencem para que possam seguir em frente.")</f>
        <v>O PumpKaboo é um Pokémon do tipo fantasma/grama introduzido na geração 6. É conhecido como Pokémon de abóbora.
Diz -se que o PumpKaboo carrega espíritos errantes para o local onde pertencem para que possam seguir em frente.</v>
      </c>
      <c r="F772" s="2" t="str">
        <f ca="1">IFERROR(__xludf.DUMMYFUNCTION("GOOGLETRANSLATE(B772,""en"",""pt"")"),"Pokémon de abóbora")</f>
        <v>Pokémon de abóbora</v>
      </c>
    </row>
    <row r="773" spans="1:6" ht="15.75" customHeight="1" x14ac:dyDescent="0.25">
      <c r="A773" s="2" t="s">
        <v>2630</v>
      </c>
      <c r="B773" s="2" t="s">
        <v>2624</v>
      </c>
      <c r="C773" s="2" t="s">
        <v>2625</v>
      </c>
      <c r="D773" s="2" t="s">
        <v>2631</v>
      </c>
      <c r="E773" s="2" t="str">
        <f ca="1">IFERROR(__xludf.DUMMYFUNCTION("GOOGLETRANSLATE(D773,""en"",""pt"")"),"Gourgeist é um Pokémon do tipo fantasma/grama introduzido na geração 6. É conhecido como Pokémon de abóbora.")</f>
        <v>Gourgeist é um Pokémon do tipo fantasma/grama introduzido na geração 6. É conhecido como Pokémon de abóbora.</v>
      </c>
      <c r="F773" s="2" t="str">
        <f ca="1">IFERROR(__xludf.DUMMYFUNCTION("GOOGLETRANSLATE(B773,""en"",""pt"")"),"Pokémon de abóbora")</f>
        <v>Pokémon de abóbora</v>
      </c>
    </row>
    <row r="774" spans="1:6" ht="15.75" customHeight="1" x14ac:dyDescent="0.25">
      <c r="A774" s="2" t="s">
        <v>2630</v>
      </c>
      <c r="B774" s="2" t="s">
        <v>2624</v>
      </c>
      <c r="C774" s="2" t="s">
        <v>2627</v>
      </c>
      <c r="D774" s="2" t="s">
        <v>2631</v>
      </c>
      <c r="E774" s="2" t="str">
        <f ca="1">IFERROR(__xludf.DUMMYFUNCTION("GOOGLETRANSLATE(D774,""en"",""pt"")"),"Gourgeist é um Pokémon do tipo fantasma/grama introduzido na geração 6. É conhecido como Pokémon de abóbora.")</f>
        <v>Gourgeist é um Pokémon do tipo fantasma/grama introduzido na geração 6. É conhecido como Pokémon de abóbora.</v>
      </c>
      <c r="F774" s="2" t="str">
        <f ca="1">IFERROR(__xludf.DUMMYFUNCTION("GOOGLETRANSLATE(B774,""en"",""pt"")"),"Pokémon de abóbora")</f>
        <v>Pokémon de abóbora</v>
      </c>
    </row>
    <row r="775" spans="1:6" ht="15.75" customHeight="1" x14ac:dyDescent="0.25">
      <c r="A775" s="2" t="s">
        <v>2630</v>
      </c>
      <c r="B775" s="2" t="s">
        <v>2624</v>
      </c>
      <c r="C775" s="2" t="s">
        <v>2628</v>
      </c>
      <c r="D775" s="2" t="s">
        <v>2631</v>
      </c>
      <c r="E775" s="2" t="str">
        <f ca="1">IFERROR(__xludf.DUMMYFUNCTION("GOOGLETRANSLATE(D775,""en"",""pt"")"),"Gourgeist é um Pokémon do tipo fantasma/grama introduzido na geração 6. É conhecido como Pokémon de abóbora.")</f>
        <v>Gourgeist é um Pokémon do tipo fantasma/grama introduzido na geração 6. É conhecido como Pokémon de abóbora.</v>
      </c>
      <c r="F775" s="2" t="str">
        <f ca="1">IFERROR(__xludf.DUMMYFUNCTION("GOOGLETRANSLATE(B775,""en"",""pt"")"),"Pokémon de abóbora")</f>
        <v>Pokémon de abóbora</v>
      </c>
    </row>
    <row r="776" spans="1:6" ht="15.75" customHeight="1" x14ac:dyDescent="0.25">
      <c r="A776" s="2" t="s">
        <v>2630</v>
      </c>
      <c r="B776" s="2" t="s">
        <v>2624</v>
      </c>
      <c r="C776" s="2" t="s">
        <v>2629</v>
      </c>
      <c r="D776" s="2" t="s">
        <v>2631</v>
      </c>
      <c r="E776" s="2" t="str">
        <f ca="1">IFERROR(__xludf.DUMMYFUNCTION("GOOGLETRANSLATE(D776,""en"",""pt"")"),"Gourgeist é um Pokémon do tipo fantasma/grama introduzido na geração 6. É conhecido como Pokémon de abóbora.")</f>
        <v>Gourgeist é um Pokémon do tipo fantasma/grama introduzido na geração 6. É conhecido como Pokémon de abóbora.</v>
      </c>
      <c r="F776" s="2" t="str">
        <f ca="1">IFERROR(__xludf.DUMMYFUNCTION("GOOGLETRANSLATE(B776,""en"",""pt"")"),"Pokémon de abóbora")</f>
        <v>Pokémon de abóbora</v>
      </c>
    </row>
    <row r="777" spans="1:6" ht="15.75" customHeight="1" x14ac:dyDescent="0.25">
      <c r="A777" s="2" t="s">
        <v>2632</v>
      </c>
      <c r="B777" s="2" t="s">
        <v>2633</v>
      </c>
      <c r="C777" s="2" t="s">
        <v>2634</v>
      </c>
      <c r="D777" s="2" t="s">
        <v>2635</v>
      </c>
      <c r="E777" s="2" t="str">
        <f ca="1">IFERROR(__xludf.DUMMYFUNCTION("GOOGLETRANSLATE(D777,""en"",""pt"")"),"A bergmita é um Pokémon do tipo gelo introduzido na geração 6. É conhecido como Pokémon de pedaços de gelo.
Usando ar de -150 graus Farenheit, eles congelam os oponentes sólidos.")</f>
        <v>A bergmita é um Pokémon do tipo gelo introduzido na geração 6. É conhecido como Pokémon de pedaços de gelo.
Usando ar de -150 graus Farenheit, eles congelam os oponentes sólidos.</v>
      </c>
      <c r="F777" s="2" t="str">
        <f ca="1">IFERROR(__xludf.DUMMYFUNCTION("GOOGLETRANSLATE(B777,""en"",""pt"")"),"Pokémon de pedaços de gelo")</f>
        <v>Pokémon de pedaços de gelo</v>
      </c>
    </row>
    <row r="778" spans="1:6" ht="15.75" customHeight="1" x14ac:dyDescent="0.25">
      <c r="A778" s="2" t="s">
        <v>2636</v>
      </c>
      <c r="B778" s="2" t="s">
        <v>1208</v>
      </c>
      <c r="C778" s="2" t="s">
        <v>2637</v>
      </c>
      <c r="D778" s="2" t="s">
        <v>2638</v>
      </c>
      <c r="E778" s="2" t="str">
        <f ca="1">IFERROR(__xludf.DUMMYFUNCTION("GOOGLETRANSLATE(D778,""en"",""pt"")"),"O AvALugg é um Pokémon do tipo gelo introduzido na geração 6. É conhecido como Pokémon Iceberg.")</f>
        <v>O AvALugg é um Pokémon do tipo gelo introduzido na geração 6. É conhecido como Pokémon Iceberg.</v>
      </c>
      <c r="F778" s="2" t="str">
        <f ca="1">IFERROR(__xludf.DUMMYFUNCTION("GOOGLETRANSLATE(B778,""en"",""pt"")"),"Iceberg Pokémon")</f>
        <v>Iceberg Pokémon</v>
      </c>
    </row>
    <row r="779" spans="1:6" ht="15.75" customHeight="1" x14ac:dyDescent="0.25">
      <c r="A779" s="2" t="s">
        <v>2639</v>
      </c>
      <c r="B779" s="2" t="s">
        <v>2640</v>
      </c>
      <c r="C779" s="2" t="s">
        <v>2641</v>
      </c>
      <c r="D779" s="2" t="s">
        <v>2642</v>
      </c>
      <c r="E779" s="2" t="str">
        <f ca="1">IFERROR(__xludf.DUMMYFUNCTION("GOOGLETRANSLATE(D779,""en"",""pt"")"),"Noibat é um Pokémon do tipo voador/dragão introduzido na geração 6. É conhecido como Pokémon de onda sonora.")</f>
        <v>Noibat é um Pokémon do tipo voador/dragão introduzido na geração 6. É conhecido como Pokémon de onda sonora.</v>
      </c>
      <c r="F779" s="2" t="str">
        <f ca="1">IFERROR(__xludf.DUMMYFUNCTION("GOOGLETRANSLATE(B779,""en"",""pt"")"),"Pokémon de onda sonora")</f>
        <v>Pokémon de onda sonora</v>
      </c>
    </row>
    <row r="780" spans="1:6" ht="15.75" customHeight="1" x14ac:dyDescent="0.25">
      <c r="A780" s="2" t="s">
        <v>2643</v>
      </c>
      <c r="B780" s="2" t="s">
        <v>2640</v>
      </c>
      <c r="C780" s="2" t="s">
        <v>2644</v>
      </c>
      <c r="D780" s="2" t="s">
        <v>2645</v>
      </c>
      <c r="E780" s="2" t="str">
        <f ca="1">IFERROR(__xludf.DUMMYFUNCTION("GOOGLETRANSLATE(D780,""en"",""pt"")"),"Noivern é um Pokémon do tipo voador/dragão introduzido na geração 6. É conhecido como Pokémon de onda sonora.
É extremamente combativo em relação a qualquer coisa que vagueie muito perto dele. Ele voa até as noites mais sombrias usando ondas ultrassônicas"&amp;" que emite de suas orelhas. O Noivern adora frutas, e alimentá -lo fruta manterá a calma.")</f>
        <v>Noivern é um Pokémon do tipo voador/dragão introduzido na geração 6. É conhecido como Pokémon de onda sonora.
É extremamente combativo em relação a qualquer coisa que vagueie muito perto dele. Ele voa até as noites mais sombrias usando ondas ultrassônicas que emite de suas orelhas. O Noivern adora frutas, e alimentá -lo fruta manterá a calma.</v>
      </c>
      <c r="F780" s="2" t="str">
        <f ca="1">IFERROR(__xludf.DUMMYFUNCTION("GOOGLETRANSLATE(B780,""en"",""pt"")"),"Pokémon de onda sonora")</f>
        <v>Pokémon de onda sonora</v>
      </c>
    </row>
    <row r="781" spans="1:6" ht="15.75" customHeight="1" x14ac:dyDescent="0.25">
      <c r="A781" s="2" t="s">
        <v>2646</v>
      </c>
      <c r="B781" s="2" t="s">
        <v>2647</v>
      </c>
      <c r="C781" s="2" t="s">
        <v>2648</v>
      </c>
      <c r="D781" s="2" t="s">
        <v>2649</v>
      </c>
      <c r="E781" s="2" t="str">
        <f ca="1">IFERROR(__xludf.DUMMYFUNCTION("GOOGLETRANSLATE(D781,""en"",""pt"")"),"Xerneas é um Pokémon do tipo fada introduzido na geração 6. É conhecido como Pokémon Life.
Xerneas é um Pokémon lendário exclusivo do Pokémon X.")</f>
        <v>Xerneas é um Pokémon do tipo fada introduzido na geração 6. É conhecido como Pokémon Life.
Xerneas é um Pokémon lendário exclusivo do Pokémon X.</v>
      </c>
      <c r="F781" s="2" t="str">
        <f ca="1">IFERROR(__xludf.DUMMYFUNCTION("GOOGLETRANSLATE(B781,""en"",""pt"")"),"Pokémon da vida")</f>
        <v>Pokémon da vida</v>
      </c>
    </row>
    <row r="782" spans="1:6" ht="15.75" customHeight="1" x14ac:dyDescent="0.25">
      <c r="A782" s="2" t="s">
        <v>2650</v>
      </c>
      <c r="B782" s="2" t="s">
        <v>2651</v>
      </c>
      <c r="C782" s="2" t="s">
        <v>2652</v>
      </c>
      <c r="D782" s="2" t="s">
        <v>2653</v>
      </c>
      <c r="E782" s="2" t="str">
        <f ca="1">IFERROR(__xludf.DUMMYFUNCTION("GOOGLETRANSLATE(D782,""en"",""pt"")"),"Yveltal é um Pokémon escuro/voador introduzido na geração 6. É conhecido como Pokémon de destruição.
Yveltal é um Pokémon lendário exclusivo do Pokémon Y.")</f>
        <v>Yveltal é um Pokémon escuro/voador introduzido na geração 6. É conhecido como Pokémon de destruição.
Yveltal é um Pokémon lendário exclusivo do Pokémon Y.</v>
      </c>
      <c r="F782" s="2" t="str">
        <f ca="1">IFERROR(__xludf.DUMMYFUNCTION("GOOGLETRANSLATE(B782,""en"",""pt"")"),"Pokémon de destruição")</f>
        <v>Pokémon de destruição</v>
      </c>
    </row>
    <row r="783" spans="1:6" ht="15.75" customHeight="1" x14ac:dyDescent="0.25">
      <c r="A783" s="2" t="s">
        <v>2654</v>
      </c>
      <c r="B783" s="2" t="s">
        <v>2655</v>
      </c>
      <c r="C783" s="2" t="s">
        <v>2656</v>
      </c>
      <c r="D783" s="2" t="s">
        <v>2657</v>
      </c>
      <c r="E783" s="2" t="str">
        <f ca="1">IFERROR(__xludf.DUMMYFUNCTION("GOOGLETRANSLATE(D783,""en"",""pt"")"),"Zygarde é um Pokémon do tipo dragão/terra introduzido na geração 6. É conhecido como Pokémon da Ordem.
Zygarde é um Pokémon lendário de cobra. Sua habilidade aura quebra contraria os efeitos das habilidades de Xerneas e Yveltal.
Mais tarde, foi revelado q"&amp;"ue Zygarde, como visto em Pokémon X &amp; Y, é de fato um formato alternativo. Zygarde tem cinco formas diferentes no total:
A célula zygarde são células únicas que compõem o zygarde. Eles não podem usar nenhum movimento.
O Zygarde Core faz parte do cérebro "&amp;"de Zygarde e eles são conhecidos por agir quando o ecossistema mudar.
Zygarde 10% forme ocorre quando o núcleo do Zygarde reúne 10% das células próximas. Capaz de viajar mais de 60 mph.
Zygarde 50% forme ocorre quando o núcleo Zygarde reúne 50% das célula"&amp;"s próximas. Este é o formulário padrão.
Zygarde Complete Forme é a forma perfeita, que é mais poderosa que Xerneas e Yveltal. Zygarde assume esse formulário quando o ecossistema está ameaçado.")</f>
        <v>Zygarde é um Pokémon do tipo dragão/terra introduzido na geração 6. É conhecido como Pokémon da Ordem.
Zygarde é um Pokémon lendário de cobra. Sua habilidade aura quebra contraria os efeitos das habilidades de Xerneas e Yveltal.
Mais tarde, foi revelado que Zygarde, como visto em Pokémon X &amp; Y, é de fato um formato alternativo. Zygarde tem cinco formas diferentes no total:
A célula zygarde são células únicas que compõem o zygarde. Eles não podem usar nenhum movimento.
O Zygarde Core faz parte do cérebro de Zygarde e eles são conhecidos por agir quando o ecossistema mudar.
Zygarde 10% forme ocorre quando o núcleo do Zygarde reúne 10% das células próximas. Capaz de viajar mais de 60 mph.
Zygarde 50% forme ocorre quando o núcleo Zygarde reúne 50% das células próximas. Este é o formulário padrão.
Zygarde Complete Forme é a forma perfeita, que é mais poderosa que Xerneas e Yveltal. Zygarde assume esse formulário quando o ecossistema está ameaçado.</v>
      </c>
      <c r="F783" s="2" t="str">
        <f ca="1">IFERROR(__xludf.DUMMYFUNCTION("GOOGLETRANSLATE(B783,""en"",""pt"")"),"Encomende Pokémon")</f>
        <v>Encomende Pokémon</v>
      </c>
    </row>
    <row r="784" spans="1:6" ht="15.75" customHeight="1" x14ac:dyDescent="0.25">
      <c r="A784" s="2" t="s">
        <v>2654</v>
      </c>
      <c r="B784" s="2" t="s">
        <v>2655</v>
      </c>
      <c r="C784" s="2" t="s">
        <v>2658</v>
      </c>
      <c r="D784" s="2" t="s">
        <v>2657</v>
      </c>
      <c r="E784" s="2" t="str">
        <f ca="1">IFERROR(__xludf.DUMMYFUNCTION("GOOGLETRANSLATE(D784,""en"",""pt"")"),"Zygarde é um Pokémon do tipo dragão/terra introduzido na geração 6. É conhecido como Pokémon da Ordem.
Zygarde é um Pokémon lendário de cobra. Sua habilidade aura quebra contraria os efeitos das habilidades de Xerneas e Yveltal.
Mais tarde, foi revelado q"&amp;"ue Zygarde, como visto em Pokémon X &amp; Y, é de fato um formato alternativo. Zygarde tem cinco formas diferentes no total:
A célula zygarde são células únicas que compõem o zygarde. Eles não podem usar nenhum movimento.
O Zygarde Core faz parte do cérebro "&amp;"de Zygarde e eles são conhecidos por agir quando o ecossistema mudar.
Zygarde 10% forme ocorre quando o núcleo do Zygarde reúne 10% das células próximas. Capaz de viajar mais de 60 mph.
Zygarde 50% forme ocorre quando o núcleo Zygarde reúne 50% das célula"&amp;"s próximas. Este é o formulário padrão.
Zygarde Complete Forme é a forma perfeita, que é mais poderosa que Xerneas e Yveltal. Zygarde assume esse formulário quando o ecossistema está ameaçado.")</f>
        <v>Zygarde é um Pokémon do tipo dragão/terra introduzido na geração 6. É conhecido como Pokémon da Ordem.
Zygarde é um Pokémon lendário de cobra. Sua habilidade aura quebra contraria os efeitos das habilidades de Xerneas e Yveltal.
Mais tarde, foi revelado que Zygarde, como visto em Pokémon X &amp; Y, é de fato um formato alternativo. Zygarde tem cinco formas diferentes no total:
A célula zygarde são células únicas que compõem o zygarde. Eles não podem usar nenhum movimento.
O Zygarde Core faz parte do cérebro de Zygarde e eles são conhecidos por agir quando o ecossistema mudar.
Zygarde 10% forme ocorre quando o núcleo do Zygarde reúne 10% das células próximas. Capaz de viajar mais de 60 mph.
Zygarde 50% forme ocorre quando o núcleo Zygarde reúne 50% das células próximas. Este é o formulário padrão.
Zygarde Complete Forme é a forma perfeita, que é mais poderosa que Xerneas e Yveltal. Zygarde assume esse formulário quando o ecossistema está ameaçado.</v>
      </c>
      <c r="F784" s="2" t="str">
        <f ca="1">IFERROR(__xludf.DUMMYFUNCTION("GOOGLETRANSLATE(B784,""en"",""pt"")"),"Encomende Pokémon")</f>
        <v>Encomende Pokémon</v>
      </c>
    </row>
    <row r="785" spans="1:6" ht="15.75" customHeight="1" x14ac:dyDescent="0.25">
      <c r="A785" s="2" t="s">
        <v>2654</v>
      </c>
      <c r="B785" s="2" t="s">
        <v>2655</v>
      </c>
      <c r="C785" s="2" t="s">
        <v>2659</v>
      </c>
      <c r="D785" s="2" t="s">
        <v>2657</v>
      </c>
      <c r="E785" s="2" t="str">
        <f ca="1">IFERROR(__xludf.DUMMYFUNCTION("GOOGLETRANSLATE(D785,""en"",""pt"")"),"Zygarde é um Pokémon do tipo dragão/terra introduzido na geração 6. É conhecido como Pokémon da Ordem.
Zygarde é um Pokémon lendário de cobra. Sua habilidade aura quebra contraria os efeitos das habilidades de Xerneas e Yveltal.
Mais tarde, foi revelado q"&amp;"ue Zygarde, como visto em Pokémon X &amp; Y, é de fato um formato alternativo. Zygarde tem cinco formas diferentes no total:
A célula zygarde são células únicas que compõem o zygarde. Eles não podem usar nenhum movimento.
O Zygarde Core faz parte do cérebro "&amp;"de Zygarde e eles são conhecidos por agir quando o ecossistema mudar.
Zygarde 10% forme ocorre quando o núcleo do Zygarde reúne 10% das células próximas. Capaz de viajar mais de 60 mph.
Zygarde 50% forme ocorre quando o núcleo Zygarde reúne 50% das célula"&amp;"s próximas. Este é o formulário padrão.
Zygarde Complete Forme é a forma perfeita, que é mais poderosa que Xerneas e Yveltal. Zygarde assume esse formulário quando o ecossistema está ameaçado.")</f>
        <v>Zygarde é um Pokémon do tipo dragão/terra introduzido na geração 6. É conhecido como Pokémon da Ordem.
Zygarde é um Pokémon lendário de cobra. Sua habilidade aura quebra contraria os efeitos das habilidades de Xerneas e Yveltal.
Mais tarde, foi revelado que Zygarde, como visto em Pokémon X &amp; Y, é de fato um formato alternativo. Zygarde tem cinco formas diferentes no total:
A célula zygarde são células únicas que compõem o zygarde. Eles não podem usar nenhum movimento.
O Zygarde Core faz parte do cérebro de Zygarde e eles são conhecidos por agir quando o ecossistema mudar.
Zygarde 10% forme ocorre quando o núcleo do Zygarde reúne 10% das células próximas. Capaz de viajar mais de 60 mph.
Zygarde 50% forme ocorre quando o núcleo Zygarde reúne 50% das células próximas. Este é o formulário padrão.
Zygarde Complete Forme é a forma perfeita, que é mais poderosa que Xerneas e Yveltal. Zygarde assume esse formulário quando o ecossistema está ameaçado.</v>
      </c>
      <c r="F785" s="2" t="str">
        <f ca="1">IFERROR(__xludf.DUMMYFUNCTION("GOOGLETRANSLATE(B785,""en"",""pt"")"),"Encomende Pokémon")</f>
        <v>Encomende Pokémon</v>
      </c>
    </row>
    <row r="786" spans="1:6" ht="15.75" customHeight="1" x14ac:dyDescent="0.25">
      <c r="A786" s="2" t="s">
        <v>2660</v>
      </c>
      <c r="B786" s="2" t="s">
        <v>2595</v>
      </c>
      <c r="C786" s="2" t="s">
        <v>2661</v>
      </c>
      <c r="D786" s="2" t="s">
        <v>2662</v>
      </c>
      <c r="E786" s="2" t="str">
        <f ca="1">IFERROR(__xludf.DUMMYFUNCTION("GOOGLETRANSLATE(D786,""en"",""pt"")"),"Diancie é um Pokémon do tipo rock/fada introduzido na geração 6. É conhecido como Pokémon Jewel.
Diancie é um Pokémon exclusivo para eventos. Ele também tem uma mega evolução, disponível na Omega Ruby &amp; Alpha Sapphire em diante.")</f>
        <v>Diancie é um Pokémon do tipo rock/fada introduzido na geração 6. É conhecido como Pokémon Jewel.
Diancie é um Pokémon exclusivo para eventos. Ele também tem uma mega evolução, disponível na Omega Ruby &amp; Alpha Sapphire em diante.</v>
      </c>
      <c r="F786" s="2" t="str">
        <f ca="1">IFERROR(__xludf.DUMMYFUNCTION("GOOGLETRANSLATE(B786,""en"",""pt"")"),"Jóia Pokémon")</f>
        <v>Jóia Pokémon</v>
      </c>
    </row>
    <row r="787" spans="1:6" ht="15.75" customHeight="1" x14ac:dyDescent="0.25">
      <c r="A787" s="2" t="s">
        <v>2660</v>
      </c>
      <c r="B787" s="2" t="s">
        <v>2595</v>
      </c>
      <c r="C787" s="2" t="s">
        <v>2663</v>
      </c>
      <c r="D787" s="2" t="s">
        <v>2662</v>
      </c>
      <c r="E787" s="2" t="str">
        <f ca="1">IFERROR(__xludf.DUMMYFUNCTION("GOOGLETRANSLATE(D787,""en"",""pt"")"),"Diancie é um Pokémon do tipo rock/fada introduzido na geração 6. É conhecido como Pokémon Jewel.
Diancie é um Pokémon exclusivo para eventos. Ele também tem uma mega evolução, disponível na Omega Ruby &amp; Alpha Sapphire em diante.")</f>
        <v>Diancie é um Pokémon do tipo rock/fada introduzido na geração 6. É conhecido como Pokémon Jewel.
Diancie é um Pokémon exclusivo para eventos. Ele também tem uma mega evolução, disponível na Omega Ruby &amp; Alpha Sapphire em diante.</v>
      </c>
      <c r="F787" s="2" t="str">
        <f ca="1">IFERROR(__xludf.DUMMYFUNCTION("GOOGLETRANSLATE(B787,""en"",""pt"")"),"Jóia Pokémon")</f>
        <v>Jóia Pokémon</v>
      </c>
    </row>
    <row r="788" spans="1:6" ht="15.75" customHeight="1" x14ac:dyDescent="0.25">
      <c r="A788" s="2" t="s">
        <v>2664</v>
      </c>
      <c r="B788" s="2" t="s">
        <v>2665</v>
      </c>
      <c r="C788" s="2" t="s">
        <v>2666</v>
      </c>
      <c r="D788" s="2" t="s">
        <v>2667</v>
      </c>
      <c r="E788" s="2" t="str">
        <f ca="1">IFERROR(__xludf.DUMMYFUNCTION("GOOGLETRANSLATE(D788,""en"",""pt"")"),"O Tentacool é um Pokémon do tipo água/veneno introduzido na geração 1. É conhecido como Pokémon de Água -fisos.")</f>
        <v>O Tentacool é um Pokémon do tipo água/veneno introduzido na geração 1. É conhecido como Pokémon de Água -fisos.</v>
      </c>
      <c r="F788" s="2" t="str">
        <f ca="1">IFERROR(__xludf.DUMMYFUNCTION("GOOGLETRANSLATE(B788,""en"",""pt"")"),"Pokémon de água -viva")</f>
        <v>Pokémon de água -viva</v>
      </c>
    </row>
    <row r="789" spans="1:6" ht="15.75" customHeight="1" x14ac:dyDescent="0.25">
      <c r="A789" s="2" t="s">
        <v>2668</v>
      </c>
      <c r="B789" s="2" t="s">
        <v>2669</v>
      </c>
      <c r="C789" s="2" t="s">
        <v>2670</v>
      </c>
      <c r="D789" s="2" t="s">
        <v>2671</v>
      </c>
      <c r="E789" s="2" t="str">
        <f ca="1">IFERROR(__xludf.DUMMYFUNCTION("GOOGLETRANSLATE(D789,""en"",""pt"")"),"Hoopa é um Pokémon psíquico/fantasma introduzido na geração 6. É conhecido como Pokémon do Malhief.
Hoopa é um Pokémon exclusivo para eventos.")</f>
        <v>Hoopa é um Pokémon psíquico/fantasma introduzido na geração 6. É conhecido como Pokémon do Malhief.
Hoopa é um Pokémon exclusivo para eventos.</v>
      </c>
      <c r="F789" s="2" t="str">
        <f ca="1">IFERROR(__xludf.DUMMYFUNCTION("GOOGLETRANSLATE(B789,""en"",""pt"")"),"Djinn Pokémon")</f>
        <v>Djinn Pokémon</v>
      </c>
    </row>
    <row r="790" spans="1:6" ht="15.75" customHeight="1" x14ac:dyDescent="0.25">
      <c r="A790" s="2" t="s">
        <v>2668</v>
      </c>
      <c r="B790" s="2" t="s">
        <v>2672</v>
      </c>
      <c r="C790" s="2" t="s">
        <v>2673</v>
      </c>
      <c r="D790" s="2" t="s">
        <v>2671</v>
      </c>
      <c r="E790" s="2" t="str">
        <f ca="1">IFERROR(__xludf.DUMMYFUNCTION("GOOGLETRANSLATE(D790,""en"",""pt"")"),"Hoopa é um Pokémon psíquico/fantasma introduzido na geração 6. É conhecido como Pokémon do Malhief.
Hoopa é um Pokémon exclusivo para eventos.")</f>
        <v>Hoopa é um Pokémon psíquico/fantasma introduzido na geração 6. É conhecido como Pokémon do Malhief.
Hoopa é um Pokémon exclusivo para eventos.</v>
      </c>
      <c r="F790" s="2" t="str">
        <f ca="1">IFERROR(__xludf.DUMMYFUNCTION("GOOGLETRANSLATE(B790,""en"",""pt"")"),"Pokémon da travessura")</f>
        <v>Pokémon da travessura</v>
      </c>
    </row>
    <row r="791" spans="1:6" ht="15.75" customHeight="1" x14ac:dyDescent="0.25">
      <c r="A791" s="2" t="s">
        <v>2674</v>
      </c>
      <c r="B791" s="2" t="s">
        <v>2675</v>
      </c>
      <c r="C791" s="2" t="s">
        <v>2676</v>
      </c>
      <c r="D791" s="2" t="s">
        <v>2677</v>
      </c>
      <c r="E791" s="2" t="str">
        <f ca="1">IFERROR(__xludf.DUMMYFUNCTION("GOOGLETRANSLATE(D791,""en"",""pt"")"),"O vulcanion é um Pokémon do tipo fogo/água introduzido na geração 6. É conhecido como Pokémon a vapor.
O vulcanion é um Pokémon exclusivo para eventos; Detalhes completos ainda não são conhecidos.")</f>
        <v>O vulcanion é um Pokémon do tipo fogo/água introduzido na geração 6. É conhecido como Pokémon a vapor.
O vulcanion é um Pokémon exclusivo para eventos; Detalhes completos ainda não são conhecidos.</v>
      </c>
      <c r="F791" s="2" t="str">
        <f ca="1">IFERROR(__xludf.DUMMYFUNCTION("GOOGLETRANSLATE(B791,""en"",""pt"")"),"Pokémon a vapor")</f>
        <v>Pokémon a vapor</v>
      </c>
    </row>
    <row r="792" spans="1:6" ht="15.75" customHeight="1" x14ac:dyDescent="0.25">
      <c r="A792" s="2" t="s">
        <v>2678</v>
      </c>
      <c r="B792" s="2" t="s">
        <v>2679</v>
      </c>
      <c r="C792" s="2" t="s">
        <v>2680</v>
      </c>
      <c r="D792" s="2" t="s">
        <v>2681</v>
      </c>
      <c r="E792" s="2" t="str">
        <f ca="1">IFERROR(__xludf.DUMMYFUNCTION("GOOGLETRANSLATE(D792,""en"",""pt"")"),"Rowlet é um Pokémon de Grass/Flying Introduzido na Geração 7. É conhecido como Pokémon Grass Quill.
Rowlet pode voar silenciosamente pelos céus, esgueirando -se de seu oponente sem ser notado. Ele pode atacar seus oponentes usando chutes poderosos e també"&amp;"m pode atacar a uma distância usando as folhas nítidas que fazem parte de suas penas.
A Rowlet pode pesquisar seu ambiente e girar o pescoço quase 180 graus de frente para trás, para que possa ver diretamente atrás de si. Quando em batalha, Rowlet vira a "&amp;"cabeça para enfrentar o treinador ao esperar por instruções.
Rowlet começa com a folha de movimento.")</f>
        <v>Rowlet é um Pokémon de Grass/Flying Introduzido na Geração 7. É conhecido como Pokémon Grass Quill.
Rowlet pode voar silenciosamente pelos céus, esgueirando -se de seu oponente sem ser notado. Ele pode atacar seus oponentes usando chutes poderosos e também pode atacar a uma distância usando as folhas nítidas que fazem parte de suas penas.
A Rowlet pode pesquisar seu ambiente e girar o pescoço quase 180 graus de frente para trás, para que possa ver diretamente atrás de si. Quando em batalha, Rowlet vira a cabeça para enfrentar o treinador ao esperar por instruções.
Rowlet começa com a folha de movimento.</v>
      </c>
      <c r="F792" s="2" t="str">
        <f ca="1">IFERROR(__xludf.DUMMYFUNCTION("GOOGLETRANSLATE(B792,""en"",""pt"")"),"Pokémon de grama")</f>
        <v>Pokémon de grama</v>
      </c>
    </row>
    <row r="793" spans="1:6" ht="15.75" customHeight="1" x14ac:dyDescent="0.25">
      <c r="A793" s="2" t="s">
        <v>2682</v>
      </c>
      <c r="B793" s="2" t="s">
        <v>2683</v>
      </c>
      <c r="C793" s="2" t="s">
        <v>2684</v>
      </c>
      <c r="D793" s="2" t="s">
        <v>2685</v>
      </c>
      <c r="E793" s="2" t="str">
        <f ca="1">IFERROR(__xludf.DUMMYFUNCTION("GOOGLETRANSLATE(D793,""en"",""pt"")"),"Dartrix é um Pokémon do tipo grama/voador introduzido na geração 7. É conhecido como Pokémon Blade Quill.
Dartrix é extremamente sensível a outras presenças na área e pode detectar oponentes atrás dela e jogar penas para atingi -las sem sequer vê -las. Es"&amp;"te Pokémon esconde penas de lâmina afiada dentro de suas asas, mostrando uma precisão surpreendente, pois as envia voando no ataque.")</f>
        <v>Dartrix é um Pokémon do tipo grama/voador introduzido na geração 7. É conhecido como Pokémon Blade Quill.
Dartrix é extremamente sensível a outras presenças na área e pode detectar oponentes atrás dela e jogar penas para atingi -las sem sequer vê -las. Este Pokémon esconde penas de lâmina afiada dentro de suas asas, mostrando uma precisão surpreendente, pois as envia voando no ataque.</v>
      </c>
      <c r="F793" s="2" t="str">
        <f ca="1">IFERROR(__xludf.DUMMYFUNCTION("GOOGLETRANSLATE(B793,""en"",""pt"")"),"Pokémon de quill quill de lâmina")</f>
        <v>Pokémon de quill quill de lâmina</v>
      </c>
    </row>
    <row r="794" spans="1:6" ht="15.75" customHeight="1" x14ac:dyDescent="0.25">
      <c r="A794" s="2" t="s">
        <v>2686</v>
      </c>
      <c r="B794" s="2" t="s">
        <v>2687</v>
      </c>
      <c r="C794" s="2" t="s">
        <v>2688</v>
      </c>
      <c r="D794" s="2" t="s">
        <v>2689</v>
      </c>
      <c r="E794" s="2" t="str">
        <f ca="1">IFERROR(__xludf.DUMMYFUNCTION("GOOGLETRANSLATE(D794,""en"",""pt"")"),"Decidueye é um Pokémon do tipo Grass/Fantasma introduzido na geração 7. É conhecido como Pokémon de penas de seta.
Decidueye é capaz de se mover enquanto mascaria completamente sua presença de outros. Uma vez que um oponente perdeu de vista, a Decidueye a"&amp;"proveita a chance de atacá -lo de surpresa. Em um décimo de segundo, a Decidueye coloca uma pena de flecha de dentro de sua asa e envia seu arremesso em direção ao seu alvo.")</f>
        <v>Decidueye é um Pokémon do tipo Grass/Fantasma introduzido na geração 7. É conhecido como Pokémon de penas de seta.
Decidueye é capaz de se mover enquanto mascaria completamente sua presença de outros. Uma vez que um oponente perdeu de vista, a Decidueye aproveita a chance de atacá -lo de surpresa. Em um décimo de segundo, a Decidueye coloca uma pena de flecha de dentro de sua asa e envia seu arremesso em direção ao seu alvo.</v>
      </c>
      <c r="F794" s="2" t="str">
        <f ca="1">IFERROR(__xludf.DUMMYFUNCTION("GOOGLETRANSLATE(B794,""en"",""pt"")"),"Pokémon de Quill Quill")</f>
        <v>Pokémon de Quill Quill</v>
      </c>
    </row>
    <row r="795" spans="1:6" ht="15.75" customHeight="1" x14ac:dyDescent="0.25">
      <c r="A795" s="2" t="s">
        <v>2690</v>
      </c>
      <c r="B795" s="2" t="s">
        <v>2691</v>
      </c>
      <c r="C795" s="2" t="s">
        <v>2692</v>
      </c>
      <c r="D795" s="2" t="s">
        <v>2693</v>
      </c>
      <c r="E795" s="2" t="str">
        <f ca="1">IFERROR(__xludf.DUMMYFUNCTION("GOOGLETRANSLATE(D795,""en"",""pt"")"),"Litten é um Pokémon do tipo incêndio introduzido na geração 7. É conhecido como Pokémon Fire Cat.
O Pokémon de gato de fogo de cabeça fria, Litten, é a próxima escolha para um Pokémon de primeiro parceiro. O pêlo de Litten é rico em óleos e é imensamente "&amp;"inflamável. Ele se prepara constantemente lambendo seu casaco, coletando pêlo solto em bolas. Em seguida, acende essas bolas de cabelo para criar ataques de bola de fogo. Quando chega a hora de Litten fazer uma muda, ele queima todo o seu pêlo em um incên"&amp;"dio glorioso.
Litten começa com a brasa de movimento.")</f>
        <v>Litten é um Pokémon do tipo incêndio introduzido na geração 7. É conhecido como Pokémon Fire Cat.
O Pokémon de gato de fogo de cabeça fria, Litten, é a próxima escolha para um Pokémon de primeiro parceiro. O pêlo de Litten é rico em óleos e é imensamente inflamável. Ele se prepara constantemente lambendo seu casaco, coletando pêlo solto em bolas. Em seguida, acende essas bolas de cabelo para criar ataques de bola de fogo. Quando chega a hora de Litten fazer uma muda, ele queima todo o seu pêlo em um incêndio glorioso.
Litten começa com a brasa de movimento.</v>
      </c>
      <c r="F795" s="2" t="str">
        <f ca="1">IFERROR(__xludf.DUMMYFUNCTION("GOOGLETRANSLATE(B795,""en"",""pt"")"),"Fire Pokémon Pokémon")</f>
        <v>Fire Pokémon Pokémon</v>
      </c>
    </row>
    <row r="796" spans="1:6" ht="15.75" customHeight="1" x14ac:dyDescent="0.25">
      <c r="A796" s="2" t="s">
        <v>2694</v>
      </c>
      <c r="B796" s="2" t="s">
        <v>2691</v>
      </c>
      <c r="C796" s="2" t="s">
        <v>2695</v>
      </c>
      <c r="D796" s="2" t="s">
        <v>2696</v>
      </c>
      <c r="E796" s="2" t="str">
        <f ca="1">IFERROR(__xludf.DUMMYFUNCTION("GOOGLETRANSLATE(D796,""en"",""pt"")"),"Torracat é um Pokémon do tipo incêndio introduzido na geração 7. É conhecido como Pokémon Fire Cat.
O objeto semelhante a um sino preso na base do pescoço de Torracat é um saco de chama, um órgão que pode produzir chamas. As emoções de Torracat causam um "&amp;"aumento na temperatura do órgão e, quando o órgão cospe chamas, ele toca com o som alto e claro de um sino. Torracat ataques usando as chamas emitidas desta campainha.")</f>
        <v>Torracat é um Pokémon do tipo incêndio introduzido na geração 7. É conhecido como Pokémon Fire Cat.
O objeto semelhante a um sino preso na base do pescoço de Torracat é um saco de chama, um órgão que pode produzir chamas. As emoções de Torracat causam um aumento na temperatura do órgão e, quando o órgão cospe chamas, ele toca com o som alto e claro de um sino. Torracat ataques usando as chamas emitidas desta campainha.</v>
      </c>
      <c r="F796" s="2" t="str">
        <f ca="1">IFERROR(__xludf.DUMMYFUNCTION("GOOGLETRANSLATE(B796,""en"",""pt"")"),"Fire Pokémon Pokémon")</f>
        <v>Fire Pokémon Pokémon</v>
      </c>
    </row>
    <row r="797" spans="1:6" ht="15.75" customHeight="1" x14ac:dyDescent="0.25">
      <c r="A797" s="2" t="s">
        <v>2697</v>
      </c>
      <c r="B797" s="2" t="s">
        <v>2698</v>
      </c>
      <c r="C797" s="2" t="s">
        <v>2699</v>
      </c>
      <c r="D797" s="2" t="s">
        <v>2700</v>
      </c>
      <c r="E797" s="2" t="str">
        <f ca="1">IFERROR(__xludf.DUMMYFUNCTION("GOOGLETRANSLATE(D797,""en"",""pt"")"),"Incineroar é um Pokémon de Fogo/Tipo escuro introduzido na geração 7. É conhecido como Pokémon do calcanhar.
À medida que seu espírito de luta aumenta, as chamas que o Incineroar produz dentro de seu corpo estouraram a partir de seu umbigo e cintura. No c"&amp;"alor da batalha, o Incineroar não mostra preocupação com seus oponentes - e às vezes até lança ataques que atacam o treinador adversário! Como resultado, muitos tendem a não gostar desse Pokémon e a mantê -lo à distância.")</f>
        <v>Incineroar é um Pokémon de Fogo/Tipo escuro introduzido na geração 7. É conhecido como Pokémon do calcanhar.
À medida que seu espírito de luta aumenta, as chamas que o Incineroar produz dentro de seu corpo estouraram a partir de seu umbigo e cintura. No calor da batalha, o Incineroar não mostra preocupação com seus oponentes - e às vezes até lança ataques que atacam o treinador adversário! Como resultado, muitos tendem a não gostar desse Pokémon e a mantê -lo à distância.</v>
      </c>
      <c r="F797" s="2" t="str">
        <f ca="1">IFERROR(__xludf.DUMMYFUNCTION("GOOGLETRANSLATE(B797,""en"",""pt"")"),"Pokémon do calcanhar")</f>
        <v>Pokémon do calcanhar</v>
      </c>
    </row>
    <row r="798" spans="1:6" ht="15.75" customHeight="1" x14ac:dyDescent="0.25">
      <c r="A798" s="2" t="s">
        <v>2701</v>
      </c>
      <c r="B798" s="2" t="s">
        <v>2702</v>
      </c>
      <c r="C798" s="2" t="s">
        <v>2703</v>
      </c>
      <c r="D798" s="2" t="s">
        <v>2704</v>
      </c>
      <c r="E798" s="2" t="str">
        <f ca="1">IFERROR(__xludf.DUMMYFUNCTION("GOOGLETRANSLATE(D798,""en"",""pt"")"),"Popplio é um Pokémon do tipo água introduzido na geração 7. É conhecido como Pokémon do Leão Sea.
O Popplio pode criar balões feitos de água a partir do nariz e utilizá -los para criar uma variedade de estratégias e ataques diferentes em batalha. Este Pok"&amp;"émon é melhor em se mover na água do que em terra e pode nadar a velocidades acima de 25 mph. Na terra, usa a elasticidade dos balões que cria para realizar saltos e acrobacias acrobáticas.
Popplio começa com a pistola de água Move.")</f>
        <v>Popplio é um Pokémon do tipo água introduzido na geração 7. É conhecido como Pokémon do Leão Sea.
O Popplio pode criar balões feitos de água a partir do nariz e utilizá -los para criar uma variedade de estratégias e ataques diferentes em batalha. Este Pokémon é melhor em se mover na água do que em terra e pode nadar a velocidades acima de 25 mph. Na terra, usa a elasticidade dos balões que cria para realizar saltos e acrobacias acrobáticas.
Popplio começa com a pistola de água Move.</v>
      </c>
      <c r="F798" s="2" t="str">
        <f ca="1">IFERROR(__xludf.DUMMYFUNCTION("GOOGLETRANSLATE(B798,""en"",""pt"")"),"Pokémon de leão -marinho")</f>
        <v>Pokémon de leão -marinho</v>
      </c>
    </row>
    <row r="799" spans="1:6" ht="15.75" customHeight="1" x14ac:dyDescent="0.25">
      <c r="A799" s="2" t="s">
        <v>2705</v>
      </c>
      <c r="B799" s="2" t="s">
        <v>2706</v>
      </c>
      <c r="C799" s="2" t="s">
        <v>2707</v>
      </c>
      <c r="D799" s="2" t="s">
        <v>2708</v>
      </c>
      <c r="E799" s="2" t="str">
        <f ca="1">IFERROR(__xludf.DUMMYFUNCTION("GOOGLETRANSLATE(D799,""en"",""pt"")"),"Brionne é um Pokémon do tipo água introduzido na geração 7. É conhecido como Pokémon Pop Star.
Brionne aprende suas danças imitando os outros membros de sua colônia. Às vezes até aprende danças de humanos. Este Pokémon é um trabalhador esforçado e se derr"&amp;"ama em seus esforços até que memorizasse cada dança. Enquanto dança, Brionne cria balão após balão. Na batalha, primeiro envia seu oponente para desordem com sua dança e depois dá um tapa em seus balões em seu alvo, fazendo com que os balões explodam e ca"&amp;"usassem danos.")</f>
        <v>Brionne é um Pokémon do tipo água introduzido na geração 7. É conhecido como Pokémon Pop Star.
Brionne aprende suas danças imitando os outros membros de sua colônia. Às vezes até aprende danças de humanos. Este Pokémon é um trabalhador esforçado e se derrama em seus esforços até que memorizasse cada dança. Enquanto dança, Brionne cria balão após balão. Na batalha, primeiro envia seu oponente para desordem com sua dança e depois dá um tapa em seus balões em seu alvo, fazendo com que os balões explodam e causassem danos.</v>
      </c>
      <c r="F799" s="2" t="str">
        <f ca="1">IFERROR(__xludf.DUMMYFUNCTION("GOOGLETRANSLATE(B799,""en"",""pt"")"),"Pokémon Pop Star")</f>
        <v>Pokémon Pop Star</v>
      </c>
    </row>
    <row r="800" spans="1:6" ht="15.75" customHeight="1" x14ac:dyDescent="0.25">
      <c r="A800" s="2" t="s">
        <v>2709</v>
      </c>
      <c r="B800" s="2" t="s">
        <v>2665</v>
      </c>
      <c r="C800" s="2" t="s">
        <v>2710</v>
      </c>
      <c r="D800" s="2" t="s">
        <v>2711</v>
      </c>
      <c r="E800" s="2" t="str">
        <f ca="1">IFERROR(__xludf.DUMMYFUNCTION("GOOGLETRANSLATE(D800,""en"",""pt"")"),"Tentacruel é um Pokémon do tipo água/veneno introduzido na geração 1. É conhecido como Pokémon de Água -fisos.")</f>
        <v>Tentacruel é um Pokémon do tipo água/veneno introduzido na geração 1. É conhecido como Pokémon de Água -fisos.</v>
      </c>
      <c r="F800" s="2" t="str">
        <f ca="1">IFERROR(__xludf.DUMMYFUNCTION("GOOGLETRANSLATE(B800,""en"",""pt"")"),"Pokémon de água -viva")</f>
        <v>Pokémon de água -viva</v>
      </c>
    </row>
    <row r="801" spans="1:6" ht="15.75" customHeight="1" x14ac:dyDescent="0.25">
      <c r="A801" s="2" t="s">
        <v>2712</v>
      </c>
      <c r="B801" s="2" t="s">
        <v>2713</v>
      </c>
      <c r="C801" s="2" t="s">
        <v>2714</v>
      </c>
      <c r="D801" s="2" t="s">
        <v>2715</v>
      </c>
      <c r="E801" s="2" t="str">
        <f ca="1">IFERROR(__xludf.DUMMYFUNCTION("GOOGLETRANSLATE(D801,""en"",""pt"")"),"Primarina é um Pokémon do tipo água/fada introduzido na geração 7. É conhecido como Pokémon solista.
Ao dança, a Primarina libera balões de água para a área ao redor, movendo -os usando as ondas sonoras de sua voz. A visão do luar refletindo seus balões b"&amp;"rilhantes cria uma cena mágica. Como a Primarina controla seus balões usando sua voz, qualquer lesão na garganta pode se tornar um grave problema. Seus maiores inimigos são ambientes áridos e o uso excessivo de sua voz durante batalhas consecutivas.")</f>
        <v>Primarina é um Pokémon do tipo água/fada introduzido na geração 7. É conhecido como Pokémon solista.
Ao dança, a Primarina libera balões de água para a área ao redor, movendo -os usando as ondas sonoras de sua voz. A visão do luar refletindo seus balões brilhantes cria uma cena mágica. Como a Primarina controla seus balões usando sua voz, qualquer lesão na garganta pode se tornar um grave problema. Seus maiores inimigos são ambientes áridos e o uso excessivo de sua voz durante batalhas consecutivas.</v>
      </c>
      <c r="F801" s="2" t="str">
        <f ca="1">IFERROR(__xludf.DUMMYFUNCTION("GOOGLETRANSLATE(B801,""en"",""pt"")"),"Pokémon solista")</f>
        <v>Pokémon solista</v>
      </c>
    </row>
    <row r="802" spans="1:6" ht="15.75" customHeight="1" x14ac:dyDescent="0.25">
      <c r="A802" s="2" t="s">
        <v>2716</v>
      </c>
      <c r="B802" s="2" t="s">
        <v>2717</v>
      </c>
      <c r="C802" s="2" t="s">
        <v>2718</v>
      </c>
      <c r="D802" s="2" t="s">
        <v>2719</v>
      </c>
      <c r="E802" s="2" t="str">
        <f ca="1">IFERROR(__xludf.DUMMYFUNCTION("GOOGLETRANSLATE(D802,""en"",""pt"")"),"Pikipek é um Pokémon normal/voador introduzido na geração 7. É conhecido como Pokémon Woodpecker.
Pikipek pode atacar 16 vezes um segundo com seu bico. Essas greves são poderosas o suficiente para não apenas perfurar madeira dura, mas até pedra quebrada. "&amp;"Pikipek atacará oponentes distantes, fechando as sementes neles. Essas fotos têm força suficiente para incorporar as sementes em troncos de árvores.")</f>
        <v>Pikipek é um Pokémon normal/voador introduzido na geração 7. É conhecido como Pokémon Woodpecker.
Pikipek pode atacar 16 vezes um segundo com seu bico. Essas greves são poderosas o suficiente para não apenas perfurar madeira dura, mas até pedra quebrada. Pikipek atacará oponentes distantes, fechando as sementes neles. Essas fotos têm força suficiente para incorporar as sementes em troncos de árvores.</v>
      </c>
      <c r="F802" s="2" t="str">
        <f ca="1">IFERROR(__xludf.DUMMYFUNCTION("GOOGLETRANSLATE(B802,""en"",""pt"")"),"Pokémon de pica -pau")</f>
        <v>Pokémon de pica -pau</v>
      </c>
    </row>
    <row r="803" spans="1:6" ht="15.75" customHeight="1" x14ac:dyDescent="0.25">
      <c r="A803" s="2" t="s">
        <v>2720</v>
      </c>
      <c r="B803" s="2" t="s">
        <v>2721</v>
      </c>
      <c r="C803" s="2" t="s">
        <v>2722</v>
      </c>
      <c r="D803" s="2" t="s">
        <v>2723</v>
      </c>
      <c r="E803" s="2" t="str">
        <f ca="1">IFERROR(__xludf.DUMMYFUNCTION("GOOGLETRANSLATE(D803,""en"",""pt"")"),"Trumbeak é um Pokémon Normal/Voador Introduzido na Geração 7. É conhecido como Pokémon Bak Bak.")</f>
        <v>Trumbeak é um Pokémon Normal/Voador Introduzido na Geração 7. É conhecido como Pokémon Bak Bak.</v>
      </c>
      <c r="F803" s="2" t="str">
        <f ca="1">IFERROR(__xludf.DUMMYFUNCTION("GOOGLETRANSLATE(B803,""en"",""pt"")"),"Pokémon Pokémon de Bugle Bak")</f>
        <v>Pokémon Pokémon de Bugle Bak</v>
      </c>
    </row>
    <row r="804" spans="1:6" ht="15.75" customHeight="1" x14ac:dyDescent="0.25">
      <c r="A804" s="2" t="s">
        <v>2724</v>
      </c>
      <c r="B804" s="2" t="s">
        <v>2725</v>
      </c>
      <c r="C804" s="2" t="s">
        <v>2726</v>
      </c>
      <c r="D804" s="2" t="s">
        <v>2727</v>
      </c>
      <c r="E804" s="2" t="str">
        <f ca="1">IFERROR(__xludf.DUMMYFUNCTION("GOOGLETRANSLATE(D804,""en"",""pt"")"),"Toucannon é um Pokémon normal/voador introduzido na geração 7. É conhecido como Pokémon Cannon.")</f>
        <v>Toucannon é um Pokémon normal/voador introduzido na geração 7. É conhecido como Pokémon Cannon.</v>
      </c>
      <c r="F804" s="2" t="str">
        <f ca="1">IFERROR(__xludf.DUMMYFUNCTION("GOOGLETRANSLATE(B804,""en"",""pt"")"),"Pokémon de canhão")</f>
        <v>Pokémon de canhão</v>
      </c>
    </row>
    <row r="805" spans="1:6" ht="15.75" customHeight="1" x14ac:dyDescent="0.25">
      <c r="A805" s="2" t="s">
        <v>2728</v>
      </c>
      <c r="B805" s="2" t="s">
        <v>2729</v>
      </c>
      <c r="C805" s="2" t="s">
        <v>2730</v>
      </c>
      <c r="D805" s="2" t="s">
        <v>2731</v>
      </c>
      <c r="E805" s="2" t="str">
        <f ca="1">IFERROR(__xludf.DUMMYFUNCTION("GOOGLETRANSLATE(D805,""en"",""pt"")"),"Yungoos é um Pokémon do tipo normal introduzido na geração 7. É conhecido como Pokémon loitering.
Yungoos é um grande comedor que nunca é satisfeito. A maior parte de seu corpo longo é entregue ao estômago, e sua digestão é rápida, por isso está sempre co"&amp;"m fome. Possui presas fortes, para que possa esmagar e consumir os objetos mais difíceis.")</f>
        <v>Yungoos é um Pokémon do tipo normal introduzido na geração 7. É conhecido como Pokémon loitering.
Yungoos é um grande comedor que nunca é satisfeito. A maior parte de seu corpo longo é entregue ao estômago, e sua digestão é rápida, por isso está sempre com fome. Possui presas fortes, para que possa esmagar e consumir os objetos mais difíceis.</v>
      </c>
      <c r="F805" s="2" t="str">
        <f ca="1">IFERROR(__xludf.DUMMYFUNCTION("GOOGLETRANSLATE(B805,""en"",""pt"")"),"Pokémon loitering")</f>
        <v>Pokémon loitering</v>
      </c>
    </row>
    <row r="806" spans="1:6" ht="15.75" customHeight="1" x14ac:dyDescent="0.25">
      <c r="A806" s="2" t="s">
        <v>2732</v>
      </c>
      <c r="B806" s="2" t="s">
        <v>2733</v>
      </c>
      <c r="C806" s="2" t="s">
        <v>2734</v>
      </c>
      <c r="D806" s="2" t="s">
        <v>2735</v>
      </c>
      <c r="E806" s="2" t="str">
        <f ca="1">IFERROR(__xludf.DUMMYFUNCTION("GOOGLETRANSLATE(D806,""en"",""pt"")"),"O Gumshoos é um Pokémon do tipo normal introduzido na geração 7. É conhecido como Pokémon de Estoque.
O método de Gumshoos de direcionar presa é exatamente o oposto da estratégia de Yungoos. Enquanto Yungoos se aproxima, Gumshoos aposenta as rotas habitua"&amp;"is de suas presas e espera pacientemente que ela apareça.
Gumshoos tem uma personalidade tenaz, e é por isso que tem como alvo uma presa por tanto tempo sem vacilar. Mas quando o sol se põe, fica com pouca resistência, adormecendo bem no local. Gumshoos p"&amp;"ode suportar muita fome. É capaz de ficar perfeitamente imóvel enquanto aguarda sua presa, vigiando sem comer nada.
Gumshoos evolui de Yungoos.")</f>
        <v>O Gumshoos é um Pokémon do tipo normal introduzido na geração 7. É conhecido como Pokémon de Estoque.
O método de Gumshoos de direcionar presa é exatamente o oposto da estratégia de Yungoos. Enquanto Yungoos se aproxima, Gumshoos aposenta as rotas habituais de suas presas e espera pacientemente que ela apareça.
Gumshoos tem uma personalidade tenaz, e é por isso que tem como alvo uma presa por tanto tempo sem vacilar. Mas quando o sol se põe, fica com pouca resistência, adormecendo bem no local. Gumshoos pode suportar muita fome. É capaz de ficar perfeitamente imóvel enquanto aguarda sua presa, vigiando sem comer nada.
Gumshoos evolui de Yungoos.</v>
      </c>
      <c r="F806" s="2" t="str">
        <f ca="1">IFERROR(__xludf.DUMMYFUNCTION("GOOGLETRANSLATE(B806,""en"",""pt"")"),"Pokémon de estaca")</f>
        <v>Pokémon de estaca</v>
      </c>
    </row>
    <row r="807" spans="1:6" ht="15.75" customHeight="1" x14ac:dyDescent="0.25">
      <c r="A807" s="2" t="s">
        <v>2736</v>
      </c>
      <c r="B807" s="2" t="s">
        <v>2737</v>
      </c>
      <c r="C807" s="2" t="s">
        <v>2738</v>
      </c>
      <c r="D807" s="2" t="s">
        <v>2739</v>
      </c>
      <c r="E807" s="2" t="str">
        <f ca="1">IFERROR(__xludf.DUMMYFUNCTION("GOOGLETRANSLATE(D807,""en"",""pt"")"),"Grubbin é um Pokémon do tipo bug introduzido na geração 7. É conhecido como Larva Pokémon.
Grubbin conta com sua mandíbula resistente como uma arma em batalha e como uma ferramenta para escavar a terra. Grubbin adora eletricidade, e é por isso que pode se"&amp;"r encontrada perto de usinas e subestações de energia. Ao embrulhar galhos de árvores nos fios pegajosos que vomitam da boca, Grubbin pode girar como um ator nos fios da suspensão!
Grubbin evolui para Charjabug.")</f>
        <v>Grubbin é um Pokémon do tipo bug introduzido na geração 7. É conhecido como Larva Pokémon.
Grubbin conta com sua mandíbula resistente como uma arma em batalha e como uma ferramenta para escavar a terra. Grubbin adora eletricidade, e é por isso que pode ser encontrada perto de usinas e subestações de energia. Ao embrulhar galhos de árvores nos fios pegajosos que vomitam da boca, Grubbin pode girar como um ator nos fios da suspensão!
Grubbin evolui para Charjabug.</v>
      </c>
      <c r="F807" s="2" t="str">
        <f ca="1">IFERROR(__xludf.DUMMYFUNCTION("GOOGLETRANSLATE(B807,""en"",""pt"")"),"Larva Pokémon")</f>
        <v>Larva Pokémon</v>
      </c>
    </row>
    <row r="808" spans="1:6" ht="15.75" customHeight="1" x14ac:dyDescent="0.25">
      <c r="A808" s="2" t="s">
        <v>2740</v>
      </c>
      <c r="B808" s="2" t="s">
        <v>2741</v>
      </c>
      <c r="C808" s="2" t="s">
        <v>2742</v>
      </c>
      <c r="D808" s="2" t="s">
        <v>2743</v>
      </c>
      <c r="E808" s="2" t="str">
        <f ca="1">IFERROR(__xludf.DUMMYFUNCTION("GOOGLETRANSLATE(D808,""en"",""pt"")"),"Charjabug é um Pokémon do tipo bug/elétrico introduzido na geração 7. É conhecido como Pokémon da bateria.
Charjabug permanece perfeitamente imóvel em preparação para a evolução e geralmente passa tempo com seu corpo meio enterrado na terra. Charjabug é c"&amp;"apaz de armazenar eletricidade. Ele pode armazenar energia suficiente para administrar uma família por um dia inteiro. A energia que ele armazena pode ser fornecida a outros Pokémon, para que também possa servir como bateria!
Charjabug evolui de Grubbin e"&amp;" evolui para Vikavolt.")</f>
        <v>Charjabug é um Pokémon do tipo bug/elétrico introduzido na geração 7. É conhecido como Pokémon da bateria.
Charjabug permanece perfeitamente imóvel em preparação para a evolução e geralmente passa tempo com seu corpo meio enterrado na terra. Charjabug é capaz de armazenar eletricidade. Ele pode armazenar energia suficiente para administrar uma família por um dia inteiro. A energia que ele armazena pode ser fornecida a outros Pokémon, para que também possa servir como bateria!
Charjabug evolui de Grubbin e evolui para Vikavolt.</v>
      </c>
      <c r="F808" s="2" t="str">
        <f ca="1">IFERROR(__xludf.DUMMYFUNCTION("GOOGLETRANSLATE(B808,""en"",""pt"")"),"Pokémon da bateria")</f>
        <v>Pokémon da bateria</v>
      </c>
    </row>
    <row r="809" spans="1:6" ht="15.75" customHeight="1" x14ac:dyDescent="0.25">
      <c r="A809" s="2" t="s">
        <v>2744</v>
      </c>
      <c r="B809" s="2" t="s">
        <v>127</v>
      </c>
      <c r="C809" s="2" t="s">
        <v>2745</v>
      </c>
      <c r="D809" s="2" t="s">
        <v>2746</v>
      </c>
      <c r="E809" s="2" t="str">
        <f ca="1">IFERROR(__xludf.DUMMYFUNCTION("GOOGLETRANSLATE(D809,""en"",""pt"")"),"O Vikavolt é um Pokémon do tipo bug/elétrico introduzido na geração 7. É conhecido como Pokémon de Stag Beetle.
Vikavolt é como uma fortaleza que diminui a floresta, disparando um feixe de eletricidade da boca. Suas garras enormes controlam a eletricidade"&amp;" que explode. Vikavolt é adepto de manobras acrobáticas de vôo, como espinhos e curvas nítidas. Ele pode voar em alta velocidade, mesmo quando se aproxima do complicado emaranhado de galhos na floresta.
Vikavolt evolui de Charjabug.")</f>
        <v>O Vikavolt é um Pokémon do tipo bug/elétrico introduzido na geração 7. É conhecido como Pokémon de Stag Beetle.
Vikavolt é como uma fortaleza que diminui a floresta, disparando um feixe de eletricidade da boca. Suas garras enormes controlam a eletricidade que explode. Vikavolt é adepto de manobras acrobáticas de vôo, como espinhos e curvas nítidas. Ele pode voar em alta velocidade, mesmo quando se aproxima do complicado emaranhado de galhos na floresta.
Vikavolt evolui de Charjabug.</v>
      </c>
      <c r="F809" s="2" t="str">
        <f ca="1">IFERROR(__xludf.DUMMYFUNCTION("GOOGLETRANSLATE(B809,""en"",""pt"")"),"Pokémon de stag besouro")</f>
        <v>Pokémon de stag besouro</v>
      </c>
    </row>
    <row r="810" spans="1:6" ht="15.75" customHeight="1" x14ac:dyDescent="0.25">
      <c r="A810" s="2" t="s">
        <v>2747</v>
      </c>
      <c r="B810" s="2" t="s">
        <v>2748</v>
      </c>
      <c r="C810" s="2" t="s">
        <v>2749</v>
      </c>
      <c r="D810" s="2" t="s">
        <v>2750</v>
      </c>
      <c r="E810" s="2" t="str">
        <f ca="1">IFERROR(__xludf.DUMMYFUNCTION("GOOGLETRANSLATE(D810,""en"",""pt"")"),"Crabrawler é um Pokémon do tipo de luta introduzido na geração 7. É conhecido como Pokémon de boxe.
Crabrawler tem uma personalidade que realmente odeia perder, e é motivada não apenas a buscar uma posição mais alta do que seus companheiros em termos de p"&amp;"osição social, mas literalmente buscar uma posição mais alta na paisagem.
Crabrawler dá um bom chicote nos troncos das árvores para dar um bom shake aos galhos e bater em quaisquer bagas maduras no chão para que possam se banquetear.")</f>
        <v>Crabrawler é um Pokémon do tipo de luta introduzido na geração 7. É conhecido como Pokémon de boxe.
Crabrawler tem uma personalidade que realmente odeia perder, e é motivada não apenas a buscar uma posição mais alta do que seus companheiros em termos de posição social, mas literalmente buscar uma posição mais alta na paisagem.
Crabrawler dá um bom chicote nos troncos das árvores para dar um bom shake aos galhos e bater em quaisquer bagas maduras no chão para que possam se banquetear.</v>
      </c>
      <c r="F810" s="2" t="str">
        <f ca="1">IFERROR(__xludf.DUMMYFUNCTION("GOOGLETRANSLATE(B810,""en"",""pt"")"),"Pokémon de boxe")</f>
        <v>Pokémon de boxe</v>
      </c>
    </row>
    <row r="811" spans="1:6" ht="15.75" customHeight="1" x14ac:dyDescent="0.25">
      <c r="A811" s="2" t="s">
        <v>2751</v>
      </c>
      <c r="B811" s="2" t="s">
        <v>2752</v>
      </c>
      <c r="C811" s="2" t="s">
        <v>2753</v>
      </c>
      <c r="D811" s="2" t="s">
        <v>2754</v>
      </c>
      <c r="E811" s="2" t="str">
        <f ca="1">IFERROR(__xludf.DUMMYFUNCTION("GOOGLETRANSLATE(D811,""en"",""pt"")"),"Geodude é um Pokémon do tipo rocha/terra introduzido na geração 1. É conhecido como Pokémon Rock.")</f>
        <v>Geodude é um Pokémon do tipo rocha/terra introduzido na geração 1. É conhecido como Pokémon Rock.</v>
      </c>
      <c r="F811" s="2" t="str">
        <f ca="1">IFERROR(__xludf.DUMMYFUNCTION("GOOGLETRANSLATE(B811,""en"",""pt"")"),"Pokémon de rocha")</f>
        <v>Pokémon de rocha</v>
      </c>
    </row>
    <row r="812" spans="1:6" ht="15.75" customHeight="1" x14ac:dyDescent="0.25">
      <c r="A812" s="2" t="s">
        <v>2751</v>
      </c>
      <c r="B812" s="2" t="s">
        <v>2752</v>
      </c>
      <c r="C812" s="2" t="s">
        <v>2755</v>
      </c>
      <c r="D812" s="2" t="s">
        <v>2754</v>
      </c>
      <c r="E812" s="2" t="str">
        <f ca="1">IFERROR(__xludf.DUMMYFUNCTION("GOOGLETRANSLATE(D812,""en"",""pt"")"),"Geodude é um Pokémon do tipo rocha/terra introduzido na geração 1. É conhecido como Pokémon Rock.")</f>
        <v>Geodude é um Pokémon do tipo rocha/terra introduzido na geração 1. É conhecido como Pokémon Rock.</v>
      </c>
      <c r="F812" s="2" t="str">
        <f ca="1">IFERROR(__xludf.DUMMYFUNCTION("GOOGLETRANSLATE(B812,""en"",""pt"")"),"Pokémon de rocha")</f>
        <v>Pokémon de rocha</v>
      </c>
    </row>
    <row r="813" spans="1:6" ht="15.75" customHeight="1" x14ac:dyDescent="0.25">
      <c r="A813" s="2" t="s">
        <v>2756</v>
      </c>
      <c r="B813" s="2" t="s">
        <v>2757</v>
      </c>
      <c r="C813" s="2" t="s">
        <v>2758</v>
      </c>
      <c r="D813" s="2" t="s">
        <v>2759</v>
      </c>
      <c r="E813" s="2" t="str">
        <f ca="1">IFERROR(__xludf.DUMMYFUNCTION("GOOGLETRANSLATE(D813,""en"",""pt"")"),"Crabominable é um Pokémon de combate/gelo introduzido na geração 7. É conhecido como o Pokémon de Crada de Lã.")</f>
        <v>Crabominable é um Pokémon de combate/gelo introduzido na geração 7. É conhecido como o Pokémon de Crada de Lã.</v>
      </c>
      <c r="F813" s="2" t="str">
        <f ca="1">IFERROR(__xludf.DUMMYFUNCTION("GOOGLETRANSLATE(B813,""en"",""pt"")"),"Pokémon de caranguejo de lã")</f>
        <v>Pokémon de caranguejo de lã</v>
      </c>
    </row>
    <row r="814" spans="1:6" ht="15.75" customHeight="1" x14ac:dyDescent="0.25">
      <c r="A814" s="2" t="s">
        <v>2760</v>
      </c>
      <c r="B814" s="2" t="s">
        <v>2761</v>
      </c>
      <c r="C814" s="2" t="s">
        <v>2762</v>
      </c>
      <c r="D814" s="2" t="s">
        <v>2763</v>
      </c>
      <c r="E814" s="2" t="str">
        <f ca="1">IFERROR(__xludf.DUMMYFUNCTION("GOOGLETRANSLATE(D814,""en"",""pt"")"),"O Oricorio é um Pokémon de Fogo/Voador Introduzido na Geração 7. É conhecido como Pokémon Dancing.
Oricorio tem quatro formas diferentes - uma para cada uma das ilhas de Alola. O Oricorio muda sua forma bebendo o néctar de certas flores.
O estilo Baile Or"&amp;"icorio é muito apaixonado e o poder preenche seu corpo quando dança. Ele envia fofo descendente voando durante suas danças intensas.
O estilo Pom-Pom Oricorio é muito amigável com as pessoas e usa a dança para incentivar treinadores que estão se sentindo "&amp;"sombrios. Quando dança, suas penas são carregadas com eletricidade estática.
O estilo Pa'u Oricorio age no seu próprio ritmo, o que às vezes dificulta a lida. Afiga seus movimentos animados pela dança, o que aumenta seu poder psíquico.
O estilo sensu Oric"&amp;"orio é silencioso e coletado. Por meio de sua dança, ela reúne os espíritos flutuando em uma área e empresta seu poder de lutar.")</f>
        <v>O Oricorio é um Pokémon de Fogo/Voador Introduzido na Geração 7. É conhecido como Pokémon Dancing.
Oricorio tem quatro formas diferentes - uma para cada uma das ilhas de Alola. O Oricorio muda sua forma bebendo o néctar de certas flores.
O estilo Baile Oricorio é muito apaixonado e o poder preenche seu corpo quando dança. Ele envia fofo descendente voando durante suas danças intensas.
O estilo Pom-Pom Oricorio é muito amigável com as pessoas e usa a dança para incentivar treinadores que estão se sentindo sombrios. Quando dança, suas penas são carregadas com eletricidade estática.
O estilo Pa'u Oricorio age no seu próprio ritmo, o que às vezes dificulta a lida. Afiga seus movimentos animados pela dança, o que aumenta seu poder psíquico.
O estilo sensu Oricorio é silencioso e coletado. Por meio de sua dança, ela reúne os espíritos flutuando em uma área e empresta seu poder de lutar.</v>
      </c>
      <c r="F814" s="2" t="str">
        <f ca="1">IFERROR(__xludf.DUMMYFUNCTION("GOOGLETRANSLATE(B814,""en"",""pt"")"),"Pokémon dançando")</f>
        <v>Pokémon dançando</v>
      </c>
    </row>
    <row r="815" spans="1:6" ht="15.75" customHeight="1" x14ac:dyDescent="0.25">
      <c r="A815" s="2" t="s">
        <v>2760</v>
      </c>
      <c r="B815" s="2" t="s">
        <v>2761</v>
      </c>
      <c r="C815" s="2" t="s">
        <v>2764</v>
      </c>
      <c r="D815" s="2" t="s">
        <v>2763</v>
      </c>
      <c r="E815" s="2" t="str">
        <f ca="1">IFERROR(__xludf.DUMMYFUNCTION("GOOGLETRANSLATE(D815,""en"",""pt"")"),"O Oricorio é um Pokémon de Fogo/Voador Introduzido na Geração 7. É conhecido como Pokémon Dancing.
Oricorio tem quatro formas diferentes - uma para cada uma das ilhas de Alola. O Oricorio muda sua forma bebendo o néctar de certas flores.
O estilo Baile Or"&amp;"icorio é muito apaixonado e o poder preenche seu corpo quando dança. Ele envia fofo descendente voando durante suas danças intensas.
O estilo Pom-Pom Oricorio é muito amigável com as pessoas e usa a dança para incentivar treinadores que estão se sentindo "&amp;"sombrios. Quando dança, suas penas são carregadas com eletricidade estática.
O estilo Pa'u Oricorio age no seu próprio ritmo, o que às vezes dificulta a lida. Afiga seus movimentos animados pela dança, o que aumenta seu poder psíquico.
O estilo sensu Oric"&amp;"orio é silencioso e coletado. Por meio de sua dança, ela reúne os espíritos flutuando em uma área e empresta seu poder de lutar.")</f>
        <v>O Oricorio é um Pokémon de Fogo/Voador Introduzido na Geração 7. É conhecido como Pokémon Dancing.
Oricorio tem quatro formas diferentes - uma para cada uma das ilhas de Alola. O Oricorio muda sua forma bebendo o néctar de certas flores.
O estilo Baile Oricorio é muito apaixonado e o poder preenche seu corpo quando dança. Ele envia fofo descendente voando durante suas danças intensas.
O estilo Pom-Pom Oricorio é muito amigável com as pessoas e usa a dança para incentivar treinadores que estão se sentindo sombrios. Quando dança, suas penas são carregadas com eletricidade estática.
O estilo Pa'u Oricorio age no seu próprio ritmo, o que às vezes dificulta a lida. Afiga seus movimentos animados pela dança, o que aumenta seu poder psíquico.
O estilo sensu Oricorio é silencioso e coletado. Por meio de sua dança, ela reúne os espíritos flutuando em uma área e empresta seu poder de lutar.</v>
      </c>
      <c r="F815" s="2" t="str">
        <f ca="1">IFERROR(__xludf.DUMMYFUNCTION("GOOGLETRANSLATE(B815,""en"",""pt"")"),"Pokémon dançando")</f>
        <v>Pokémon dançando</v>
      </c>
    </row>
    <row r="816" spans="1:6" ht="15.75" customHeight="1" x14ac:dyDescent="0.25">
      <c r="A816" s="2" t="s">
        <v>2760</v>
      </c>
      <c r="B816" s="2" t="s">
        <v>2761</v>
      </c>
      <c r="C816" s="2" t="s">
        <v>2765</v>
      </c>
      <c r="D816" s="2" t="s">
        <v>2763</v>
      </c>
      <c r="E816" s="2" t="str">
        <f ca="1">IFERROR(__xludf.DUMMYFUNCTION("GOOGLETRANSLATE(D816,""en"",""pt"")"),"O Oricorio é um Pokémon de Fogo/Voador Introduzido na Geração 7. É conhecido como Pokémon Dancing.
Oricorio tem quatro formas diferentes - uma para cada uma das ilhas de Alola. O Oricorio muda sua forma bebendo o néctar de certas flores.
O estilo Baile Or"&amp;"icorio é muito apaixonado e o poder preenche seu corpo quando dança. Ele envia fofo descendente voando durante suas danças intensas.
O estilo Pom-Pom Oricorio é muito amigável com as pessoas e usa a dança para incentivar treinadores que estão se sentindo "&amp;"sombrios. Quando dança, suas penas são carregadas com eletricidade estática.
O estilo Pa'u Oricorio age no seu próprio ritmo, o que às vezes dificulta a lida. Afiga seus movimentos animados pela dança, o que aumenta seu poder psíquico.
O estilo sensu Oric"&amp;"orio é silencioso e coletado. Por meio de sua dança, ela reúne os espíritos flutuando em uma área e empresta seu poder de lutar.")</f>
        <v>O Oricorio é um Pokémon de Fogo/Voador Introduzido na Geração 7. É conhecido como Pokémon Dancing.
Oricorio tem quatro formas diferentes - uma para cada uma das ilhas de Alola. O Oricorio muda sua forma bebendo o néctar de certas flores.
O estilo Baile Oricorio é muito apaixonado e o poder preenche seu corpo quando dança. Ele envia fofo descendente voando durante suas danças intensas.
O estilo Pom-Pom Oricorio é muito amigável com as pessoas e usa a dança para incentivar treinadores que estão se sentindo sombrios. Quando dança, suas penas são carregadas com eletricidade estática.
O estilo Pa'u Oricorio age no seu próprio ritmo, o que às vezes dificulta a lida. Afiga seus movimentos animados pela dança, o que aumenta seu poder psíquico.
O estilo sensu Oricorio é silencioso e coletado. Por meio de sua dança, ela reúne os espíritos flutuando em uma área e empresta seu poder de lutar.</v>
      </c>
      <c r="F816" s="2" t="str">
        <f ca="1">IFERROR(__xludf.DUMMYFUNCTION("GOOGLETRANSLATE(B816,""en"",""pt"")"),"Pokémon dançando")</f>
        <v>Pokémon dançando</v>
      </c>
    </row>
    <row r="817" spans="1:6" ht="15.75" customHeight="1" x14ac:dyDescent="0.25">
      <c r="A817" s="2" t="s">
        <v>2760</v>
      </c>
      <c r="B817" s="2" t="s">
        <v>2761</v>
      </c>
      <c r="C817" s="2" t="s">
        <v>2766</v>
      </c>
      <c r="D817" s="2" t="s">
        <v>2763</v>
      </c>
      <c r="E817" s="2" t="str">
        <f ca="1">IFERROR(__xludf.DUMMYFUNCTION("GOOGLETRANSLATE(D817,""en"",""pt"")"),"O Oricorio é um Pokémon de Fogo/Voador Introduzido na Geração 7. É conhecido como Pokémon Dancing.
Oricorio tem quatro formas diferentes - uma para cada uma das ilhas de Alola. O Oricorio muda sua forma bebendo o néctar de certas flores.
O estilo Baile Or"&amp;"icorio é muito apaixonado e o poder preenche seu corpo quando dança. Ele envia fofo descendente voando durante suas danças intensas.
O estilo Pom-Pom Oricorio é muito amigável com as pessoas e usa a dança para incentivar treinadores que estão se sentindo "&amp;"sombrios. Quando dança, suas penas são carregadas com eletricidade estática.
O estilo Pa'u Oricorio age no seu próprio ritmo, o que às vezes dificulta a lida. Afiga seus movimentos animados pela dança, o que aumenta seu poder psíquico.
O estilo sensu Oric"&amp;"orio é silencioso e coletado. Por meio de sua dança, ela reúne os espíritos flutuando em uma área e empresta seu poder de lutar.")</f>
        <v>O Oricorio é um Pokémon de Fogo/Voador Introduzido na Geração 7. É conhecido como Pokémon Dancing.
Oricorio tem quatro formas diferentes - uma para cada uma das ilhas de Alola. O Oricorio muda sua forma bebendo o néctar de certas flores.
O estilo Baile Oricorio é muito apaixonado e o poder preenche seu corpo quando dança. Ele envia fofo descendente voando durante suas danças intensas.
O estilo Pom-Pom Oricorio é muito amigável com as pessoas e usa a dança para incentivar treinadores que estão se sentindo sombrios. Quando dança, suas penas são carregadas com eletricidade estática.
O estilo Pa'u Oricorio age no seu próprio ritmo, o que às vezes dificulta a lida. Afiga seus movimentos animados pela dança, o que aumenta seu poder psíquico.
O estilo sensu Oricorio é silencioso e coletado. Por meio de sua dança, ela reúne os espíritos flutuando em uma área e empresta seu poder de lutar.</v>
      </c>
      <c r="F817" s="2" t="str">
        <f ca="1">IFERROR(__xludf.DUMMYFUNCTION("GOOGLETRANSLATE(B817,""en"",""pt"")"),"Pokémon dançando")</f>
        <v>Pokémon dançando</v>
      </c>
    </row>
    <row r="818" spans="1:6" ht="15.75" customHeight="1" x14ac:dyDescent="0.25">
      <c r="A818" s="2" t="s">
        <v>2767</v>
      </c>
      <c r="B818" s="2" t="s">
        <v>2768</v>
      </c>
      <c r="C818" s="2" t="s">
        <v>2769</v>
      </c>
      <c r="D818" s="2" t="s">
        <v>2770</v>
      </c>
      <c r="E818" s="2" t="str">
        <f ca="1">IFERROR(__xludf.DUMMYFUNCTION("GOOGLETRANSLATE(D818,""en"",""pt"")"),"Cutiefly é um Pokémon do tipo bug/fada introduzido na geração 7. É conhecido como Pokémon Fly BEE.
O Cutiefly pode detectar as auras dos seres vivos, incluindo pessoas, Pokémon e plantas. Eles procuram flores pela cor e brilho de suas auras e depois reune"&amp;"m seu néctar e pólen.
Quando as criaturas vivas estão empolgadas, parece que suas auras se assemelham às das flores em plena floração. Como resultado, esses Pokémon tendem a se reunir perto de pessoas ou Pokémon se sentindo particularmente felizes ou tris"&amp;"tes.")</f>
        <v>Cutiefly é um Pokémon do tipo bug/fada introduzido na geração 7. É conhecido como Pokémon Fly BEE.
O Cutiefly pode detectar as auras dos seres vivos, incluindo pessoas, Pokémon e plantas. Eles procuram flores pela cor e brilho de suas auras e depois reunem seu néctar e pólen.
Quando as criaturas vivas estão empolgadas, parece que suas auras se assemelham às das flores em plena floração. Como resultado, esses Pokémon tendem a se reunir perto de pessoas ou Pokémon se sentindo particularmente felizes ou tristes.</v>
      </c>
      <c r="F818" s="2" t="str">
        <f ca="1">IFERROR(__xludf.DUMMYFUNCTION("GOOGLETRANSLATE(B818,""en"",""pt"")"),"Pokémon de Fly BEE")</f>
        <v>Pokémon de Fly BEE</v>
      </c>
    </row>
    <row r="819" spans="1:6" ht="15.75" customHeight="1" x14ac:dyDescent="0.25">
      <c r="A819" s="2" t="s">
        <v>2771</v>
      </c>
      <c r="B819" s="2" t="s">
        <v>2768</v>
      </c>
      <c r="C819" s="2" t="s">
        <v>2772</v>
      </c>
      <c r="D819" s="2" t="s">
        <v>2773</v>
      </c>
      <c r="E819" s="2" t="str">
        <f ca="1">IFERROR(__xludf.DUMMYFUNCTION("GOOGLETRANSLATE(D819,""en"",""pt"")"),"O Ribombee é um Pokémon do tipo bug/fada introduzido na geração 7. É conhecido como Pokémon Fly BEE.
O ribombee coleciona néctar de flores e pólen para transformar bolas conhecidas como sopros de pólen. Isso serve como alimento e, além disso, também podem"&amp;" causar efeitos como paralisia ou tontura. O Ribombee pode usar sopros para atingir seus oponentes durante as batalhas.")</f>
        <v>O Ribombee é um Pokémon do tipo bug/fada introduzido na geração 7. É conhecido como Pokémon Fly BEE.
O ribombee coleciona néctar de flores e pólen para transformar bolas conhecidas como sopros de pólen. Isso serve como alimento e, além disso, também podem causar efeitos como paralisia ou tontura. O Ribombee pode usar sopros para atingir seus oponentes durante as batalhas.</v>
      </c>
      <c r="F819" s="2" t="str">
        <f ca="1">IFERROR(__xludf.DUMMYFUNCTION("GOOGLETRANSLATE(B819,""en"",""pt"")"),"Pokémon de Fly BEE")</f>
        <v>Pokémon de Fly BEE</v>
      </c>
    </row>
    <row r="820" spans="1:6" ht="15.75" customHeight="1" x14ac:dyDescent="0.25">
      <c r="A820" s="2" t="s">
        <v>2774</v>
      </c>
      <c r="B820" s="2" t="s">
        <v>1764</v>
      </c>
      <c r="C820" s="2" t="s">
        <v>2775</v>
      </c>
      <c r="D820" s="2" t="s">
        <v>2776</v>
      </c>
      <c r="E820" s="2" t="str">
        <f ca="1">IFERROR(__xludf.DUMMYFUNCTION("GOOGLETRANSLATE(D820,""en"",""pt"")"),"Rockruff é um Pokémon do tipo rock introduzido na geração 7. É conhecido como Pokémon Puppy.
O Rockruff tem um excelente olfato e, uma vez que cheirou um odor, não esquece! Há histórias desses Pokémon se separando de seus treinadores e, em seguida, usando"&amp;" os traços mais fracos de seu perfume para rastreá -los por dias até que sejam reunidos!
Rockruff é um Pokémon sociável, mas à medida que cresce, sua disposição fica mais selvagem. Se começa a uivar quando o sol se põe, isso é a prova de que está perto de"&amp;" evoluir. Dizem que ele deixa o lado do treinador para evoluir e retornar novamente quando evoluiu totalmente.")</f>
        <v>Rockruff é um Pokémon do tipo rock introduzido na geração 7. É conhecido como Pokémon Puppy.
O Rockruff tem um excelente olfato e, uma vez que cheirou um odor, não esquece! Há histórias desses Pokémon se separando de seus treinadores e, em seguida, usando os traços mais fracos de seu perfume para rastreá -los por dias até que sejam reunidos!
Rockruff é um Pokémon sociável, mas à medida que cresce, sua disposição fica mais selvagem. Se começa a uivar quando o sol se põe, isso é a prova de que está perto de evoluir. Dizem que ele deixa o lado do treinador para evoluir e retornar novamente quando evoluiu totalmente.</v>
      </c>
      <c r="F820" s="2" t="str">
        <f ca="1">IFERROR(__xludf.DUMMYFUNCTION("GOOGLETRANSLATE(B820,""en"",""pt"")"),"Pokémon de cachorro")</f>
        <v>Pokémon de cachorro</v>
      </c>
    </row>
    <row r="821" spans="1:6" ht="15.75" customHeight="1" x14ac:dyDescent="0.25">
      <c r="A821" s="2" t="s">
        <v>2774</v>
      </c>
      <c r="B821" s="2" t="s">
        <v>1764</v>
      </c>
      <c r="C821" s="2" t="s">
        <v>2777</v>
      </c>
      <c r="D821" s="2" t="s">
        <v>2776</v>
      </c>
      <c r="E821" s="2" t="str">
        <f ca="1">IFERROR(__xludf.DUMMYFUNCTION("GOOGLETRANSLATE(D821,""en"",""pt"")"),"Rockruff é um Pokémon do tipo rock introduzido na geração 7. É conhecido como Pokémon Puppy.
O Rockruff tem um excelente olfato e, uma vez que cheirou um odor, não esquece! Há histórias desses Pokémon se separando de seus treinadores e, em seguida, usando"&amp;" os traços mais fracos de seu perfume para rastreá -los por dias até que sejam reunidos!
Rockruff é um Pokémon sociável, mas à medida que cresce, sua disposição fica mais selvagem. Se começa a uivar quando o sol se põe, isso é a prova de que está perto de"&amp;" evoluir. Dizem que ele deixa o lado do treinador para evoluir e retornar novamente quando evoluiu totalmente.")</f>
        <v>Rockruff é um Pokémon do tipo rock introduzido na geração 7. É conhecido como Pokémon Puppy.
O Rockruff tem um excelente olfato e, uma vez que cheirou um odor, não esquece! Há histórias desses Pokémon se separando de seus treinadores e, em seguida, usando os traços mais fracos de seu perfume para rastreá -los por dias até que sejam reunidos!
Rockruff é um Pokémon sociável, mas à medida que cresce, sua disposição fica mais selvagem. Se começa a uivar quando o sol se põe, isso é a prova de que está perto de evoluir. Dizem que ele deixa o lado do treinador para evoluir e retornar novamente quando evoluiu totalmente.</v>
      </c>
      <c r="F821" s="2" t="str">
        <f ca="1">IFERROR(__xludf.DUMMYFUNCTION("GOOGLETRANSLATE(B821,""en"",""pt"")"),"Pokémon de cachorro")</f>
        <v>Pokémon de cachorro</v>
      </c>
    </row>
    <row r="822" spans="1:6" ht="15.75" customHeight="1" x14ac:dyDescent="0.25">
      <c r="A822" s="2" t="s">
        <v>2778</v>
      </c>
      <c r="B822" s="2" t="s">
        <v>2779</v>
      </c>
      <c r="C822" s="2" t="s">
        <v>2780</v>
      </c>
      <c r="D822" s="2" t="s">
        <v>2781</v>
      </c>
      <c r="E822" s="2" t="str">
        <f ca="1">IFERROR(__xludf.DUMMYFUNCTION("GOOGLETRANSLATE(D822,""en"",""pt"")"),"Lycanroc é um Pokémon do tipo rock introduzido na geração 7. É conhecido como Pokémon Wolf.
Lycanroc tem três formas. A forma do meio -dia e a forma da meia -noite estavam disponíveis em Pokémon Sun &amp; Moon, enquanto a forma do anoitecer foi adicionada na "&amp;"Ultra Sun &amp; Ultra Moon. Lycanroc evolui do Rockruff para uma das formas:
Em Pokémon Sun, influenciado por Solgaleo, o Rockruff evolui para a forma do meio -dia de Lycanroc.
Em Pokémon Moon, influenciado por Lunala, o Rockruff evolui para a forma de Midni"&amp;"ght Lycanroc.
Em Pokémon Ultra Sun/Moon, um evento especial Rockruff (do presente misterioso) evolui para a forma de Lycanroc Dusk.")</f>
        <v>Lycanroc é um Pokémon do tipo rock introduzido na geração 7. É conhecido como Pokémon Wolf.
Lycanroc tem três formas. A forma do meio -dia e a forma da meia -noite estavam disponíveis em Pokémon Sun &amp; Moon, enquanto a forma do anoitecer foi adicionada na Ultra Sun &amp; Ultra Moon. Lycanroc evolui do Rockruff para uma das formas:
Em Pokémon Sun, influenciado por Solgaleo, o Rockruff evolui para a forma do meio -dia de Lycanroc.
Em Pokémon Moon, influenciado por Lunala, o Rockruff evolui para a forma de Midnight Lycanroc.
Em Pokémon Ultra Sun/Moon, um evento especial Rockruff (do presente misterioso) evolui para a forma de Lycanroc Dusk.</v>
      </c>
      <c r="F822" s="2" t="str">
        <f ca="1">IFERROR(__xludf.DUMMYFUNCTION("GOOGLETRANSLATE(B822,""en"",""pt"")"),"Pokémon de lobo")</f>
        <v>Pokémon de lobo</v>
      </c>
    </row>
    <row r="823" spans="1:6" ht="15.75" customHeight="1" x14ac:dyDescent="0.25">
      <c r="A823" s="2" t="s">
        <v>2778</v>
      </c>
      <c r="B823" s="2" t="s">
        <v>2779</v>
      </c>
      <c r="C823" s="2" t="s">
        <v>2782</v>
      </c>
      <c r="D823" s="2" t="s">
        <v>2781</v>
      </c>
      <c r="E823" s="2" t="str">
        <f ca="1">IFERROR(__xludf.DUMMYFUNCTION("GOOGLETRANSLATE(D823,""en"",""pt"")"),"Lycanroc é um Pokémon do tipo rock introduzido na geração 7. É conhecido como Pokémon Wolf.
Lycanroc tem três formas. A forma do meio -dia e a forma da meia -noite estavam disponíveis em Pokémon Sun &amp; Moon, enquanto a forma do anoitecer foi adicionada na "&amp;"Ultra Sun &amp; Ultra Moon. Lycanroc evolui do Rockruff para uma das formas:
Em Pokémon Sun, influenciado por Solgaleo, o Rockruff evolui para a forma do meio -dia de Lycanroc.
Em Pokémon Moon, influenciado por Lunala, o Rockruff evolui para a forma de Midni"&amp;"ght Lycanroc.
Em Pokémon Ultra Sun/Moon, um evento especial Rockruff (do presente misterioso) evolui para a forma de Lycanroc Dusk.")</f>
        <v>Lycanroc é um Pokémon do tipo rock introduzido na geração 7. É conhecido como Pokémon Wolf.
Lycanroc tem três formas. A forma do meio -dia e a forma da meia -noite estavam disponíveis em Pokémon Sun &amp; Moon, enquanto a forma do anoitecer foi adicionada na Ultra Sun &amp; Ultra Moon. Lycanroc evolui do Rockruff para uma das formas:
Em Pokémon Sun, influenciado por Solgaleo, o Rockruff evolui para a forma do meio -dia de Lycanroc.
Em Pokémon Moon, influenciado por Lunala, o Rockruff evolui para a forma de Midnight Lycanroc.
Em Pokémon Ultra Sun/Moon, um evento especial Rockruff (do presente misterioso) evolui para a forma de Lycanroc Dusk.</v>
      </c>
      <c r="F823" s="2" t="str">
        <f ca="1">IFERROR(__xludf.DUMMYFUNCTION("GOOGLETRANSLATE(B823,""en"",""pt"")"),"Pokémon de lobo")</f>
        <v>Pokémon de lobo</v>
      </c>
    </row>
    <row r="824" spans="1:6" ht="15.75" customHeight="1" x14ac:dyDescent="0.25">
      <c r="A824" s="2" t="s">
        <v>2778</v>
      </c>
      <c r="B824" s="2" t="s">
        <v>2779</v>
      </c>
      <c r="C824" s="2" t="s">
        <v>2783</v>
      </c>
      <c r="D824" s="2" t="s">
        <v>2781</v>
      </c>
      <c r="E824" s="2" t="str">
        <f ca="1">IFERROR(__xludf.DUMMYFUNCTION("GOOGLETRANSLATE(D824,""en"",""pt"")"),"Lycanroc é um Pokémon do tipo rock introduzido na geração 7. É conhecido como Pokémon Wolf.
Lycanroc tem três formas. A forma do meio -dia e a forma da meia -noite estavam disponíveis em Pokémon Sun &amp; Moon, enquanto a forma do anoitecer foi adicionada na "&amp;"Ultra Sun &amp; Ultra Moon. Lycanroc evolui do Rockruff para uma das formas:
Em Pokémon Sun, influenciado por Solgaleo, o Rockruff evolui para a forma do meio -dia de Lycanroc.
Em Pokémon Moon, influenciado por Lunala, o Rockruff evolui para a forma de Midni"&amp;"ght Lycanroc.
Em Pokémon Ultra Sun/Moon, um evento especial Rockruff (do presente misterioso) evolui para a forma de Lycanroc Dusk.")</f>
        <v>Lycanroc é um Pokémon do tipo rock introduzido na geração 7. É conhecido como Pokémon Wolf.
Lycanroc tem três formas. A forma do meio -dia e a forma da meia -noite estavam disponíveis em Pokémon Sun &amp; Moon, enquanto a forma do anoitecer foi adicionada na Ultra Sun &amp; Ultra Moon. Lycanroc evolui do Rockruff para uma das formas:
Em Pokémon Sun, influenciado por Solgaleo, o Rockruff evolui para a forma do meio -dia de Lycanroc.
Em Pokémon Moon, influenciado por Lunala, o Rockruff evolui para a forma de Midnight Lycanroc.
Em Pokémon Ultra Sun/Moon, um evento especial Rockruff (do presente misterioso) evolui para a forma de Lycanroc Dusk.</v>
      </c>
      <c r="F824" s="2" t="str">
        <f ca="1">IFERROR(__xludf.DUMMYFUNCTION("GOOGLETRANSLATE(B824,""en"",""pt"")"),"Pokémon de lobo")</f>
        <v>Pokémon de lobo</v>
      </c>
    </row>
    <row r="825" spans="1:6" ht="15.75" customHeight="1" x14ac:dyDescent="0.25">
      <c r="A825" s="2" t="s">
        <v>2784</v>
      </c>
      <c r="B825" s="2" t="s">
        <v>2785</v>
      </c>
      <c r="C825" s="2" t="s">
        <v>2786</v>
      </c>
      <c r="D825" s="2" t="s">
        <v>2787</v>
      </c>
      <c r="E825" s="2" t="str">
        <f ca="1">IFERROR(__xludf.DUMMYFUNCTION("GOOGLETRANSLATE(D825,""en"",""pt"")"),"Wishiwashi é um Pokémon do tipo água introduzido na geração 7. É conhecido como o pequeno Pokémon Fry.
Wishiwashi é muito pequeno, mas o povo da região de Alola parece vê -lo como um Pokémon aterrorizante. Quando está em perigo, os olhos brilhantes de Wis"&amp;"hiwashi pegam a luz e brilham, enviando um sinal SOS para seus aliados.")</f>
        <v>Wishiwashi é um Pokémon do tipo água introduzido na geração 7. É conhecido como o pequeno Pokémon Fry.
Wishiwashi é muito pequeno, mas o povo da região de Alola parece vê -lo como um Pokémon aterrorizante. Quando está em perigo, os olhos brilhantes de Wishiwashi pegam a luz e brilham, enviando um sinal SOS para seus aliados.</v>
      </c>
      <c r="F825" s="2" t="str">
        <f ca="1">IFERROR(__xludf.DUMMYFUNCTION("GOOGLETRANSLATE(B825,""en"",""pt"")"),"Pequeno Pokémon Fry")</f>
        <v>Pequeno Pokémon Fry</v>
      </c>
    </row>
    <row r="826" spans="1:6" ht="15.75" customHeight="1" x14ac:dyDescent="0.25">
      <c r="A826" s="2" t="s">
        <v>2784</v>
      </c>
      <c r="B826" s="2" t="s">
        <v>2785</v>
      </c>
      <c r="C826" s="2" t="s">
        <v>2788</v>
      </c>
      <c r="D826" s="2" t="s">
        <v>2787</v>
      </c>
      <c r="E826" s="2" t="str">
        <f ca="1">IFERROR(__xludf.DUMMYFUNCTION("GOOGLETRANSLATE(D826,""en"",""pt"")"),"Wishiwashi é um Pokémon do tipo água introduzido na geração 7. É conhecido como o pequeno Pokémon Fry.
Wishiwashi é muito pequeno, mas o povo da região de Alola parece vê -lo como um Pokémon aterrorizante. Quando está em perigo, os olhos brilhantes de Wis"&amp;"hiwashi pegam a luz e brilham, enviando um sinal SOS para seus aliados.")</f>
        <v>Wishiwashi é um Pokémon do tipo água introduzido na geração 7. É conhecido como o pequeno Pokémon Fry.
Wishiwashi é muito pequeno, mas o povo da região de Alola parece vê -lo como um Pokémon aterrorizante. Quando está em perigo, os olhos brilhantes de Wishiwashi pegam a luz e brilham, enviando um sinal SOS para seus aliados.</v>
      </c>
      <c r="F826" s="2" t="str">
        <f ca="1">IFERROR(__xludf.DUMMYFUNCTION("GOOGLETRANSLATE(B826,""en"",""pt"")"),"Pequeno Pokémon Fry")</f>
        <v>Pequeno Pokémon Fry</v>
      </c>
    </row>
    <row r="827" spans="1:6" ht="15.75" customHeight="1" x14ac:dyDescent="0.25">
      <c r="A827" s="2" t="s">
        <v>2789</v>
      </c>
      <c r="B827" s="2" t="s">
        <v>2790</v>
      </c>
      <c r="C827" s="2" t="s">
        <v>2791</v>
      </c>
      <c r="D827" s="2" t="s">
        <v>2792</v>
      </c>
      <c r="E827" s="2" t="str">
        <f ca="1">IFERROR(__xludf.DUMMYFUNCTION("GOOGLETRANSLATE(D827,""en"",""pt"")"),"Mareenie é um Pokémon do tipo veneno/água introduzido na geração 7. É conhecido como Pokémon Brutal Star.")</f>
        <v>Mareenie é um Pokémon do tipo veneno/água introduzido na geração 7. É conhecido como Pokémon Brutal Star.</v>
      </c>
      <c r="F827" s="2" t="str">
        <f ca="1">IFERROR(__xludf.DUMMYFUNCTION("GOOGLETRANSLATE(B827,""en"",""pt"")"),"Pokémon de estrela brutal")</f>
        <v>Pokémon de estrela brutal</v>
      </c>
    </row>
    <row r="828" spans="1:6" ht="15.75" customHeight="1" x14ac:dyDescent="0.25">
      <c r="A828" s="2" t="s">
        <v>2793</v>
      </c>
      <c r="B828" s="2" t="s">
        <v>2790</v>
      </c>
      <c r="C828" s="2" t="s">
        <v>2794</v>
      </c>
      <c r="D828" s="2" t="s">
        <v>2795</v>
      </c>
      <c r="E828" s="2" t="str">
        <f ca="1">IFERROR(__xludf.DUMMYFUNCTION("GOOGLETRANSLATE(D828,""en"",""pt"")"),"Toxapex é um Pokémon do tipo veneno/água introduzido na geração 7. É conhecido como Pokémon Brutal Star.")</f>
        <v>Toxapex é um Pokémon do tipo veneno/água introduzido na geração 7. É conhecido como Pokémon Brutal Star.</v>
      </c>
      <c r="F828" s="2" t="str">
        <f ca="1">IFERROR(__xludf.DUMMYFUNCTION("GOOGLETRANSLATE(B828,""en"",""pt"")"),"Pokémon de estrela brutal")</f>
        <v>Pokémon de estrela brutal</v>
      </c>
    </row>
    <row r="829" spans="1:6" ht="15.75" customHeight="1" x14ac:dyDescent="0.25">
      <c r="A829" s="2" t="s">
        <v>2796</v>
      </c>
      <c r="B829" s="2" t="s">
        <v>2797</v>
      </c>
      <c r="C829" s="2" t="s">
        <v>2798</v>
      </c>
      <c r="D829" s="2" t="s">
        <v>2799</v>
      </c>
      <c r="E829" s="2" t="str">
        <f ca="1">IFERROR(__xludf.DUMMYFUNCTION("GOOGLETRANSLATE(D829,""en"",""pt"")"),"Mudbray é um Pokémon do tipo terra introduzido na geração 7. É conhecido como Pokémon de Donkey.
Mudbray poderia ser encontrado em todo o mundo, mas foi caçado demais e acabou à beira da extinção. Dizem que a região de Alola é o único lugar no mundo onde "&amp;"o Mudbray ainda pode ser encontrado na natureza.
Mudbray possui força sobre -humana - uma surpresa, considerando seu pequeno corpo. O Mudbray pode transportar cargas até 50 vezes seu próprio peso nas costas ou arrastando -se atrás dele.
Mudbray evolui par"&amp;"a Mudsdale.")</f>
        <v>Mudbray é um Pokémon do tipo terra introduzido na geração 7. É conhecido como Pokémon de Donkey.
Mudbray poderia ser encontrado em todo o mundo, mas foi caçado demais e acabou à beira da extinção. Dizem que a região de Alola é o único lugar no mundo onde o Mudbray ainda pode ser encontrado na natureza.
Mudbray possui força sobre -humana - uma surpresa, considerando seu pequeno corpo. O Mudbray pode transportar cargas até 50 vezes seu próprio peso nas costas ou arrastando -se atrás dele.
Mudbray evolui para Mudsdale.</v>
      </c>
      <c r="F829" s="2" t="str">
        <f ca="1">IFERROR(__xludf.DUMMYFUNCTION("GOOGLETRANSLATE(B829,""en"",""pt"")"),"Donkey Pokémon")</f>
        <v>Donkey Pokémon</v>
      </c>
    </row>
    <row r="830" spans="1:6" ht="15.75" customHeight="1" x14ac:dyDescent="0.25">
      <c r="A830" s="2" t="s">
        <v>2800</v>
      </c>
      <c r="B830" s="2" t="s">
        <v>2752</v>
      </c>
      <c r="C830" s="2" t="s">
        <v>2801</v>
      </c>
      <c r="D830" s="2" t="s">
        <v>2802</v>
      </c>
      <c r="E830" s="2" t="str">
        <f ca="1">IFERROR(__xludf.DUMMYFUNCTION("GOOGLETRANSLATE(D830,""en"",""pt"")"),"Graveler é um Pokémon do tipo rocha/terra introduzido na geração 1. É conhecido como Pokémon Rock.")</f>
        <v>Graveler é um Pokémon do tipo rocha/terra introduzido na geração 1. É conhecido como Pokémon Rock.</v>
      </c>
      <c r="F830" s="2" t="str">
        <f ca="1">IFERROR(__xludf.DUMMYFUNCTION("GOOGLETRANSLATE(B830,""en"",""pt"")"),"Pokémon de rocha")</f>
        <v>Pokémon de rocha</v>
      </c>
    </row>
    <row r="831" spans="1:6" ht="15.75" customHeight="1" x14ac:dyDescent="0.25">
      <c r="A831" s="2" t="s">
        <v>2800</v>
      </c>
      <c r="B831" s="2" t="s">
        <v>2752</v>
      </c>
      <c r="C831" s="2" t="s">
        <v>2803</v>
      </c>
      <c r="D831" s="2" t="s">
        <v>2802</v>
      </c>
      <c r="E831" s="2" t="str">
        <f ca="1">IFERROR(__xludf.DUMMYFUNCTION("GOOGLETRANSLATE(D831,""en"",""pt"")"),"Graveler é um Pokémon do tipo rocha/terra introduzido na geração 1. É conhecido como Pokémon Rock.")</f>
        <v>Graveler é um Pokémon do tipo rocha/terra introduzido na geração 1. É conhecido como Pokémon Rock.</v>
      </c>
      <c r="F831" s="2" t="str">
        <f ca="1">IFERROR(__xludf.DUMMYFUNCTION("GOOGLETRANSLATE(B831,""en"",""pt"")"),"Pokémon de rocha")</f>
        <v>Pokémon de rocha</v>
      </c>
    </row>
    <row r="832" spans="1:6" ht="15.75" customHeight="1" x14ac:dyDescent="0.25">
      <c r="A832" s="2" t="s">
        <v>2804</v>
      </c>
      <c r="B832" s="2" t="s">
        <v>2805</v>
      </c>
      <c r="C832" s="2" t="s">
        <v>2806</v>
      </c>
      <c r="D832" s="2" t="s">
        <v>2807</v>
      </c>
      <c r="E832" s="2" t="str">
        <f ca="1">IFERROR(__xludf.DUMMYFUNCTION("GOOGLETRANSLATE(D832,""en"",""pt"")"),"Mudsdale é um Pokémon do tipo terreno introduzido na geração 7. É conhecido como Pokémon de cavalo.
Mudsdale é conhecido por seu corpo poderoso, bem como por sua coragem emocional, o que impede que seja agitado por qualquer coisa. Ele nunca grita, não imp"&amp;"orta em que tipo de problema ele esteja, e derrota seus oponentes com um único golpe poderoso. Suas pernas são revestidas na lama protetora, e o peso desse revestimento aumenta a força de seus chutes.
Quando Mudsdale galops a sério, o poder de cada casco "&amp;"pode cavar enormes buracos, mesmo no asfalto. Mudsdale é proibido de correr em algumas das estradas públicas de Alola.")</f>
        <v>Mudsdale é um Pokémon do tipo terreno introduzido na geração 7. É conhecido como Pokémon de cavalo.
Mudsdale é conhecido por seu corpo poderoso, bem como por sua coragem emocional, o que impede que seja agitado por qualquer coisa. Ele nunca grita, não importa em que tipo de problema ele esteja, e derrota seus oponentes com um único golpe poderoso. Suas pernas são revestidas na lama protetora, e o peso desse revestimento aumenta a força de seus chutes.
Quando Mudsdale galops a sério, o poder de cada casco pode cavar enormes buracos, mesmo no asfalto. Mudsdale é proibido de correr em algumas das estradas públicas de Alola.</v>
      </c>
      <c r="F832" s="2" t="str">
        <f ca="1">IFERROR(__xludf.DUMMYFUNCTION("GOOGLETRANSLATE(B832,""en"",""pt"")"),"Pokémon de cavalos de rascunho")</f>
        <v>Pokémon de cavalos de rascunho</v>
      </c>
    </row>
    <row r="833" spans="1:6" ht="15.75" customHeight="1" x14ac:dyDescent="0.25">
      <c r="A833" s="2" t="s">
        <v>2808</v>
      </c>
      <c r="B833" s="2" t="s">
        <v>2809</v>
      </c>
      <c r="C833" s="2" t="s">
        <v>2810</v>
      </c>
      <c r="D833" s="2" t="s">
        <v>2811</v>
      </c>
      <c r="E833" s="2" t="str">
        <f ca="1">IFERROR(__xludf.DUMMYFUNCTION("GOOGLETRANSLATE(D833,""en"",""pt"")"),"O Dewpider é um Pokémon do tipo água/inseto introduzido na geração 7. É conhecido como Pokémon de bolha de água.")</f>
        <v>O Dewpider é um Pokémon do tipo água/inseto introduzido na geração 7. É conhecido como Pokémon de bolha de água.</v>
      </c>
      <c r="F833" s="2" t="str">
        <f ca="1">IFERROR(__xludf.DUMMYFUNCTION("GOOGLETRANSLATE(B833,""en"",""pt"")"),"Pokémon de bolha de água")</f>
        <v>Pokémon de bolha de água</v>
      </c>
    </row>
    <row r="834" spans="1:6" ht="15.75" customHeight="1" x14ac:dyDescent="0.25">
      <c r="A834" s="2" t="s">
        <v>2812</v>
      </c>
      <c r="B834" s="2" t="s">
        <v>2809</v>
      </c>
      <c r="C834" s="2" t="s">
        <v>2813</v>
      </c>
      <c r="D834" s="2" t="s">
        <v>2814</v>
      </c>
      <c r="E834" s="2" t="str">
        <f ca="1">IFERROR(__xludf.DUMMYFUNCTION("GOOGLETRANSLATE(D834,""en"",""pt"")"),"Araquanid é um Pokémon do tipo água/inseto introduzido na geração 7. É conhecido como Pokémon de bolha de água.")</f>
        <v>Araquanid é um Pokémon do tipo água/inseto introduzido na geração 7. É conhecido como Pokémon de bolha de água.</v>
      </c>
      <c r="F834" s="2" t="str">
        <f ca="1">IFERROR(__xludf.DUMMYFUNCTION("GOOGLETRANSLATE(B834,""en"",""pt"")"),"Pokémon de bolha de água")</f>
        <v>Pokémon de bolha de água</v>
      </c>
    </row>
    <row r="835" spans="1:6" ht="15.75" customHeight="1" x14ac:dyDescent="0.25">
      <c r="A835" s="2" t="s">
        <v>2815</v>
      </c>
      <c r="B835" s="2" t="s">
        <v>2816</v>
      </c>
      <c r="C835" s="2" t="s">
        <v>2817</v>
      </c>
      <c r="D835" s="2" t="s">
        <v>2818</v>
      </c>
      <c r="E835" s="2" t="str">
        <f ca="1">IFERROR(__xludf.DUMMYFUNCTION("GOOGLETRANSLATE(D835,""en"",""pt"")"),"Fomantis é um Pokémon do tipo grama introduzido na geração 7. É conhecido como o Pokémon Fexled Grass.
A Fomantis é noturna e realiza a fotossíntese enquanto dorme durante o dia, espalhando suas folhas em todas as direções. Devido ao perigo de permanecer "&amp;"no mesmo local dois dias seguidos, a Fomantis começa sua busca pelo lugar do dia seguinte assim que o sol se põe.
Fomantis evolui para Lurantis.")</f>
        <v>Fomantis é um Pokémon do tipo grama introduzido na geração 7. É conhecido como o Pokémon Fexled Grass.
A Fomantis é noturna e realiza a fotossíntese enquanto dorme durante o dia, espalhando suas folhas em todas as direções. Devido ao perigo de permanecer no mesmo local dois dias seguidos, a Fomantis começa sua busca pelo lugar do dia seguinte assim que o sol se põe.
Fomantis evolui para Lurantis.</v>
      </c>
      <c r="F835" s="2" t="str">
        <f ca="1">IFERROR(__xludf.DUMMYFUNCTION("GOOGLETRANSLATE(B835,""en"",""pt"")"),"Pokémon de grama falciforme")</f>
        <v>Pokémon de grama falciforme</v>
      </c>
    </row>
    <row r="836" spans="1:6" ht="15.75" customHeight="1" x14ac:dyDescent="0.25">
      <c r="A836" s="2" t="s">
        <v>2819</v>
      </c>
      <c r="B836" s="2" t="s">
        <v>2820</v>
      </c>
      <c r="C836" s="2" t="s">
        <v>2821</v>
      </c>
      <c r="D836" s="2" t="s">
        <v>2822</v>
      </c>
      <c r="E836" s="2" t="str">
        <f ca="1">IFERROR(__xludf.DUMMYFUNCTION("GOOGLETRANSLATE(D836,""en"",""pt"")"),"Lurantis é um Pokémon do tipo grama introduzido na geração 7. É conhecido como Pokémon Bloom Sickle.
Lurantis atrai os oponentes para si mesmo com sua aparência e aroma em flor - e então os derruba. Diz-se que é o mais lindo de todos os Pokémon do tipo gr"&amp;"ama, devido à sua coloração brilhante e movimentos elegantes. A aparência de Lurantis é mantida através da higiene detalhada. Ele confiará em um treinador que faz um bom trabalho em cuidar disso, mas aparentemente terá dificuldade em se aproximar de um tr"&amp;"einador preguiçoso.
Lurantis evolui de Fomantis.")</f>
        <v>Lurantis é um Pokémon do tipo grama introduzido na geração 7. É conhecido como Pokémon Bloom Sickle.
Lurantis atrai os oponentes para si mesmo com sua aparência e aroma em flor - e então os derruba. Diz-se que é o mais lindo de todos os Pokémon do tipo grama, devido à sua coloração brilhante e movimentos elegantes. A aparência de Lurantis é mantida através da higiene detalhada. Ele confiará em um treinador que faz um bom trabalho em cuidar disso, mas aparentemente terá dificuldade em se aproximar de um treinador preguiçoso.
Lurantis evolui de Fomantis.</v>
      </c>
      <c r="F836" s="2" t="str">
        <f ca="1">IFERROR(__xludf.DUMMYFUNCTION("GOOGLETRANSLATE(B836,""en"",""pt"")"),"Bloom Sickle Pokémon")</f>
        <v>Bloom Sickle Pokémon</v>
      </c>
    </row>
    <row r="837" spans="1:6" ht="15.75" customHeight="1" x14ac:dyDescent="0.25">
      <c r="A837" s="2" t="s">
        <v>2823</v>
      </c>
      <c r="B837" s="2" t="s">
        <v>2824</v>
      </c>
      <c r="C837" s="2" t="s">
        <v>2825</v>
      </c>
      <c r="D837" s="2" t="s">
        <v>2826</v>
      </c>
      <c r="E837" s="2" t="str">
        <f ca="1">IFERROR(__xludf.DUMMYFUNCTION("GOOGLETRANSLATE(D837,""en"",""pt"")"),"Morelull é um Pokémon de grama/fada introduzido na geração 7. É conhecido como Pokémon iluminador.
Morelull são Pokémon noturnos que andam à noite com suas raízes parecidas com pernas. Eles se movem porque permanecer em um local e sugar todos os nutriente"&amp;"s do solo causariam que as plantas circundantes murcha. A Morelull usa suas raízes para fazer contato com seus companheiros e se comunicar com eles.")</f>
        <v>Morelull é um Pokémon de grama/fada introduzido na geração 7. É conhecido como Pokémon iluminador.
Morelull são Pokémon noturnos que andam à noite com suas raízes parecidas com pernas. Eles se movem porque permanecer em um local e sugar todos os nutrientes do solo causariam que as plantas circundantes murcha. A Morelull usa suas raízes para fazer contato com seus companheiros e se comunicar com eles.</v>
      </c>
      <c r="F837" s="2" t="str">
        <f ca="1">IFERROR(__xludf.DUMMYFUNCTION("GOOGLETRANSLATE(B837,""en"",""pt"")"),"Pokémon iluminador")</f>
        <v>Pokémon iluminador</v>
      </c>
    </row>
    <row r="838" spans="1:6" ht="15.75" customHeight="1" x14ac:dyDescent="0.25">
      <c r="A838" s="2" t="s">
        <v>2827</v>
      </c>
      <c r="B838" s="2" t="s">
        <v>2824</v>
      </c>
      <c r="C838" s="2" t="s">
        <v>2828</v>
      </c>
      <c r="D838" s="2" t="s">
        <v>2829</v>
      </c>
      <c r="E838" s="2" t="str">
        <f ca="1">IFERROR(__xludf.DUMMYFUNCTION("GOOGLETRANSLATE(D838,""en"",""pt"")"),"Shiinotic é um Pokémon do tipo grama/fada introduzido na geração 7. É conhecido como Pokémon iluminador.")</f>
        <v>Shiinotic é um Pokémon do tipo grama/fada introduzido na geração 7. É conhecido como Pokémon iluminador.</v>
      </c>
      <c r="F838" s="2" t="str">
        <f ca="1">IFERROR(__xludf.DUMMYFUNCTION("GOOGLETRANSLATE(B838,""en"",""pt"")"),"Pokémon iluminador")</f>
        <v>Pokémon iluminador</v>
      </c>
    </row>
    <row r="839" spans="1:6" ht="15.75" customHeight="1" x14ac:dyDescent="0.25">
      <c r="A839" s="2" t="s">
        <v>2830</v>
      </c>
      <c r="B839" s="2" t="s">
        <v>2831</v>
      </c>
      <c r="C839" s="2" t="s">
        <v>2832</v>
      </c>
      <c r="D839" s="2" t="s">
        <v>2833</v>
      </c>
      <c r="E839" s="2" t="str">
        <f ca="1">IFERROR(__xludf.DUMMYFUNCTION("GOOGLETRANSLATE(D839,""en"",""pt"")"),"Salandit é um Pokémon do tipo veneno/incêndio introduzido na geração 7. É conhecido como Pokémon tóxico de lagarto.
Salandit emite gás tóxico, juntamente com chamas, da base de sua cauda. Esse gás venenoso tem um cheiro doce, e qualquer um que, sem saber,"&amp;" respire -o, ficará tonto. Salandit não é um Pokémon muito poderoso, mas sua natureza astuta permite que ela lute ferozmente, jogando seus oponentes desequilibrados.
As fêmeas Salandit não apenas liberam gases tóxicos, mas também podem emitir feromônios q"&amp;"ue atraem homens de todas as espécies, incluindo Pokémon e humanos. A inalação desses feromônios pode fazer com que os oponentes sejam controlados pela vontade de Salandit.")</f>
        <v>Salandit é um Pokémon do tipo veneno/incêndio introduzido na geração 7. É conhecido como Pokémon tóxico de lagarto.
Salandit emite gás tóxico, juntamente com chamas, da base de sua cauda. Esse gás venenoso tem um cheiro doce, e qualquer um que, sem saber, respire -o, ficará tonto. Salandit não é um Pokémon muito poderoso, mas sua natureza astuta permite que ela lute ferozmente, jogando seus oponentes desequilibrados.
As fêmeas Salandit não apenas liberam gases tóxicos, mas também podem emitir feromônios que atraem homens de todas as espécies, incluindo Pokémon e humanos. A inalação desses feromônios pode fazer com que os oponentes sejam controlados pela vontade de Salandit.</v>
      </c>
      <c r="F839" s="2" t="str">
        <f ca="1">IFERROR(__xludf.DUMMYFUNCTION("GOOGLETRANSLATE(B839,""en"",""pt"")"),"Pokémon tóxico de lagarto")</f>
        <v>Pokémon tóxico de lagarto</v>
      </c>
    </row>
    <row r="840" spans="1:6" ht="15.75" customHeight="1" x14ac:dyDescent="0.25">
      <c r="A840" s="2" t="s">
        <v>2834</v>
      </c>
      <c r="B840" s="2" t="s">
        <v>2831</v>
      </c>
      <c r="C840" s="2" t="s">
        <v>2835</v>
      </c>
      <c r="D840" s="2" t="s">
        <v>2836</v>
      </c>
      <c r="E840" s="2" t="str">
        <f ca="1">IFERROR(__xludf.DUMMYFUNCTION("GOOGLETRANSLATE(D840,""en"",""pt"")"),"Salazzle é um Pokémon do tipo veneno/incêndio introduzido na geração 7. É conhecido como Pokémon tóxico de lagarto.")</f>
        <v>Salazzle é um Pokémon do tipo veneno/incêndio introduzido na geração 7. É conhecido como Pokémon tóxico de lagarto.</v>
      </c>
      <c r="F840" s="2" t="str">
        <f ca="1">IFERROR(__xludf.DUMMYFUNCTION("GOOGLETRANSLATE(B840,""en"",""pt"")"),"Pokémon tóxico de lagarto")</f>
        <v>Pokémon tóxico de lagarto</v>
      </c>
    </row>
    <row r="841" spans="1:6" ht="15.75" customHeight="1" x14ac:dyDescent="0.25">
      <c r="A841" s="2" t="s">
        <v>2837</v>
      </c>
      <c r="B841" s="2" t="s">
        <v>2838</v>
      </c>
      <c r="C841" s="2" t="s">
        <v>2839</v>
      </c>
      <c r="D841" s="2" t="s">
        <v>2840</v>
      </c>
      <c r="E841" s="2" t="str">
        <f ca="1">IFERROR(__xludf.DUMMYFUNCTION("GOOGLETRANSLATE(D841,""en"",""pt"")"),"O Stufful é um Pokémon normal/de luta introduzido na geração 7. É conhecido como Pokémon de Flailing.
A aparência e os movimentos fofos de Stufol - além da sensação macia de seu pêlo - todos se combinam para torná -lo super popular. Stufful pode ter um co"&amp;"rpo pequeno, mas sua força é extraordinária. Receber um de seus poderosos hits sem estar preparado para ele pode derrubar mesmo os Pokémon bem treinados.")</f>
        <v>O Stufful é um Pokémon normal/de luta introduzido na geração 7. É conhecido como Pokémon de Flailing.
A aparência e os movimentos fofos de Stufol - além da sensação macia de seu pêlo - todos se combinam para torná -lo super popular. Stufful pode ter um corpo pequeno, mas sua força é extraordinária. Receber um de seus poderosos hits sem estar preparado para ele pode derrubar mesmo os Pokémon bem treinados.</v>
      </c>
      <c r="F841" s="2" t="str">
        <f ca="1">IFERROR(__xludf.DUMMYFUNCTION("GOOGLETRANSLATE(B841,""en"",""pt"")"),"Pokémon agitados")</f>
        <v>Pokémon agitados</v>
      </c>
    </row>
    <row r="842" spans="1:6" ht="15.75" customHeight="1" x14ac:dyDescent="0.25">
      <c r="A842" s="2" t="s">
        <v>2841</v>
      </c>
      <c r="B842" s="2" t="s">
        <v>2842</v>
      </c>
      <c r="C842" s="2" t="s">
        <v>2843</v>
      </c>
      <c r="D842" s="2" t="s">
        <v>2844</v>
      </c>
      <c r="E842" s="2" t="str">
        <f ca="1">IFERROR(__xludf.DUMMYFUNCTION("GOOGLETRANSLATE(D842,""en"",""pt"")"),"Golem é um Pokémon do tipo rocha/terra introduzido na geração 1. É conhecido como Pokémon Megaton.")</f>
        <v>Golem é um Pokémon do tipo rocha/terra introduzido na geração 1. É conhecido como Pokémon Megaton.</v>
      </c>
      <c r="F842" s="2" t="str">
        <f ca="1">IFERROR(__xludf.DUMMYFUNCTION("GOOGLETRANSLATE(B842,""en"",""pt"")"),"Megaton Pokémon")</f>
        <v>Megaton Pokémon</v>
      </c>
    </row>
    <row r="843" spans="1:6" ht="15.75" customHeight="1" x14ac:dyDescent="0.25">
      <c r="A843" s="2" t="s">
        <v>2841</v>
      </c>
      <c r="B843" s="2" t="s">
        <v>2842</v>
      </c>
      <c r="C843" s="2" t="s">
        <v>2845</v>
      </c>
      <c r="D843" s="2" t="s">
        <v>2844</v>
      </c>
      <c r="E843" s="2" t="str">
        <f ca="1">IFERROR(__xludf.DUMMYFUNCTION("GOOGLETRANSLATE(D843,""en"",""pt"")"),"Golem é um Pokémon do tipo rocha/terra introduzido na geração 1. É conhecido como Pokémon Megaton.")</f>
        <v>Golem é um Pokémon do tipo rocha/terra introduzido na geração 1. É conhecido como Pokémon Megaton.</v>
      </c>
      <c r="F843" s="2" t="str">
        <f ca="1">IFERROR(__xludf.DUMMYFUNCTION("GOOGLETRANSLATE(B843,""en"",""pt"")"),"Megaton Pokémon")</f>
        <v>Megaton Pokémon</v>
      </c>
    </row>
    <row r="844" spans="1:6" ht="15.75" customHeight="1" x14ac:dyDescent="0.25">
      <c r="A844" s="2" t="s">
        <v>2846</v>
      </c>
      <c r="B844" s="2" t="s">
        <v>2847</v>
      </c>
      <c r="C844" s="2" t="s">
        <v>2848</v>
      </c>
      <c r="D844" s="2" t="s">
        <v>2849</v>
      </c>
      <c r="E844" s="2" t="str">
        <f ca="1">IFERROR(__xludf.DUMMYFUNCTION("GOOGLETRANSLATE(D844,""en"",""pt"")"),"Bewear é um Pokémon normal/de luta introduzido na geração 7. É conhecido como o forte Pokémon do braço.
Quando o Bewear está agindo de maneira amigável, apenas balançando os braços, você nunca deve ousar abordá -lo descuidadamente. É reconhecido como um P"&amp;"okémon perigoso, mesmo na região de Alola. Você pode ver sinais de alerta postados perto de lugares em que reside.
Quando o Bewear gosta de seu treinador, pode mostrar que o sentimento de um abraço - mas a força desse abraço é tremendo! Os treinadores dev"&amp;"em ensinar esses Pokémon a restringir sua força ao mostrar afeto.")</f>
        <v>Bewear é um Pokémon normal/de luta introduzido na geração 7. É conhecido como o forte Pokémon do braço.
Quando o Bewear está agindo de maneira amigável, apenas balançando os braços, você nunca deve ousar abordá -lo descuidadamente. É reconhecido como um Pokémon perigoso, mesmo na região de Alola. Você pode ver sinais de alerta postados perto de lugares em que reside.
Quando o Bewear gosta de seu treinador, pode mostrar que o sentimento de um abraço - mas a força desse abraço é tremendo! Os treinadores devem ensinar esses Pokémon a restringir sua força ao mostrar afeto.</v>
      </c>
      <c r="F844" s="2" t="str">
        <f ca="1">IFERROR(__xludf.DUMMYFUNCTION("GOOGLETRANSLATE(B844,""en"",""pt"")"),"Pokémon de braço forte")</f>
        <v>Pokémon de braço forte</v>
      </c>
    </row>
    <row r="845" spans="1:6" ht="15.75" customHeight="1" x14ac:dyDescent="0.25">
      <c r="A845" s="2" t="s">
        <v>2850</v>
      </c>
      <c r="B845" s="2" t="s">
        <v>1113</v>
      </c>
      <c r="C845" s="2" t="s">
        <v>2851</v>
      </c>
      <c r="D845" s="2" t="s">
        <v>2852</v>
      </c>
      <c r="E845" s="2" t="str">
        <f ca="1">IFERROR(__xludf.DUMMYFUNCTION("GOOGLETRANSLATE(D845,""en"",""pt"")"),"O Bounsweet é um Pokémon do tipo grama introduzido na geração 7. É conhecido como Pokémon de Frutas.
Como exala um cheiro delicioso de todo o seu corpo, o Bounsweet é popular entre os Pokémon e as pessoas da região de Alola. O perfume de Bounsweet tem um "&amp;"efeito calmante nos seres humanos, muitas pessoas os deixam morar dentro de suas casas como uma espécie de purificador de ar. Infelizmente, às vezes é engolido inteiro por Pokémon atraído por seu aroma.
Ao fugir de outros Pokémon, os bounsweet fogem de pe"&amp;"rigo, pulando pelo chão. Como seus movimentos saltitantes não transmitem a outros que, na verdade, está em voo desesperado, ninguém jamais ajuda.")</f>
        <v>O Bounsweet é um Pokémon do tipo grama introduzido na geração 7. É conhecido como Pokémon de Frutas.
Como exala um cheiro delicioso de todo o seu corpo, o Bounsweet é popular entre os Pokémon e as pessoas da região de Alola. O perfume de Bounsweet tem um efeito calmante nos seres humanos, muitas pessoas os deixam morar dentro de suas casas como uma espécie de purificador de ar. Infelizmente, às vezes é engolido inteiro por Pokémon atraído por seu aroma.
Ao fugir de outros Pokémon, os bounsweet fogem de perigo, pulando pelo chão. Como seus movimentos saltitantes não transmitem a outros que, na verdade, está em voo desesperado, ninguém jamais ajuda.</v>
      </c>
      <c r="F845" s="2" t="str">
        <f ca="1">IFERROR(__xludf.DUMMYFUNCTION("GOOGLETRANSLATE(B845,""en"",""pt"")"),"Pokémon de frutas")</f>
        <v>Pokémon de frutas</v>
      </c>
    </row>
    <row r="846" spans="1:6" ht="15.75" customHeight="1" x14ac:dyDescent="0.25">
      <c r="A846" s="2" t="s">
        <v>2853</v>
      </c>
      <c r="B846" s="2" t="s">
        <v>1113</v>
      </c>
      <c r="C846" s="2" t="s">
        <v>2854</v>
      </c>
      <c r="D846" s="2" t="s">
        <v>2855</v>
      </c>
      <c r="E846" s="2" t="str">
        <f ca="1">IFERROR(__xludf.DUMMYFUNCTION("GOOGLETRANSLATE(D846,""en"",""pt"")"),"Steenee é um Pokémon do tipo grama introduzido na geração 7. É conhecido como Pokémon de Frutas.
Ao evoluir, a fragrância de Steenee se torna ainda mais deliciosa, mas também ganha uma personalidade de moleca. Viver junto com um é uma provação. À medida q"&amp;"ue se move, gira seu cálice, impressionando objetos próximos, mas Steenee não se importava.")</f>
        <v>Steenee é um Pokémon do tipo grama introduzido na geração 7. É conhecido como Pokémon de Frutas.
Ao evoluir, a fragrância de Steenee se torna ainda mais deliciosa, mas também ganha uma personalidade de moleca. Viver junto com um é uma provação. À medida que se move, gira seu cálice, impressionando objetos próximos, mas Steenee não se importava.</v>
      </c>
      <c r="F846" s="2" t="str">
        <f ca="1">IFERROR(__xludf.DUMMYFUNCTION("GOOGLETRANSLATE(B846,""en"",""pt"")"),"Pokémon de frutas")</f>
        <v>Pokémon de frutas</v>
      </c>
    </row>
    <row r="847" spans="1:6" ht="15.75" customHeight="1" x14ac:dyDescent="0.25">
      <c r="A847" s="2" t="s">
        <v>2856</v>
      </c>
      <c r="B847" s="2" t="s">
        <v>1113</v>
      </c>
      <c r="C847" s="2" t="s">
        <v>2857</v>
      </c>
      <c r="D847" s="2" t="s">
        <v>2858</v>
      </c>
      <c r="E847" s="2" t="str">
        <f ca="1">IFERROR(__xludf.DUMMYFUNCTION("GOOGLETRANSLATE(D847,""en"",""pt"")"),"Tsarena é um Pokémon do tipo grama introduzido na geração 7. É conhecido como Pokémon da fruta.
Tsarena tem a natureza da nobreza de alta classe. Qualquer Pokémon ou humano que o aproxime com o mal em mente será punido imediatamente. Até vira seu brilho a"&amp;"ssustador para seu próprio treinador se os dois não estiverem totalmente sincronizados, ou se seu treinador ordenar que ele use um movimento que será ineficaz. Somente o mais forte do Steenee é capaz de evoluir. Quando isso acontece, o Steenee evolui com "&amp;"a bênção de outro Steenee. Em seguida, ele usa sua força para proteger o bounstesweet.")</f>
        <v>Tsarena é um Pokémon do tipo grama introduzido na geração 7. É conhecido como Pokémon da fruta.
Tsarena tem a natureza da nobreza de alta classe. Qualquer Pokémon ou humano que o aproxime com o mal em mente será punido imediatamente. Até vira seu brilho assustador para seu próprio treinador se os dois não estiverem totalmente sincronizados, ou se seu treinador ordenar que ele use um movimento que será ineficaz. Somente o mais forte do Steenee é capaz de evoluir. Quando isso acontece, o Steenee evolui com a bênção de outro Steenee. Em seguida, ele usa sua força para proteger o bounstesweet.</v>
      </c>
      <c r="F847" s="2" t="str">
        <f ca="1">IFERROR(__xludf.DUMMYFUNCTION("GOOGLETRANSLATE(B847,""en"",""pt"")"),"Pokémon de frutas")</f>
        <v>Pokémon de frutas</v>
      </c>
    </row>
    <row r="848" spans="1:6" ht="15.75" customHeight="1" x14ac:dyDescent="0.25">
      <c r="A848" s="2" t="s">
        <v>2859</v>
      </c>
      <c r="B848" s="2" t="s">
        <v>2860</v>
      </c>
      <c r="C848" s="2" t="s">
        <v>2861</v>
      </c>
      <c r="D848" s="2" t="s">
        <v>2862</v>
      </c>
      <c r="E848" s="2" t="str">
        <f ca="1">IFERROR(__xludf.DUMMYFUNCTION("GOOGLETRANSLATE(D848,""en"",""pt"")"),"Comfey é um Pokémon do tipo de fada introduzido na geração 7. É conhecido como Pokémon Picker Posy.
Comfey pega flores e sempre as carrega. Faz um anel de flores e espalha óleo do corpo, o que muda as flores para que elas emitem uma fragrância suave. Tem "&amp;"o hábito de dar esses anéis de flores para aqueles que gosta. O aroma pode acalmar a si mesma e de seus aliados. Comfey também ajuda no tratamento de pessoas e Pokémon nos centros e hospitais de Pokémon, graças ao seu aroma.
Quando atacado por outros Poké"&amp;"mon, ele joga suas flores para criar uma abertura e depois foge ou ataca de volta.")</f>
        <v>Comfey é um Pokémon do tipo de fada introduzido na geração 7. É conhecido como Pokémon Picker Posy.
Comfey pega flores e sempre as carrega. Faz um anel de flores e espalha óleo do corpo, o que muda as flores para que elas emitem uma fragrância suave. Tem o hábito de dar esses anéis de flores para aqueles que gosta. O aroma pode acalmar a si mesma e de seus aliados. Comfey também ajuda no tratamento de pessoas e Pokémon nos centros e hospitais de Pokémon, graças ao seu aroma.
Quando atacado por outros Pokémon, ele joga suas flores para criar uma abertura e depois foge ou ataca de volta.</v>
      </c>
      <c r="F848" s="2" t="str">
        <f ca="1">IFERROR(__xludf.DUMMYFUNCTION("GOOGLETRANSLATE(B848,""en"",""pt"")"),"Pokémon Posy Picker")</f>
        <v>Pokémon Posy Picker</v>
      </c>
    </row>
    <row r="849" spans="1:6" ht="15.75" customHeight="1" x14ac:dyDescent="0.25">
      <c r="A849" s="2" t="s">
        <v>2863</v>
      </c>
      <c r="B849" s="2" t="s">
        <v>2864</v>
      </c>
      <c r="C849" s="2" t="s">
        <v>2865</v>
      </c>
      <c r="D849" s="2" t="s">
        <v>2866</v>
      </c>
      <c r="E849" s="2" t="str">
        <f ca="1">IFERROR(__xludf.DUMMYFUNCTION("GOOGLETRANSLATE(D849,""en"",""pt"")"),"Oranguru é um Pokémon do tipo normal/psíquico introduzido na geração 7. É conhecido como Pokémon Sábio.
O Oranguru Live Solitary vive profundamente nas florestas e geralmente não toma muita ação. Em vez disso, eles se posicionam no alto das árvores para m"&amp;"editar. Há muito tempo, as pessoas pensavam que Oranguru eram humanos que moravam nas profundezas da floresta, então as chamavam de povo das florestas. Oranguru é gentil com o outro Pokémon que vive na floresta, fornecendo remédio para Pokémon e comida fe"&amp;"ridos para os famintos.
Os objetos semelhantes a fãs mantidos por Oranguru são feitos à mão pelos próprios Oranguru. Esses fãs parecem ser feitos de camadas de folhas unidas com o próprio pêlo de Oranguru.")</f>
        <v>Oranguru é um Pokémon do tipo normal/psíquico introduzido na geração 7. É conhecido como Pokémon Sábio.
O Oranguru Live Solitary vive profundamente nas florestas e geralmente não toma muita ação. Em vez disso, eles se posicionam no alto das árvores para meditar. Há muito tempo, as pessoas pensavam que Oranguru eram humanos que moravam nas profundezas da floresta, então as chamavam de povo das florestas. Oranguru é gentil com o outro Pokémon que vive na floresta, fornecendo remédio para Pokémon e comida feridos para os famintos.
Os objetos semelhantes a fãs mantidos por Oranguru são feitos à mão pelos próprios Oranguru. Esses fãs parecem ser feitos de camadas de folhas unidas com o próprio pêlo de Oranguru.</v>
      </c>
      <c r="F849" s="2" t="str">
        <f ca="1">IFERROR(__xludf.DUMMYFUNCTION("GOOGLETRANSLATE(B849,""en"",""pt"")"),"Pokémon sábio")</f>
        <v>Pokémon sábio</v>
      </c>
    </row>
    <row r="850" spans="1:6" ht="15.75" customHeight="1" x14ac:dyDescent="0.25">
      <c r="A850" s="2" t="s">
        <v>2867</v>
      </c>
      <c r="B850" s="2" t="s">
        <v>2868</v>
      </c>
      <c r="C850" s="2" t="s">
        <v>2869</v>
      </c>
      <c r="D850" s="2" t="s">
        <v>2870</v>
      </c>
      <c r="E850" s="2" t="str">
        <f ca="1">IFERROR(__xludf.DUMMYFUNCTION("GOOGLETRANSLATE(D850,""en"",""pt"")"),"Passimian é um Pokémon do tipo de luta introduzido na geração 7. É conhecido como Pokémon do trabalho em equipe.
Os passimianos vivem em tropas de 20 a 30 indivíduos, todos seguindo um líder. Esse líder levará 10 dos indivíduos nas melhores condições para"&amp;" procurar comida. O trabalho em equipe da tropa é forte, e o chefe de cada tropa decide o que os membros de Mark usarão em seus braços para distinguir as tropas.
O chefe coloca os membros da tropa através do treinamento para melhorar sua coordenação um co"&amp;"m o outro e sua habilidade no manuseio de bagas.")</f>
        <v>Passimian é um Pokémon do tipo de luta introduzido na geração 7. É conhecido como Pokémon do trabalho em equipe.
Os passimianos vivem em tropas de 20 a 30 indivíduos, todos seguindo um líder. Esse líder levará 10 dos indivíduos nas melhores condições para procurar comida. O trabalho em equipe da tropa é forte, e o chefe de cada tropa decide o que os membros de Mark usarão em seus braços para distinguir as tropas.
O chefe coloca os membros da tropa através do treinamento para melhorar sua coordenação um com o outro e sua habilidade no manuseio de bagas.</v>
      </c>
      <c r="F850" s="2" t="str">
        <f ca="1">IFERROR(__xludf.DUMMYFUNCTION("GOOGLETRANSLATE(B850,""en"",""pt"")"),"Pokémon do trabalho em equipe")</f>
        <v>Pokémon do trabalho em equipe</v>
      </c>
    </row>
    <row r="851" spans="1:6" ht="15.75" customHeight="1" x14ac:dyDescent="0.25">
      <c r="A851" s="2" t="s">
        <v>2871</v>
      </c>
      <c r="B851" s="2" t="s">
        <v>2872</v>
      </c>
      <c r="C851" s="2" t="s">
        <v>2873</v>
      </c>
      <c r="D851" s="2" t="s">
        <v>2874</v>
      </c>
      <c r="E851" s="2" t="str">
        <f ca="1">IFERROR(__xludf.DUMMYFUNCTION("GOOGLETRANSLATE(D851,""en"",""pt"")"),"Wimpod é um Pokémon do tipo bug/água introduzido na geração 7. É conhecido como Pokémon Turn Tail.
Wimpod tem uma natureza covarde e desconfia de ruídos e movimentos repentinos. Se você se aproximar deles em um grupo, eles fogem imediatamente. Quando Wimp"&amp;"od se sente ameaçado, eles cuspiram um líquido venenoso. O cheiro desse fluido tóxico sinaliza outros que o perigo está próximo. Apesar de sua covardia extrema, sua curiosidade leva Wimpod a abordar pessoas ou Pokémon que estão parados.
Wimpod Coma e arma"&amp;"zene qualquer coisa que eles achem caído no chão. Eles também eliminam qualquer lixo que tenha sido jogado no mar, para que sejam altamente valorizados como limpadores. Às vezes, eles carregam pérolas ou outros itens valiosos, para que humanos ou Pokémon "&amp;"como Murkrow possam atingir -os.")</f>
        <v>Wimpod é um Pokémon do tipo bug/água introduzido na geração 7. É conhecido como Pokémon Turn Tail.
Wimpod tem uma natureza covarde e desconfia de ruídos e movimentos repentinos. Se você se aproximar deles em um grupo, eles fogem imediatamente. Quando Wimpod se sente ameaçado, eles cuspiram um líquido venenoso. O cheiro desse fluido tóxico sinaliza outros que o perigo está próximo. Apesar de sua covardia extrema, sua curiosidade leva Wimpod a abordar pessoas ou Pokémon que estão parados.
Wimpod Coma e armazene qualquer coisa que eles achem caído no chão. Eles também eliminam qualquer lixo que tenha sido jogado no mar, para que sejam altamente valorizados como limpadores. Às vezes, eles carregam pérolas ou outros itens valiosos, para que humanos ou Pokémon como Murkrow possam atingir -os.</v>
      </c>
      <c r="F851" s="2" t="str">
        <f ca="1">IFERROR(__xludf.DUMMYFUNCTION("GOOGLETRANSLATE(B851,""en"",""pt"")"),"Vire o Pokémon da cauda")</f>
        <v>Vire o Pokémon da cauda</v>
      </c>
    </row>
    <row r="852" spans="1:6" ht="15.75" customHeight="1" x14ac:dyDescent="0.25">
      <c r="A852" s="2" t="s">
        <v>2875</v>
      </c>
      <c r="B852" s="2" t="s">
        <v>2876</v>
      </c>
      <c r="C852" s="2" t="s">
        <v>2877</v>
      </c>
      <c r="D852" s="2" t="s">
        <v>2878</v>
      </c>
      <c r="E852" s="2" t="str">
        <f ca="1">IFERROR(__xludf.DUMMYFUNCTION("GOOGLETRANSLATE(D852,""en"",""pt"")"),"O Golisopod é um Pokémon do tipo bug/água introduzido na geração 7. É conhecido como Pokémon em escala dura.")</f>
        <v>O Golisopod é um Pokémon do tipo bug/água introduzido na geração 7. É conhecido como Pokémon em escala dura.</v>
      </c>
      <c r="F852" s="2" t="str">
        <f ca="1">IFERROR(__xludf.DUMMYFUNCTION("GOOGLETRANSLATE(B852,""en"",""pt"")"),"Pokémon em escala dura")</f>
        <v>Pokémon em escala dura</v>
      </c>
    </row>
    <row r="853" spans="1:6" ht="15.75" customHeight="1" x14ac:dyDescent="0.25">
      <c r="A853" s="2" t="s">
        <v>2879</v>
      </c>
      <c r="B853" s="2" t="s">
        <v>2880</v>
      </c>
      <c r="C853" s="2" t="s">
        <v>2881</v>
      </c>
      <c r="D853" s="2" t="s">
        <v>2882</v>
      </c>
      <c r="E853" s="2" t="str">
        <f ca="1">IFERROR(__xludf.DUMMYFUNCTION("GOOGLETRANSLATE(D853,""en"",""pt"")"),"Sandygast é um Pokémon do tipo fantasma/terra introduzido na geração 7. É conhecido como Pokémon de pilha de areia.
Um sandygast emerge quando os rancores de Pokémon e outras criaturas absorvem a areia depois que caem em batalha. Um sandygast usa seu pode"&amp;"r para manipular as crianças na coleta de areia para aumentar o tamanho de seu corpo. Se um sandygast perder a pá, ela pode colocar um galho de árvore, uma bandeira ou outro item em seu lugar.
A boca semelhante a um túnel de um sandygast pode sugar a vita"&amp;"lidade de pessoas e Pokémon. Aparentemente, é um teste de coragem na região de Alola para colocar sua mão na boca de um sandygast.")</f>
        <v>Sandygast é um Pokémon do tipo fantasma/terra introduzido na geração 7. É conhecido como Pokémon de pilha de areia.
Um sandygast emerge quando os rancores de Pokémon e outras criaturas absorvem a areia depois que caem em batalha. Um sandygast usa seu poder para manipular as crianças na coleta de areia para aumentar o tamanho de seu corpo. Se um sandygast perder a pá, ela pode colocar um galho de árvore, uma bandeira ou outro item em seu lugar.
A boca semelhante a um túnel de um sandygast pode sugar a vitalidade de pessoas e Pokémon. Aparentemente, é um teste de coragem na região de Alola para colocar sua mão na boca de um sandygast.</v>
      </c>
      <c r="F853" s="2" t="str">
        <f ca="1">IFERROR(__xludf.DUMMYFUNCTION("GOOGLETRANSLATE(B853,""en"",""pt"")"),"Pokémon de pilha de areia")</f>
        <v>Pokémon de pilha de areia</v>
      </c>
    </row>
    <row r="854" spans="1:6" ht="15.75" customHeight="1" x14ac:dyDescent="0.25">
      <c r="A854" s="2" t="s">
        <v>2883</v>
      </c>
      <c r="B854" s="2" t="s">
        <v>2884</v>
      </c>
      <c r="C854" s="2" t="s">
        <v>2885</v>
      </c>
      <c r="D854" s="2" t="s">
        <v>2886</v>
      </c>
      <c r="E854" s="2" t="str">
        <f ca="1">IFERROR(__xludf.DUMMYFUNCTION("GOOGLETRANSLATE(D854,""en"",""pt"")"),"Ponyta é um Pokémon do tipo incêndio introduzido na geração 1. É conhecido como Pokémon de Fire Horse.")</f>
        <v>Ponyta é um Pokémon do tipo incêndio introduzido na geração 1. É conhecido como Pokémon de Fire Horse.</v>
      </c>
      <c r="F854" s="2" t="str">
        <f ca="1">IFERROR(__xludf.DUMMYFUNCTION("GOOGLETRANSLATE(B854,""en"",""pt"")"),"Pokémon de Fire Horse")</f>
        <v>Pokémon de Fire Horse</v>
      </c>
    </row>
    <row r="855" spans="1:6" ht="15.75" customHeight="1" x14ac:dyDescent="0.25">
      <c r="A855" s="2" t="s">
        <v>2887</v>
      </c>
      <c r="B855" s="2" t="s">
        <v>2888</v>
      </c>
      <c r="C855" s="2" t="s">
        <v>2889</v>
      </c>
      <c r="D855" s="2" t="s">
        <v>2890</v>
      </c>
      <c r="E855" s="2" t="str">
        <f ca="1">IFERROR(__xludf.DUMMYFUNCTION("GOOGLETRANSLATE(D855,""en"",""pt"")"),"Palossand é um Pokémon do tipo fantasma/terra introduzido na geração 7. É conhecido como Pokémon do Castelo de Areia.
Palossand controla os adultos humanos, fazendo -os construir um castelo de areia que fornece camuflagem e também aumenta suas habilidades"&amp;" defensivas. Ao contrário do Sandygast, se Palossand perder um pouco da areia do corpo, ele poderá se restaurar por conta própria. Ao se mover em busca de presas, a pá no topo da cabeça de Palossand gira. Dizem que a pá pode servir como algum tipo de rada"&amp;"r.")</f>
        <v>Palossand é um Pokémon do tipo fantasma/terra introduzido na geração 7. É conhecido como Pokémon do Castelo de Areia.
Palossand controla os adultos humanos, fazendo -os construir um castelo de areia que fornece camuflagem e também aumenta suas habilidades defensivas. Ao contrário do Sandygast, se Palossand perder um pouco da areia do corpo, ele poderá se restaurar por conta própria. Ao se mover em busca de presas, a pá no topo da cabeça de Palossand gira. Dizem que a pá pode servir como algum tipo de radar.</v>
      </c>
      <c r="F855" s="2" t="str">
        <f ca="1">IFERROR(__xludf.DUMMYFUNCTION("GOOGLETRANSLATE(B855,""en"",""pt"")"),"Pokémon do castelo de areia")</f>
        <v>Pokémon do castelo de areia</v>
      </c>
    </row>
    <row r="856" spans="1:6" ht="15.75" customHeight="1" x14ac:dyDescent="0.25">
      <c r="A856" s="2" t="s">
        <v>2891</v>
      </c>
      <c r="B856" s="2" t="s">
        <v>2892</v>
      </c>
      <c r="C856" s="2" t="s">
        <v>2893</v>
      </c>
      <c r="D856" s="2" t="s">
        <v>2894</v>
      </c>
      <c r="E856" s="2" t="str">
        <f ca="1">IFERROR(__xludf.DUMMYFUNCTION("GOOGLETRANSLATE(D856,""en"",""pt"")"),"Pyukumuku é um Pokémon do tipo água introduzido na geração 7. É conhecido como Pokémon do pepino do mar.
Devido à sua aparência e estilo de vida, Pyukumuku é considerado desagradável para os turistas. Trabalho de meio período jogando Pyukumuku de volta ao"&amp;" mar está disponível em praias turísticas. Mas não importa o quão longe eles sejam jogados, Pyukumuku sempre retornará ao mesmo local.
Pyukumuku odeia ter seus espinhos e bocas tocados, e se você pisar em um, ele lançará seus órgãos internos semelhantes a"&amp;" punhos para atacar você.")</f>
        <v>Pyukumuku é um Pokémon do tipo água introduzido na geração 7. É conhecido como Pokémon do pepino do mar.
Devido à sua aparência e estilo de vida, Pyukumuku é considerado desagradável para os turistas. Trabalho de meio período jogando Pyukumuku de volta ao mar está disponível em praias turísticas. Mas não importa o quão longe eles sejam jogados, Pyukumuku sempre retornará ao mesmo local.
Pyukumuku odeia ter seus espinhos e bocas tocados, e se você pisar em um, ele lançará seus órgãos internos semelhantes a punhos para atacar você.</v>
      </c>
      <c r="F856" s="2" t="str">
        <f ca="1">IFERROR(__xludf.DUMMYFUNCTION("GOOGLETRANSLATE(B856,""en"",""pt"")"),"Pokémon do pepino do mar")</f>
        <v>Pokémon do pepino do mar</v>
      </c>
    </row>
    <row r="857" spans="1:6" ht="15.75" customHeight="1" x14ac:dyDescent="0.25">
      <c r="A857" s="2" t="s">
        <v>2895</v>
      </c>
      <c r="B857" s="2" t="s">
        <v>2896</v>
      </c>
      <c r="C857" s="2" t="s">
        <v>2897</v>
      </c>
      <c r="D857" s="2" t="s">
        <v>2898</v>
      </c>
      <c r="E857" s="2" t="str">
        <f ca="1">IFERROR(__xludf.DUMMYFUNCTION("GOOGLETRANSLATE(D857,""en"",""pt"")"),"Tipo: Null é um Pokémon do tipo normal introduzido na geração 7. É conhecido como Pokémon sintético.
As formas de suas pernas dianteiras e traseiras são diferentes, como o tipo: NULL foi construído para sintetizar os pontos fortes de vários Pokémon, permi"&amp;"tindo que ele se adapte a qualquer situação.
A máscara equipada para digitar: a cabeça de Null é um equipamento projetado para controlar seus poderes latentes. É extremamente pesado, por isso também serve para impedir o tipo: a agilidade de Null.")</f>
        <v>Tipo: Null é um Pokémon do tipo normal introduzido na geração 7. É conhecido como Pokémon sintético.
As formas de suas pernas dianteiras e traseiras são diferentes, como o tipo: NULL foi construído para sintetizar os pontos fortes de vários Pokémon, permitindo que ele se adapte a qualquer situação.
A máscara equipada para digitar: a cabeça de Null é um equipamento projetado para controlar seus poderes latentes. É extremamente pesado, por isso também serve para impedir o tipo: a agilidade de Null.</v>
      </c>
      <c r="F857" s="2" t="str">
        <f ca="1">IFERROR(__xludf.DUMMYFUNCTION("GOOGLETRANSLATE(B857,""en"",""pt"")"),"Pokémon sintético")</f>
        <v>Pokémon sintético</v>
      </c>
    </row>
    <row r="858" spans="1:6" ht="15.75" customHeight="1" x14ac:dyDescent="0.25">
      <c r="A858" s="2" t="s">
        <v>2899</v>
      </c>
      <c r="B858" s="2" t="s">
        <v>2896</v>
      </c>
      <c r="C858" s="2" t="s">
        <v>2900</v>
      </c>
      <c r="D858" s="2" t="s">
        <v>2901</v>
      </c>
      <c r="E858" s="2" t="str">
        <f ca="1">IFERROR(__xludf.DUMMYFUNCTION("GOOGLETRANSLATE(D858,""en"",""pt"")"),"Silvally é um Pokémon do tipo normal introduzido na geração 7. É conhecido como Pokémon sintético.
Quando o tipo: Null ganha um parceiro em que ele pode confiar, ele destrói deliberadamente o dispositivo de restrição que usa. Uma vez liberado dessa máscar"&amp;"a pesada, a velocidade do Pokémon aumenta substancialmente.
A capacidade de Silvally altera seu tipo com base no item que está sendo mantido.")</f>
        <v>Silvally é um Pokémon do tipo normal introduzido na geração 7. É conhecido como Pokémon sintético.
Quando o tipo: Null ganha um parceiro em que ele pode confiar, ele destrói deliberadamente o dispositivo de restrição que usa. Uma vez liberado dessa máscara pesada, a velocidade do Pokémon aumenta substancialmente.
A capacidade de Silvally altera seu tipo com base no item que está sendo mantido.</v>
      </c>
      <c r="F858" s="2" t="str">
        <f ca="1">IFERROR(__xludf.DUMMYFUNCTION("GOOGLETRANSLATE(B858,""en"",""pt"")"),"Pokémon sintético")</f>
        <v>Pokémon sintético</v>
      </c>
    </row>
    <row r="859" spans="1:6" ht="15.75" customHeight="1" x14ac:dyDescent="0.25">
      <c r="A859" s="2" t="s">
        <v>2902</v>
      </c>
      <c r="B859" s="2" t="s">
        <v>2903</v>
      </c>
      <c r="C859" s="2" t="s">
        <v>2904</v>
      </c>
      <c r="D859" s="2" t="s">
        <v>2905</v>
      </c>
      <c r="E859" s="2" t="str">
        <f ca="1">IFERROR(__xludf.DUMMYFUNCTION("GOOGLETRANSLATE(D859,""en"",""pt"")"),"Minior é um Pokémon do tipo rock/voador introduzido na geração 7. É conhecido como Pokémon Meteor.
Minior são formados na estratosfera e vivem absorvendo os detritos ao seu redor. Quando eles consumiram uma grande quantidade de partículas, seus corpos fic"&amp;"am pesados ​​e caem em direção à superfície do planeta. Minior tem uma concha externa dura e pesada com um núcleo dentro dela.
Quando sua concha quebra, o núcleo em seu centro é revelado, o que pode ser cores diferentes.")</f>
        <v>Minior é um Pokémon do tipo rock/voador introduzido na geração 7. É conhecido como Pokémon Meteor.
Minior são formados na estratosfera e vivem absorvendo os detritos ao seu redor. Quando eles consumiram uma grande quantidade de partículas, seus corpos ficam pesados ​​e caem em direção à superfície do planeta. Minior tem uma concha externa dura e pesada com um núcleo dentro dela.
Quando sua concha quebra, o núcleo em seu centro é revelado, o que pode ser cores diferentes.</v>
      </c>
      <c r="F859" s="2" t="str">
        <f ca="1">IFERROR(__xludf.DUMMYFUNCTION("GOOGLETRANSLATE(B859,""en"",""pt"")"),"Pokémon meteoro")</f>
        <v>Pokémon meteoro</v>
      </c>
    </row>
    <row r="860" spans="1:6" ht="15.75" customHeight="1" x14ac:dyDescent="0.25">
      <c r="A860" s="2" t="s">
        <v>2902</v>
      </c>
      <c r="B860" s="2" t="s">
        <v>2903</v>
      </c>
      <c r="C860" s="2" t="s">
        <v>2906</v>
      </c>
      <c r="D860" s="2" t="s">
        <v>2905</v>
      </c>
      <c r="E860" s="2" t="str">
        <f ca="1">IFERROR(__xludf.DUMMYFUNCTION("GOOGLETRANSLATE(D860,""en"",""pt"")"),"Minior é um Pokémon do tipo rock/voador introduzido na geração 7. É conhecido como Pokémon Meteor.
Minior são formados na estratosfera e vivem absorvendo os detritos ao seu redor. Quando eles consumiram uma grande quantidade de partículas, seus corpos fic"&amp;"am pesados ​​e caem em direção à superfície do planeta. Minior tem uma concha externa dura e pesada com um núcleo dentro dela.
Quando sua concha quebra, o núcleo em seu centro é revelado, o que pode ser cores diferentes.")</f>
        <v>Minior é um Pokémon do tipo rock/voador introduzido na geração 7. É conhecido como Pokémon Meteor.
Minior são formados na estratosfera e vivem absorvendo os detritos ao seu redor. Quando eles consumiram uma grande quantidade de partículas, seus corpos ficam pesados ​​e caem em direção à superfície do planeta. Minior tem uma concha externa dura e pesada com um núcleo dentro dela.
Quando sua concha quebra, o núcleo em seu centro é revelado, o que pode ser cores diferentes.</v>
      </c>
      <c r="F860" s="2" t="str">
        <f ca="1">IFERROR(__xludf.DUMMYFUNCTION("GOOGLETRANSLATE(B860,""en"",""pt"")"),"Pokémon meteoro")</f>
        <v>Pokémon meteoro</v>
      </c>
    </row>
    <row r="861" spans="1:6" ht="15.75" customHeight="1" x14ac:dyDescent="0.25">
      <c r="A861" s="2" t="s">
        <v>2907</v>
      </c>
      <c r="B861" s="2" t="s">
        <v>1816</v>
      </c>
      <c r="C861" s="2" t="s">
        <v>2908</v>
      </c>
      <c r="D861" s="2" t="s">
        <v>2909</v>
      </c>
      <c r="E861" s="2" t="str">
        <f ca="1">IFERROR(__xludf.DUMMYFUNCTION("GOOGLETRANSLATE(D861,""en"",""pt"")"),"O Komala é um Pokémon do tipo normal introduzido na geração 7. É conhecido como Pokémon que Drowsing.
Ninguém jamais viu um Komala acordado. Ele come, viaja e até batalhas enquanto adormece! Sua saliva pode ser usada como remédio para os doentes ou sem do"&amp;"rmir, segundo pessoas antigas. Dizem que, se você tomar uma pequena quantidade de saliva que permanece depois de comer folhas, regar a saliva e beber, poderá dormir bem.
Komala se apega a um travesseiro de madeira que seus pais lhe deram. Depois de entend"&amp;"er esse tronco, quase nunca o libera. Se perder seu tronco, o Pokémon não poderá dormir bem e se debaterá muito.")</f>
        <v>O Komala é um Pokémon do tipo normal introduzido na geração 7. É conhecido como Pokémon que Drowsing.
Ninguém jamais viu um Komala acordado. Ele come, viaja e até batalhas enquanto adormece! Sua saliva pode ser usada como remédio para os doentes ou sem dormir, segundo pessoas antigas. Dizem que, se você tomar uma pequena quantidade de saliva que permanece depois de comer folhas, regar a saliva e beber, poderá dormir bem.
Komala se apega a um travesseiro de madeira que seus pais lhe deram. Depois de entender esse tronco, quase nunca o libera. Se perder seu tronco, o Pokémon não poderá dormir bem e se debaterá muito.</v>
      </c>
      <c r="F861" s="2" t="str">
        <f ca="1">IFERROR(__xludf.DUMMYFUNCTION("GOOGLETRANSLATE(B861,""en"",""pt"")"),"Pokémon em roer")</f>
        <v>Pokémon em roer</v>
      </c>
    </row>
    <row r="862" spans="1:6" ht="15.75" customHeight="1" x14ac:dyDescent="0.25">
      <c r="A862" s="2" t="s">
        <v>2910</v>
      </c>
      <c r="B862" s="2" t="s">
        <v>2911</v>
      </c>
      <c r="C862" s="2" t="s">
        <v>2912</v>
      </c>
      <c r="D862" s="2" t="s">
        <v>2913</v>
      </c>
      <c r="E862" s="2" t="str">
        <f ca="1">IFERROR(__xludf.DUMMYFUNCTION("GOOGLETRANSLATE(D862,""en"",""pt"")"),"O Turtonator é um Pokémon do tipo Fire/Dragão introduzido na geração 7. É conhecido como Pokémon de Tartaruga Blast.
Como o Turtonator vive em vulcões, alimentando -se de enxofre e outros materiais encontrados perto de crateras vulcânicas, sua concha tem "&amp;"uma camada de material explosivo - principalmente enxofre. Quando algo atinge esse Pokémon, Sparks voam dos chifres da concha, acendendo uma explosão!
Em áreas em torno de crateras vulcânicas, esse Pokémon se camufla como uma pedra e espera por presas. No"&amp;" momento em que sua presa entra na parte de trás de sua concha, o Turtonator atinge sua concha com sua própria cauda, ​​desencadeando uma explosão!")</f>
        <v>O Turtonator é um Pokémon do tipo Fire/Dragão introduzido na geração 7. É conhecido como Pokémon de Tartaruga Blast.
Como o Turtonator vive em vulcões, alimentando -se de enxofre e outros materiais encontrados perto de crateras vulcânicas, sua concha tem uma camada de material explosivo - principalmente enxofre. Quando algo atinge esse Pokémon, Sparks voam dos chifres da concha, acendendo uma explosão!
Em áreas em torno de crateras vulcânicas, esse Pokémon se camufla como uma pedra e espera por presas. No momento em que sua presa entra na parte de trás de sua concha, o Turtonator atinge sua concha com sua própria cauda, ​​desencadeando uma explosão!</v>
      </c>
      <c r="F862" s="2" t="str">
        <f ca="1">IFERROR(__xludf.DUMMYFUNCTION("GOOGLETRANSLATE(B862,""en"",""pt"")"),"Pokémon de tartaruga de explosão")</f>
        <v>Pokémon de tartaruga de explosão</v>
      </c>
    </row>
    <row r="863" spans="1:6" ht="15.75" customHeight="1" x14ac:dyDescent="0.25">
      <c r="A863" s="2" t="s">
        <v>2914</v>
      </c>
      <c r="B863" s="2" t="s">
        <v>2915</v>
      </c>
      <c r="C863" s="2" t="s">
        <v>2916</v>
      </c>
      <c r="D863" s="2" t="s">
        <v>2917</v>
      </c>
      <c r="E863" s="2" t="str">
        <f ca="1">IFERROR(__xludf.DUMMYFUNCTION("GOOGLETRANSLATE(D863,""en"",""pt"")"),"TOGEDEMARU é um Pokémon elétrico/aço introduzido na geração 7. É conhecido como Pokémon Roly-Poly.
A TOGEDEMARU reúne eletricidade e a armazena. A agulha longa que cresce na parte de trás de sua cabeça funciona como um haste de raios para atrair eletricid"&amp;"ade.
Cobrir seu corpo é um padrão de pêlo com fios como agulhas. Nos dias em que os raios atingem, às vezes você pode ver Togedemaru se reunir e se acumular nas agulhas, esperando para serem atingidos por um raio.")</f>
        <v>TOGEDEMARU é um Pokémon elétrico/aço introduzido na geração 7. É conhecido como Pokémon Roly-Poly.
A TOGEDEMARU reúne eletricidade e a armazena. A agulha longa que cresce na parte de trás de sua cabeça funciona como um haste de raios para atrair eletricidade.
Cobrir seu corpo é um padrão de pêlo com fios como agulhas. Nos dias em que os raios atingem, às vezes você pode ver Togedemaru se reunir e se acumular nas agulhas, esperando para serem atingidos por um raio.</v>
      </c>
      <c r="F863" s="2" t="str">
        <f ca="1">IFERROR(__xludf.DUMMYFUNCTION("GOOGLETRANSLATE(B863,""en"",""pt"")"),"Pokémon Roly-Poly")</f>
        <v>Pokémon Roly-Poly</v>
      </c>
    </row>
    <row r="864" spans="1:6" ht="15.75" customHeight="1" x14ac:dyDescent="0.25">
      <c r="A864" s="2" t="s">
        <v>2918</v>
      </c>
      <c r="B864" s="2" t="s">
        <v>2919</v>
      </c>
      <c r="C864" s="2" t="s">
        <v>2920</v>
      </c>
      <c r="D864" s="2" t="s">
        <v>2921</v>
      </c>
      <c r="E864" s="2" t="str">
        <f ca="1">IFERROR(__xludf.DUMMYFUNCTION("GOOGLETRANSLATE(D864,""en"",""pt"")"),"Mimikyu é um Pokémon do tipo fantasma/fada introduzido na geração 7. É conhecido como Pokémon Disguise.
Mimikyu vive sua vida completamente coberto por seu pano e está sempre escondido. As pessoas acreditam que quem vê sua verdadeira forma sob o pano será"&amp;" atingida por uma doença misteriosa. As pessoas na região de Alola estão convencidas de que você nunca deve tentar espiar sob sua cobertura. A saúde de Mimikyu falha quando é banhada nos raios do sol, por isso prefere ficar em lugares escuros. Há rumores "&amp;"de que a razão pela qual se cobre com um pano é evitar a luz do sol.")</f>
        <v>Mimikyu é um Pokémon do tipo fantasma/fada introduzido na geração 7. É conhecido como Pokémon Disguise.
Mimikyu vive sua vida completamente coberto por seu pano e está sempre escondido. As pessoas acreditam que quem vê sua verdadeira forma sob o pano será atingida por uma doença misteriosa. As pessoas na região de Alola estão convencidas de que você nunca deve tentar espiar sob sua cobertura. A saúde de Mimikyu falha quando é banhada nos raios do sol, por isso prefere ficar em lugares escuros. Há rumores de que a razão pela qual se cobre com um pano é evitar a luz do sol.</v>
      </c>
      <c r="F864" s="2" t="str">
        <f ca="1">IFERROR(__xludf.DUMMYFUNCTION("GOOGLETRANSLATE(B864,""en"",""pt"")"),"Disfarçar Pokémon")</f>
        <v>Disfarçar Pokémon</v>
      </c>
    </row>
    <row r="865" spans="1:6" ht="15.75" customHeight="1" x14ac:dyDescent="0.25">
      <c r="A865" s="2" t="s">
        <v>2922</v>
      </c>
      <c r="B865" s="2" t="s">
        <v>2923</v>
      </c>
      <c r="C865" s="2" t="s">
        <v>2924</v>
      </c>
      <c r="D865" s="2" t="s">
        <v>2925</v>
      </c>
      <c r="E865" s="2" t="str">
        <f ca="1">IFERROR(__xludf.DUMMYFUNCTION("GOOGLETRANSLATE(D865,""en"",""pt"")"),"O Bruxish é um Pokémon do tipo água/psíquico introduzido na geração 7. É conhecido como Pokémon de dentes Gnash.
Bruxish emite um forte poder psíquico da protuberância de cabeça para baixo. Quando seus oponentes são banhados nesse poder, eles são atingido"&amp;"s por terríveis dores de cabeça e ficam inconscientes. À medida que emite seu poder psíquico, tritura os dentes em voz alta. Quando os Pokémon nas proximidades ouvem o som dos dentes de Bruxish ranger, eles sentem perigo e fogem imediatamente.")</f>
        <v>O Bruxish é um Pokémon do tipo água/psíquico introduzido na geração 7. É conhecido como Pokémon de dentes Gnash.
Bruxish emite um forte poder psíquico da protuberância de cabeça para baixo. Quando seus oponentes são banhados nesse poder, eles são atingidos por terríveis dores de cabeça e ficam inconscientes. À medida que emite seu poder psíquico, tritura os dentes em voz alta. Quando os Pokémon nas proximidades ouvem o som dos dentes de Bruxish ranger, eles sentem perigo e fogem imediatamente.</v>
      </c>
      <c r="F865" s="2" t="str">
        <f ca="1">IFERROR(__xludf.DUMMYFUNCTION("GOOGLETRANSLATE(B865,""en"",""pt"")"),"Gnash dentes Pokémon")</f>
        <v>Gnash dentes Pokémon</v>
      </c>
    </row>
    <row r="866" spans="1:6" ht="15.75" customHeight="1" x14ac:dyDescent="0.25">
      <c r="A866" s="2" t="s">
        <v>2926</v>
      </c>
      <c r="B866" s="2" t="s">
        <v>2884</v>
      </c>
      <c r="C866" s="2" t="s">
        <v>2927</v>
      </c>
      <c r="D866" s="2" t="s">
        <v>2928</v>
      </c>
      <c r="E866" s="2" t="str">
        <f ca="1">IFERROR(__xludf.DUMMYFUNCTION("GOOGLETRANSLATE(D866,""en"",""pt"")"),"Rapidash é um Pokémon do tipo fogo introduzido na geração 1. É conhecido como Pokémon de Fire Horse.")</f>
        <v>Rapidash é um Pokémon do tipo fogo introduzido na geração 1. É conhecido como Pokémon de Fire Horse.</v>
      </c>
      <c r="F866" s="2" t="str">
        <f ca="1">IFERROR(__xludf.DUMMYFUNCTION("GOOGLETRANSLATE(B866,""en"",""pt"")"),"Pokémon de Fire Horse")</f>
        <v>Pokémon de Fire Horse</v>
      </c>
    </row>
    <row r="867" spans="1:6" ht="15.75" customHeight="1" x14ac:dyDescent="0.25">
      <c r="A867" s="2" t="s">
        <v>2929</v>
      </c>
      <c r="B867" s="2" t="s">
        <v>2930</v>
      </c>
      <c r="C867" s="2" t="s">
        <v>2931</v>
      </c>
      <c r="D867" s="2" t="s">
        <v>2932</v>
      </c>
      <c r="E867" s="2" t="str">
        <f ca="1">IFERROR(__xludf.DUMMYFUNCTION("GOOGLETRANSLATE(D867,""en"",""pt"")"),"Drampa é um Pokémon normal/do tipo dragão introduzido na geração 7. É conhecido como Pokémon Placid.
Drampa são dragões que vivem sozinhos nas montanhas 10.000 pés acima do nível do mar. Como eles não conseguem obter as bagas em que se alimentam dessa fai"&amp;"xa, elas descem para a base das montanhas ao amanhecer todos os dias. Drampa adora se comunicar com pessoas e Pokémon.
Embora o Drampa seja geralmente um Pokémon muito suave, ele pode voar em uma raiva se uma criança que ele se importa é ferida de alguma "&amp;"maneira.")</f>
        <v>Drampa é um Pokémon normal/do tipo dragão introduzido na geração 7. É conhecido como Pokémon Placid.
Drampa são dragões que vivem sozinhos nas montanhas 10.000 pés acima do nível do mar. Como eles não conseguem obter as bagas em que se alimentam dessa faixa, elas descem para a base das montanhas ao amanhecer todos os dias. Drampa adora se comunicar com pessoas e Pokémon.
Embora o Drampa seja geralmente um Pokémon muito suave, ele pode voar em uma raiva se uma criança que ele se importa é ferida de alguma maneira.</v>
      </c>
      <c r="F867" s="2" t="str">
        <f ca="1">IFERROR(__xludf.DUMMYFUNCTION("GOOGLETRANSLATE(B867,""en"",""pt"")"),"Pokémon plácido")</f>
        <v>Pokémon plácido</v>
      </c>
    </row>
    <row r="868" spans="1:6" ht="15.75" customHeight="1" x14ac:dyDescent="0.25">
      <c r="A868" s="2" t="s">
        <v>2933</v>
      </c>
      <c r="B868" s="2" t="s">
        <v>2934</v>
      </c>
      <c r="C868" s="2" t="s">
        <v>2935</v>
      </c>
      <c r="D868" s="2" t="s">
        <v>2936</v>
      </c>
      <c r="E868" s="2" t="str">
        <f ca="1">IFERROR(__xludf.DUMMYFUNCTION("GOOGLETRANSLATE(D868,""en"",""pt"")"),"O DHELMISE é um Pokémon do tipo fantasma/grama introduzido na geração 7. É conhecido como Pokémon do Sea Creeper.")</f>
        <v>O DHELMISE é um Pokémon do tipo fantasma/grama introduzido na geração 7. É conhecido como Pokémon do Sea Creeper.</v>
      </c>
      <c r="F868" s="2" t="str">
        <f ca="1">IFERROR(__xludf.DUMMYFUNCTION("GOOGLETRANSLATE(B868,""en"",""pt"")"),"Pokémon de trepadeira do mar")</f>
        <v>Pokémon de trepadeira do mar</v>
      </c>
    </row>
    <row r="869" spans="1:6" ht="15.75" customHeight="1" x14ac:dyDescent="0.25">
      <c r="A869" s="2" t="s">
        <v>2937</v>
      </c>
      <c r="B869" s="2" t="s">
        <v>2938</v>
      </c>
      <c r="C869" s="2" t="s">
        <v>2939</v>
      </c>
      <c r="D869" s="2" t="s">
        <v>2940</v>
      </c>
      <c r="E869" s="2" t="str">
        <f ca="1">IFERROR(__xludf.DUMMYFUNCTION("GOOGLETRANSLATE(D869,""en"",""pt"")"),"Jangmo-O é um Pokémon do tipo dragão introduzido na geração 7. É conhecido como Pokémon escamosa.
Jangmo-O tem o orgulho de um guerreiro, embora permaneça humilde sobre suas capacidades. Em sua busca para se tornar mais forte, nunca negligencia seu treina"&amp;"mento.
Como Jangmo-O usa as escalas de cabeça para o ataque e a defesa, ele nunca volta para seus inimigos. Muitos treinadores veem esse comportamento e tomam como prova de que Jangmo-O é um Pokémon valente.")</f>
        <v>Jangmo-O é um Pokémon do tipo dragão introduzido na geração 7. É conhecido como Pokémon escamosa.
Jangmo-O tem o orgulho de um guerreiro, embora permaneça humilde sobre suas capacidades. Em sua busca para se tornar mais forte, nunca negligencia seu treinamento.
Como Jangmo-O usa as escalas de cabeça para o ataque e a defesa, ele nunca volta para seus inimigos. Muitos treinadores veem esse comportamento e tomam como prova de que Jangmo-O é um Pokémon valente.</v>
      </c>
      <c r="F869" s="2" t="str">
        <f ca="1">IFERROR(__xludf.DUMMYFUNCTION("GOOGLETRANSLATE(B869,""en"",""pt"")"),"Pokémon escamosa")</f>
        <v>Pokémon escamosa</v>
      </c>
    </row>
    <row r="870" spans="1:6" ht="15.75" customHeight="1" x14ac:dyDescent="0.25">
      <c r="A870" s="2" t="s">
        <v>2941</v>
      </c>
      <c r="B870" s="2" t="s">
        <v>2938</v>
      </c>
      <c r="C870" s="2" t="s">
        <v>2942</v>
      </c>
      <c r="D870" s="2" t="s">
        <v>2943</v>
      </c>
      <c r="E870" s="2" t="str">
        <f ca="1">IFERROR(__xludf.DUMMYFUNCTION("GOOGLETRANSLATE(D870,""en"",""pt"")"),"Hakamo-O é um Pokémon do tipo dragão/luta introduzido na geração 7. É conhecido como Pokémon escamosa.
Hakamo-O dança antes da batalha para mostrar sua força, agitando suas balanças para fazê-los tocar. Quando essa dança chega ao seu clímax, Hakamo-O Bell"&amp;"ows um feroz guerra de guerra para desafiar seu oponente.")</f>
        <v>Hakamo-O é um Pokémon do tipo dragão/luta introduzido na geração 7. É conhecido como Pokémon escamosa.
Hakamo-O dança antes da batalha para mostrar sua força, agitando suas balanças para fazê-los tocar. Quando essa dança chega ao seu clímax, Hakamo-O Bellows um feroz guerra de guerra para desafiar seu oponente.</v>
      </c>
      <c r="F870" s="2" t="str">
        <f ca="1">IFERROR(__xludf.DUMMYFUNCTION("GOOGLETRANSLATE(B870,""en"",""pt"")"),"Pokémon escamosa")</f>
        <v>Pokémon escamosa</v>
      </c>
    </row>
    <row r="871" spans="1:6" ht="15.75" customHeight="1" x14ac:dyDescent="0.25">
      <c r="A871" s="2" t="s">
        <v>2944</v>
      </c>
      <c r="B871" s="2" t="s">
        <v>2938</v>
      </c>
      <c r="C871" s="2" t="s">
        <v>2945</v>
      </c>
      <c r="D871" s="2" t="s">
        <v>2946</v>
      </c>
      <c r="E871" s="2" t="str">
        <f ca="1">IFERROR(__xludf.DUMMYFUNCTION("GOOGLETRANSLATE(D871,""en"",""pt"")"),"Kommo-O é um Pokémon do tipo dragão/luta introduzido na geração 7. É conhecido como Pokémon escamosa.
Há uma lenda que diz que Kommo-O é coberto por escalas brilhantes, a fim de afastar uma grande escuridão que cobre o mundo. A razão pela qual esses Pokém"&amp;"on procuram batalha é ganhar o poder necessário para derrotar essa escuridão. Quando detecta alguém se aproximando, Kommo-O toca as escalas na cauda para anunciar sua presença. Não deseja lutar contra Pokémon fraco.")</f>
        <v>Kommo-O é um Pokémon do tipo dragão/luta introduzido na geração 7. É conhecido como Pokémon escamosa.
Há uma lenda que diz que Kommo-O é coberto por escalas brilhantes, a fim de afastar uma grande escuridão que cobre o mundo. A razão pela qual esses Pokémon procuram batalha é ganhar o poder necessário para derrotar essa escuridão. Quando detecta alguém se aproximando, Kommo-O toca as escalas na cauda para anunciar sua presença. Não deseja lutar contra Pokémon fraco.</v>
      </c>
      <c r="F871" s="2" t="str">
        <f ca="1">IFERROR(__xludf.DUMMYFUNCTION("GOOGLETRANSLATE(B871,""en"",""pt"")"),"Pokémon escamosa")</f>
        <v>Pokémon escamosa</v>
      </c>
    </row>
    <row r="872" spans="1:6" ht="15.75" customHeight="1" x14ac:dyDescent="0.25">
      <c r="A872" s="2" t="s">
        <v>2947</v>
      </c>
      <c r="B872" s="2" t="s">
        <v>2948</v>
      </c>
      <c r="C872" s="2" t="s">
        <v>2949</v>
      </c>
      <c r="D872" s="2" t="s">
        <v>2950</v>
      </c>
      <c r="E872" s="2" t="str">
        <f ca="1">IFERROR(__xludf.DUMMYFUNCTION("GOOGLETRANSLATE(D872,""en"",""pt"")"),"Tapu Koko é um Pokémon elétrico/de fada introduzido na geração 7. É conhecido como Pokémon Spirit Land.
Tapu Koko é um Pokémon especial que protege a área onde vive. É chamado de Deidade Guardião da Ilha Melemele, uma das ilhas da região de Alola. Embora "&amp;"seja conhecido como uma divindade guardião, é um Pokémon surpreendentemente inconstante e não será necessariamente em seu auxílio se precisar de ajuda.
Apesar disso, Tapu Koko tem um forte senso de curiosidade. Se se interessar por uma pessoa ou em outros"&amp;" Pokémon, pode vir para brincar ou lutar com ela.")</f>
        <v>Tapu Koko é um Pokémon elétrico/de fada introduzido na geração 7. É conhecido como Pokémon Spirit Land.
Tapu Koko é um Pokémon especial que protege a área onde vive. É chamado de Deidade Guardião da Ilha Melemele, uma das ilhas da região de Alola. Embora seja conhecido como uma divindade guardião, é um Pokémon surpreendentemente inconstante e não será necessariamente em seu auxílio se precisar de ajuda.
Apesar disso, Tapu Koko tem um forte senso de curiosidade. Se se interessar por uma pessoa ou em outros Pokémon, pode vir para brincar ou lutar com ela.</v>
      </c>
      <c r="F872" s="2" t="str">
        <f ca="1">IFERROR(__xludf.DUMMYFUNCTION("GOOGLETRANSLATE(B872,""en"",""pt"")"),"Espírito da terra Pokémon")</f>
        <v>Espírito da terra Pokémon</v>
      </c>
    </row>
    <row r="873" spans="1:6" ht="15.75" customHeight="1" x14ac:dyDescent="0.25">
      <c r="A873" s="2" t="s">
        <v>2951</v>
      </c>
      <c r="B873" s="2" t="s">
        <v>2948</v>
      </c>
      <c r="C873" s="2" t="s">
        <v>2952</v>
      </c>
      <c r="D873" s="2" t="s">
        <v>2953</v>
      </c>
      <c r="E873" s="2" t="str">
        <f ca="1">IFERROR(__xludf.DUMMYFUNCTION("GOOGLETRANSLATE(D873,""en"",""pt"")"),"Tapu Lele é um Pokémon psíquico/de fada introduzido na geração 7. É conhecido como Pokémon Spirit Land.
Tapu Lele dispersa escalas brilhantes que afetam fisicamente os outros - fornecendo estimulação a seus corpos e curando suas doenças ou lesões. Mas ess"&amp;"as escalas também podem ser perigosas, porque um corpo não pode suportar as mudanças causadas pelo contato com muitas escalas ao mesmo tempo. Ele espalhará suas escalas sobre humanos e Pokémon por seu próprio prazer; Embora seja inocente em um sentido, ta"&amp;"mbém há crueldade na maneira como ele casualmente traz outros a arruinar.")</f>
        <v>Tapu Lele é um Pokémon psíquico/de fada introduzido na geração 7. É conhecido como Pokémon Spirit Land.
Tapu Lele dispersa escalas brilhantes que afetam fisicamente os outros - fornecendo estimulação a seus corpos e curando suas doenças ou lesões. Mas essas escalas também podem ser perigosas, porque um corpo não pode suportar as mudanças causadas pelo contato com muitas escalas ao mesmo tempo. Ele espalhará suas escalas sobre humanos e Pokémon por seu próprio prazer; Embora seja inocente em um sentido, também há crueldade na maneira como ele casualmente traz outros a arruinar.</v>
      </c>
      <c r="F873" s="2" t="str">
        <f ca="1">IFERROR(__xludf.DUMMYFUNCTION("GOOGLETRANSLATE(B873,""en"",""pt"")"),"Espírito da terra Pokémon")</f>
        <v>Espírito da terra Pokémon</v>
      </c>
    </row>
    <row r="874" spans="1:6" ht="15.75" customHeight="1" x14ac:dyDescent="0.25">
      <c r="A874" s="2" t="s">
        <v>2954</v>
      </c>
      <c r="B874" s="2" t="s">
        <v>2948</v>
      </c>
      <c r="C874" s="2" t="s">
        <v>2955</v>
      </c>
      <c r="D874" s="2" t="s">
        <v>2956</v>
      </c>
      <c r="E874" s="2" t="str">
        <f ca="1">IFERROR(__xludf.DUMMYFUNCTION("GOOGLETRANSLATE(D874,""en"",""pt"")"),"Tapu Bulu é um Pokémon de grama/fada introduzido na geração 7. É conhecido como Pokémon Spirit Land.
Tapu Bulu tem o poder de manipular a vegetação e fazer com que cresça. Ele pode usar esse poder em seus próprios chifres - que são feitos de madeira - mud"&amp;"ando sua forma ou aumentando -os. Isso pode ser útil na batalha!
Este Pokémon roubado não é muito ativo. As opiniões das pessoas diferem se é tão dóceis quanto parece, ou se o motivo de não se mover muito pode ser atribuído à simples preguiça.")</f>
        <v>Tapu Bulu é um Pokémon de grama/fada introduzido na geração 7. É conhecido como Pokémon Spirit Land.
Tapu Bulu tem o poder de manipular a vegetação e fazer com que cresça. Ele pode usar esse poder em seus próprios chifres - que são feitos de madeira - mudando sua forma ou aumentando -os. Isso pode ser útil na batalha!
Este Pokémon roubado não é muito ativo. As opiniões das pessoas diferem se é tão dóceis quanto parece, ou se o motivo de não se mover muito pode ser atribuído à simples preguiça.</v>
      </c>
      <c r="F874" s="2" t="str">
        <f ca="1">IFERROR(__xludf.DUMMYFUNCTION("GOOGLETRANSLATE(B874,""en"",""pt"")"),"Espírito da terra Pokémon")</f>
        <v>Espírito da terra Pokémon</v>
      </c>
    </row>
    <row r="875" spans="1:6" ht="15.75" customHeight="1" x14ac:dyDescent="0.25">
      <c r="A875" s="2" t="s">
        <v>2957</v>
      </c>
      <c r="B875" s="2" t="s">
        <v>2948</v>
      </c>
      <c r="C875" s="2" t="s">
        <v>2958</v>
      </c>
      <c r="D875" s="2" t="s">
        <v>2959</v>
      </c>
      <c r="E875" s="2" t="str">
        <f ca="1">IFERROR(__xludf.DUMMYFUNCTION("GOOGLETRANSLATE(D875,""en"",""pt"")"),"Tapu Fini é um Pokémon do tipo água/fada introduzido na geração 7. É conhecido como Pokémon Spirit Land.
Tapu Fini é capaz de criar uma água especial que purifica a mente e o corpo. Mas exige que os suplicantes que desejem obter a água purificadora demons"&amp;"trem a força para suportar o nevoeiro do tapu.
Como odeia arriscar danos a si mesmo durante a batalha, a Tapu Fini prefere criar uma névoa grossa que coloca os oponentes em um transe e os leva a se destruir.")</f>
        <v>Tapu Fini é um Pokémon do tipo água/fada introduzido na geração 7. É conhecido como Pokémon Spirit Land.
Tapu Fini é capaz de criar uma água especial que purifica a mente e o corpo. Mas exige que os suplicantes que desejem obter a água purificadora demonstrem a força para suportar o nevoeiro do tapu.
Como odeia arriscar danos a si mesmo durante a batalha, a Tapu Fini prefere criar uma névoa grossa que coloca os oponentes em um transe e os leva a se destruir.</v>
      </c>
      <c r="F875" s="2" t="str">
        <f ca="1">IFERROR(__xludf.DUMMYFUNCTION("GOOGLETRANSLATE(B875,""en"",""pt"")"),"Espírito da terra Pokémon")</f>
        <v>Espírito da terra Pokémon</v>
      </c>
    </row>
    <row r="876" spans="1:6" ht="15.75" customHeight="1" x14ac:dyDescent="0.25">
      <c r="A876" s="2" t="s">
        <v>2960</v>
      </c>
      <c r="B876" s="2" t="s">
        <v>2961</v>
      </c>
      <c r="C876" s="2" t="s">
        <v>2962</v>
      </c>
      <c r="D876" s="2" t="s">
        <v>2963</v>
      </c>
      <c r="E876" s="2" t="str">
        <f ca="1">IFERROR(__xludf.DUMMYFUNCTION("GOOGLETRANSLATE(D876,""en"",""pt"")"),"O Cosmog é um Pokémon do tipo psíquico introduzido na geração 7. É conhecido como Pokémon Nebulosa.
Este Pokémon extremamente raro é conhecido por apenas alguns alguns em Alola. Ao mesmo tempo, era conhecido apenas pelos reis de Alola e seus herdeiros, e "&amp;"era chamado de filho das estrelas.
Cosmog está muito curioso e não mostra medo de pessoas ou Pokémon. Se você o tratar com alguma consideração, será necessário um gosto imediato. Esse traço de personalidade geralmente o leva ao perigo.")</f>
        <v>O Cosmog é um Pokémon do tipo psíquico introduzido na geração 7. É conhecido como Pokémon Nebulosa.
Este Pokémon extremamente raro é conhecido por apenas alguns alguns em Alola. Ao mesmo tempo, era conhecido apenas pelos reis de Alola e seus herdeiros, e era chamado de filho das estrelas.
Cosmog está muito curioso e não mostra medo de pessoas ou Pokémon. Se você o tratar com alguma consideração, será necessário um gosto imediato. Esse traço de personalidade geralmente o leva ao perigo.</v>
      </c>
      <c r="F876" s="2" t="str">
        <f ca="1">IFERROR(__xludf.DUMMYFUNCTION("GOOGLETRANSLATE(B876,""en"",""pt"")"),"Pokémon nebulosa")</f>
        <v>Pokémon nebulosa</v>
      </c>
    </row>
    <row r="877" spans="1:6" ht="15.75" customHeight="1" x14ac:dyDescent="0.25">
      <c r="A877" s="2" t="s">
        <v>2964</v>
      </c>
      <c r="B877" s="2" t="s">
        <v>2965</v>
      </c>
      <c r="C877" s="2" t="s">
        <v>2966</v>
      </c>
      <c r="D877" s="2" t="s">
        <v>2967</v>
      </c>
      <c r="E877" s="2" t="str">
        <f ca="1">IFERROR(__xludf.DUMMYFUNCTION("GOOGLETRANSLATE(D877,""en"",""pt"")"),"Slowpoke é um Pokémon do tipo água/psíquico introduzido na geração 1. É conhecido como Pokémon idiota.")</f>
        <v>Slowpoke é um Pokémon do tipo água/psíquico introduzido na geração 1. É conhecido como Pokémon idiota.</v>
      </c>
      <c r="F877" s="2" t="str">
        <f ca="1">IFERROR(__xludf.DUMMYFUNCTION("GOOGLETRANSLATE(B877,""en"",""pt"")"),"Pokémon idiota")</f>
        <v>Pokémon idiota</v>
      </c>
    </row>
    <row r="878" spans="1:6" ht="15.75" customHeight="1" x14ac:dyDescent="0.25">
      <c r="A878" s="2" t="s">
        <v>2968</v>
      </c>
      <c r="B878" s="2" t="s">
        <v>2969</v>
      </c>
      <c r="C878" s="2" t="s">
        <v>2970</v>
      </c>
      <c r="D878" s="2" t="s">
        <v>2971</v>
      </c>
      <c r="E878" s="2" t="str">
        <f ca="1">IFERROR(__xludf.DUMMYFUNCTION("GOOGLETRANSLATE(D878,""en"",""pt"")"),"Cosmoem é um Pokémon do tipo psíquico introduzido na geração 7. É conhecido como Pokémon PROTOSTAR.")</f>
        <v>Cosmoem é um Pokémon do tipo psíquico introduzido na geração 7. É conhecido como Pokémon PROTOSTAR.</v>
      </c>
      <c r="F878" s="2" t="str">
        <f ca="1">IFERROR(__xludf.DUMMYFUNCTION("GOOGLETRANSLATE(B878,""en"",""pt"")"),"Protostar Pokémon")</f>
        <v>Protostar Pokémon</v>
      </c>
    </row>
    <row r="879" spans="1:6" ht="15.75" customHeight="1" x14ac:dyDescent="0.25">
      <c r="A879" s="2" t="s">
        <v>2972</v>
      </c>
      <c r="B879" s="2" t="s">
        <v>2973</v>
      </c>
      <c r="C879" s="2" t="s">
        <v>2974</v>
      </c>
      <c r="D879" s="2" t="s">
        <v>2975</v>
      </c>
      <c r="E879" s="2" t="str">
        <f ca="1">IFERROR(__xludf.DUMMYFUNCTION("GOOGLETRANSLATE(D879,""en"",""pt"")"),"Solgaleo é um Pokémon psíquico/aço introduzido na geração 7. É conhecido como Pokémon Sunne.
Desde os tempos antigos, Solgaleo é homenageado como um emissário do sol. É referido com reverência como a besta que devora o sol. O corpo de Solgaleo mantém uma "&amp;"grande quantidade de energia e brilha com luz quando está ativa. Tem uma crina fluida com uma notável semelhança com o sol.
Tem um poderoso movimento de assinatura, Sunsteel Strike. Quando libera seu poderoso poder, ele assume uma nova aparência conhecida"&amp;" como fase solar radiante.")</f>
        <v>Solgaleo é um Pokémon psíquico/aço introduzido na geração 7. É conhecido como Pokémon Sunne.
Desde os tempos antigos, Solgaleo é homenageado como um emissário do sol. É referido com reverência como a besta que devora o sol. O corpo de Solgaleo mantém uma grande quantidade de energia e brilha com luz quando está ativa. Tem uma crina fluida com uma notável semelhança com o sol.
Tem um poderoso movimento de assinatura, Sunsteel Strike. Quando libera seu poderoso poder, ele assume uma nova aparência conhecida como fase solar radiante.</v>
      </c>
      <c r="F879" s="2" t="str">
        <f ca="1">IFERROR(__xludf.DUMMYFUNCTION("GOOGLETRANSLATE(B879,""en"",""pt"")"),"Sunne Pokémon")</f>
        <v>Sunne Pokémon</v>
      </c>
    </row>
    <row r="880" spans="1:6" ht="15.75" customHeight="1" x14ac:dyDescent="0.25">
      <c r="A880" s="2" t="s">
        <v>2976</v>
      </c>
      <c r="B880" s="2" t="s">
        <v>2977</v>
      </c>
      <c r="C880" s="2" t="s">
        <v>2978</v>
      </c>
      <c r="D880" s="2" t="s">
        <v>2979</v>
      </c>
      <c r="E880" s="2" t="str">
        <f ca="1">IFERROR(__xludf.DUMMYFUNCTION("GOOGLETRANSLATE(D880,""en"",""pt"")"),"Lunala é um Pokémon psíquico/fantasma introduzido na geração 7. É conhecido como Moone Pokémon.
Desde os tempos antigos, Lunala foi homenageada como um emissário da lua. É referido com reverência como a besta que chama a lua. Lunala está constantemente ab"&amp;"sorvendo a luz e convertendo -a em energia. Com suas asas se espalham para absorver a luz circundante e brilhando como uma lua crescente, ela se assemelha a um lindo céu noturno.
Tem um poderoso movimento de assinatura, feixe Moongeist. Quando libera seu "&amp;"poderoso poder, ele assume uma nova aparência conhecida como a fase da lua cheia.")</f>
        <v>Lunala é um Pokémon psíquico/fantasma introduzido na geração 7. É conhecido como Moone Pokémon.
Desde os tempos antigos, Lunala foi homenageada como um emissário da lua. É referido com reverência como a besta que chama a lua. Lunala está constantemente absorvendo a luz e convertendo -a em energia. Com suas asas se espalham para absorver a luz circundante e brilhando como uma lua crescente, ela se assemelha a um lindo céu noturno.
Tem um poderoso movimento de assinatura, feixe Moongeist. Quando libera seu poderoso poder, ele assume uma nova aparência conhecida como a fase da lua cheia.</v>
      </c>
      <c r="F880" s="2" t="str">
        <f ca="1">IFERROR(__xludf.DUMMYFUNCTION("GOOGLETRANSLATE(B880,""en"",""pt"")"),"Moone Pokémon")</f>
        <v>Moone Pokémon</v>
      </c>
    </row>
    <row r="881" spans="1:6" ht="15.75" customHeight="1" x14ac:dyDescent="0.25">
      <c r="A881" s="2" t="s">
        <v>2980</v>
      </c>
      <c r="B881" s="2" t="s">
        <v>2981</v>
      </c>
      <c r="C881" s="2" t="s">
        <v>2982</v>
      </c>
      <c r="D881" s="2" t="s">
        <v>2983</v>
      </c>
      <c r="E881" s="2" t="str">
        <f ca="1">IFERROR(__xludf.DUMMYFUNCTION("GOOGLETRANSLATE(D881,""en"",""pt"")"),"Nihilego é um Pokémon do tipo rocha/veneno introduzido na geração 7. É conhecido como Pokémon Parasita.
Nihilego é um Ultra Beast, também conhecido pelo nome de código UB-01 Symbiont.")</f>
        <v>Nihilego é um Pokémon do tipo rocha/veneno introduzido na geração 7. É conhecido como Pokémon Parasita.
Nihilego é um Ultra Beast, também conhecido pelo nome de código UB-01 Symbiont.</v>
      </c>
      <c r="F881" s="2" t="str">
        <f ca="1">IFERROR(__xludf.DUMMYFUNCTION("GOOGLETRANSLATE(B881,""en"",""pt"")"),"Pokémon parasita")</f>
        <v>Pokémon parasita</v>
      </c>
    </row>
    <row r="882" spans="1:6" ht="15.75" customHeight="1" x14ac:dyDescent="0.25">
      <c r="A882" s="2" t="s">
        <v>2984</v>
      </c>
      <c r="B882" s="2" t="s">
        <v>2985</v>
      </c>
      <c r="C882" s="2" t="s">
        <v>2986</v>
      </c>
      <c r="D882" s="2" t="s">
        <v>2987</v>
      </c>
      <c r="E882" s="2" t="str">
        <f ca="1">IFERROR(__xludf.DUMMYFUNCTION("GOOGLETRANSLATE(D882,""en"",""pt"")"),"O BuzzWole é um Pokémon do tipo bug/luta introduzido na geração 7. É conhecido como Pokémon inchado.
O BuzzWole é uma besta ultra, também conhecida pelo nome da absorção UB-02.")</f>
        <v>O BuzzWole é um Pokémon do tipo bug/luta introduzido na geração 7. É conhecido como Pokémon inchado.
O BuzzWole é uma besta ultra, também conhecida pelo nome da absorção UB-02.</v>
      </c>
      <c r="F882" s="2" t="str">
        <f ca="1">IFERROR(__xludf.DUMMYFUNCTION("GOOGLETRANSLATE(B882,""en"",""pt"")"),"Pokémon inchado")</f>
        <v>Pokémon inchado</v>
      </c>
    </row>
    <row r="883" spans="1:6" ht="15.75" customHeight="1" x14ac:dyDescent="0.25">
      <c r="A883" s="2" t="s">
        <v>2988</v>
      </c>
      <c r="B883" s="2" t="s">
        <v>2989</v>
      </c>
      <c r="C883" s="2" t="s">
        <v>2990</v>
      </c>
      <c r="D883" s="2" t="s">
        <v>2991</v>
      </c>
      <c r="E883" s="2" t="str">
        <f ca="1">IFERROR(__xludf.DUMMYFUNCTION("GOOGLETRANSLATE(D883,""en"",""pt"")"),"Pheromosa é um Pokémon do tipo bug/luta introduzido na geração 7. É conhecido como Pokémon Lissome.
Pheromosa é uma besta ultra, também conhecida pelo nome do código UB-02 Beauty.")</f>
        <v>Pheromosa é um Pokémon do tipo bug/luta introduzido na geração 7. É conhecido como Pokémon Lissome.
Pheromosa é uma besta ultra, também conhecida pelo nome do código UB-02 Beauty.</v>
      </c>
      <c r="F883" s="2" t="str">
        <f ca="1">IFERROR(__xludf.DUMMYFUNCTION("GOOGLETRANSLATE(B883,""en"",""pt"")"),"Lissome Pokémon")</f>
        <v>Lissome Pokémon</v>
      </c>
    </row>
    <row r="884" spans="1:6" ht="15.75" customHeight="1" x14ac:dyDescent="0.25">
      <c r="A884" s="2" t="s">
        <v>2992</v>
      </c>
      <c r="B884" s="2" t="s">
        <v>2993</v>
      </c>
      <c r="C884" s="2" t="s">
        <v>2994</v>
      </c>
      <c r="D884" s="2" t="s">
        <v>2995</v>
      </c>
      <c r="E884" s="2" t="str">
        <f ca="1">IFERROR(__xludf.DUMMYFUNCTION("GOOGLETRANSLATE(D884,""en"",""pt"")"),"Xurkitree é um Pokémon do tipo elétrico introduzido na geração 7. É conhecido como Pokémon brilhante.
Xurkitree é uma besta ultra, também conhecida pelo nome da iluminação UB-03.")</f>
        <v>Xurkitree é um Pokémon do tipo elétrico introduzido na geração 7. É conhecido como Pokémon brilhante.
Xurkitree é uma besta ultra, também conhecida pelo nome da iluminação UB-03.</v>
      </c>
      <c r="F884" s="2" t="str">
        <f ca="1">IFERROR(__xludf.DUMMYFUNCTION("GOOGLETRANSLATE(B884,""en"",""pt"")"),"Pokémon brilhante")</f>
        <v>Pokémon brilhante</v>
      </c>
    </row>
    <row r="885" spans="1:6" ht="15.75" customHeight="1" x14ac:dyDescent="0.25">
      <c r="A885" s="2" t="s">
        <v>2996</v>
      </c>
      <c r="B885" s="2" t="s">
        <v>2997</v>
      </c>
      <c r="C885" s="2" t="s">
        <v>2998</v>
      </c>
      <c r="D885" s="2" t="s">
        <v>2999</v>
      </c>
      <c r="E885" s="2" t="str">
        <f ca="1">IFERROR(__xludf.DUMMYFUNCTION("GOOGLETRANSLATE(D885,""en"",""pt"")"),"A Celesteela é um Pokémon de aço/voador introduzido na geração 7. É conhecido como Pokémon de lançamento.
Celesteela é uma besta ultra, também conhecida pelo nome do código UB-04 Blaster.")</f>
        <v>A Celesteela é um Pokémon de aço/voador introduzido na geração 7. É conhecido como Pokémon de lançamento.
Celesteela é uma besta ultra, também conhecida pelo nome do código UB-04 Blaster.</v>
      </c>
      <c r="F885" s="2" t="str">
        <f ca="1">IFERROR(__xludf.DUMMYFUNCTION("GOOGLETRANSLATE(B885,""en"",""pt"")"),"Lançar Pokémon")</f>
        <v>Lançar Pokémon</v>
      </c>
    </row>
    <row r="886" spans="1:6" ht="15.75" customHeight="1" x14ac:dyDescent="0.25">
      <c r="A886" s="2" t="s">
        <v>3000</v>
      </c>
      <c r="B886" s="2" t="s">
        <v>3001</v>
      </c>
      <c r="C886" s="2" t="s">
        <v>3002</v>
      </c>
      <c r="D886" s="2" t="s">
        <v>3003</v>
      </c>
      <c r="E886" s="2" t="str">
        <f ca="1">IFERROR(__xludf.DUMMYFUNCTION("GOOGLETRANSLATE(D886,""en"",""pt"")"),"Kartana é um Pokémon do tipo grama/aço introduzido na geração 7. É conhecido como Pokémon de espada desenhada.
Kartana é uma besta ultra, também conhecida pela lâmina do nome do código UB-04.")</f>
        <v>Kartana é um Pokémon do tipo grama/aço introduzido na geração 7. É conhecido como Pokémon de espada desenhada.
Kartana é uma besta ultra, também conhecida pela lâmina do nome do código UB-04.</v>
      </c>
      <c r="F886" s="2" t="str">
        <f ca="1">IFERROR(__xludf.DUMMYFUNCTION("GOOGLETRANSLATE(B886,""en"",""pt"")"),"Pokémon de espada desenhada")</f>
        <v>Pokémon de espada desenhada</v>
      </c>
    </row>
    <row r="887" spans="1:6" ht="15.75" customHeight="1" x14ac:dyDescent="0.25">
      <c r="A887" s="2" t="s">
        <v>3004</v>
      </c>
      <c r="B887" s="2" t="s">
        <v>3005</v>
      </c>
      <c r="C887" s="2" t="s">
        <v>3006</v>
      </c>
      <c r="D887" s="2" t="s">
        <v>3007</v>
      </c>
      <c r="E887" s="2" t="str">
        <f ca="1">IFERROR(__xludf.DUMMYFUNCTION("GOOGLETRANSLATE(D887,""en"",""pt"")"),"Guzzlord é um Pokémon escuro/dragão introduzido na geração 7. É conhecido como Pokémon Junkivore.
Guzzlord é um Ultra Beast, também conhecido pelo nome de código UB-05 Glutton.")</f>
        <v>Guzzlord é um Pokémon escuro/dragão introduzido na geração 7. É conhecido como Pokémon Junkivore.
Guzzlord é um Ultra Beast, também conhecido pelo nome de código UB-05 Glutton.</v>
      </c>
      <c r="F887" s="2" t="str">
        <f ca="1">IFERROR(__xludf.DUMMYFUNCTION("GOOGLETRANSLATE(B887,""en"",""pt"")"),"Junkivore Pokémon")</f>
        <v>Junkivore Pokémon</v>
      </c>
    </row>
    <row r="888" spans="1:6" ht="15.75" customHeight="1" x14ac:dyDescent="0.25">
      <c r="A888" s="2" t="s">
        <v>3008</v>
      </c>
      <c r="B888" s="2" t="s">
        <v>3009</v>
      </c>
      <c r="C888" s="2" t="s">
        <v>3010</v>
      </c>
      <c r="D888" s="2" t="s">
        <v>3011</v>
      </c>
      <c r="E888" s="2" t="str">
        <f ca="1">IFERROR(__xludf.DUMMYFUNCTION("GOOGLETRANSLATE(D888,""en"",""pt"")"),"Wartortle é um Pokémon do tipo água introduzido na geração 1. É conhecido como Pokémon Turtle.")</f>
        <v>Wartortle é um Pokémon do tipo água introduzido na geração 1. É conhecido como Pokémon Turtle.</v>
      </c>
      <c r="F888" s="2" t="str">
        <f ca="1">IFERROR(__xludf.DUMMYFUNCTION("GOOGLETRANSLATE(B888,""en"",""pt"")"),"Pokémon de tartaruga")</f>
        <v>Pokémon de tartaruga</v>
      </c>
    </row>
    <row r="889" spans="1:6" ht="15.75" customHeight="1" x14ac:dyDescent="0.25">
      <c r="A889" s="2" t="s">
        <v>3012</v>
      </c>
      <c r="B889" s="2" t="s">
        <v>3013</v>
      </c>
      <c r="C889" s="2" t="s">
        <v>3014</v>
      </c>
      <c r="D889" s="2" t="s">
        <v>3015</v>
      </c>
      <c r="E889" s="2" t="str">
        <f ca="1">IFERROR(__xludf.DUMMYFUNCTION("GOOGLETRANSLATE(D889,""en"",""pt"")"),"Slowbro é um Pokémon do tipo água/psíquico introduzido na geração 1. É conhecido como Pokémon do caranguejo eremita.
Slowbro tem uma mega evolução, disponível na Omega Ruby &amp; Alpha Sapphire em diante.")</f>
        <v>Slowbro é um Pokémon do tipo água/psíquico introduzido na geração 1. É conhecido como Pokémon do caranguejo eremita.
Slowbro tem uma mega evolução, disponível na Omega Ruby &amp; Alpha Sapphire em diante.</v>
      </c>
      <c r="F889" s="2" t="str">
        <f ca="1">IFERROR(__xludf.DUMMYFUNCTION("GOOGLETRANSLATE(B889,""en"",""pt"")"),"Pokémon de caranguejo eremita")</f>
        <v>Pokémon de caranguejo eremita</v>
      </c>
    </row>
    <row r="890" spans="1:6" ht="15.75" customHeight="1" x14ac:dyDescent="0.25">
      <c r="A890" s="2" t="s">
        <v>3012</v>
      </c>
      <c r="B890" s="2" t="s">
        <v>3013</v>
      </c>
      <c r="C890" s="2" t="s">
        <v>3016</v>
      </c>
      <c r="D890" s="2" t="s">
        <v>3015</v>
      </c>
      <c r="E890" s="2" t="str">
        <f ca="1">IFERROR(__xludf.DUMMYFUNCTION("GOOGLETRANSLATE(D890,""en"",""pt"")"),"Slowbro é um Pokémon do tipo água/psíquico introduzido na geração 1. É conhecido como Pokémon do caranguejo eremita.
Slowbro tem uma mega evolução, disponível na Omega Ruby &amp; Alpha Sapphire em diante.")</f>
        <v>Slowbro é um Pokémon do tipo água/psíquico introduzido na geração 1. É conhecido como Pokémon do caranguejo eremita.
Slowbro tem uma mega evolução, disponível na Omega Ruby &amp; Alpha Sapphire em diante.</v>
      </c>
      <c r="F890" s="2" t="str">
        <f ca="1">IFERROR(__xludf.DUMMYFUNCTION("GOOGLETRANSLATE(B890,""en"",""pt"")"),"Pokémon de caranguejo eremita")</f>
        <v>Pokémon de caranguejo eremita</v>
      </c>
    </row>
    <row r="891" spans="1:6" ht="15.75" customHeight="1" x14ac:dyDescent="0.25">
      <c r="A891" s="2" t="s">
        <v>3017</v>
      </c>
      <c r="B891" s="2" t="s">
        <v>3018</v>
      </c>
      <c r="C891" s="2" t="s">
        <v>3019</v>
      </c>
      <c r="D891" s="2" t="s">
        <v>3020</v>
      </c>
      <c r="E891" s="2" t="str">
        <f ca="1">IFERROR(__xludf.DUMMYFUNCTION("GOOGLETRANSLATE(D891,""en"",""pt"")"),"Necrozma é um Pokémon do tipo psíquico introduzido na geração 7. É conhecido como Prism Pokémon.")</f>
        <v>Necrozma é um Pokémon do tipo psíquico introduzido na geração 7. É conhecido como Prism Pokémon.</v>
      </c>
      <c r="F891" s="2" t="str">
        <f ca="1">IFERROR(__xludf.DUMMYFUNCTION("GOOGLETRANSLATE(B891,""en"",""pt"")"),"Pokémon Prism")</f>
        <v>Pokémon Prism</v>
      </c>
    </row>
    <row r="892" spans="1:6" ht="15.75" customHeight="1" x14ac:dyDescent="0.25">
      <c r="A892" s="2" t="s">
        <v>3017</v>
      </c>
      <c r="B892" s="2" t="s">
        <v>3018</v>
      </c>
      <c r="C892" s="2" t="s">
        <v>3021</v>
      </c>
      <c r="D892" s="2" t="s">
        <v>3020</v>
      </c>
      <c r="E892" s="2" t="str">
        <f ca="1">IFERROR(__xludf.DUMMYFUNCTION("GOOGLETRANSLATE(D892,""en"",""pt"")"),"Necrozma é um Pokémon do tipo psíquico introduzido na geração 7. É conhecido como Prism Pokémon.")</f>
        <v>Necrozma é um Pokémon do tipo psíquico introduzido na geração 7. É conhecido como Prism Pokémon.</v>
      </c>
      <c r="F892" s="2" t="str">
        <f ca="1">IFERROR(__xludf.DUMMYFUNCTION("GOOGLETRANSLATE(B892,""en"",""pt"")"),"Pokémon Prism")</f>
        <v>Pokémon Prism</v>
      </c>
    </row>
    <row r="893" spans="1:6" ht="15.75" customHeight="1" x14ac:dyDescent="0.25">
      <c r="A893" s="2" t="s">
        <v>3017</v>
      </c>
      <c r="B893" s="2" t="s">
        <v>3018</v>
      </c>
      <c r="C893" s="2" t="s">
        <v>3022</v>
      </c>
      <c r="D893" s="2" t="s">
        <v>3020</v>
      </c>
      <c r="E893" s="2" t="str">
        <f ca="1">IFERROR(__xludf.DUMMYFUNCTION("GOOGLETRANSLATE(D893,""en"",""pt"")"),"Necrozma é um Pokémon do tipo psíquico introduzido na geração 7. É conhecido como Prism Pokémon.")</f>
        <v>Necrozma é um Pokémon do tipo psíquico introduzido na geração 7. É conhecido como Prism Pokémon.</v>
      </c>
      <c r="F893" s="2" t="str">
        <f ca="1">IFERROR(__xludf.DUMMYFUNCTION("GOOGLETRANSLATE(B893,""en"",""pt"")"),"Pokémon Prism")</f>
        <v>Pokémon Prism</v>
      </c>
    </row>
    <row r="894" spans="1:6" ht="15.75" customHeight="1" x14ac:dyDescent="0.25">
      <c r="A894" s="2" t="s">
        <v>3017</v>
      </c>
      <c r="B894" s="2" t="s">
        <v>3018</v>
      </c>
      <c r="C894" s="2" t="s">
        <v>3023</v>
      </c>
      <c r="D894" s="2" t="s">
        <v>3020</v>
      </c>
      <c r="E894" s="2" t="str">
        <f ca="1">IFERROR(__xludf.DUMMYFUNCTION("GOOGLETRANSLATE(D894,""en"",""pt"")"),"Necrozma é um Pokémon do tipo psíquico introduzido na geração 7. É conhecido como Prism Pokémon.")</f>
        <v>Necrozma é um Pokémon do tipo psíquico introduzido na geração 7. É conhecido como Prism Pokémon.</v>
      </c>
      <c r="F894" s="2" t="str">
        <f ca="1">IFERROR(__xludf.DUMMYFUNCTION("GOOGLETRANSLATE(B894,""en"",""pt"")"),"Pokémon Prism")</f>
        <v>Pokémon Prism</v>
      </c>
    </row>
    <row r="895" spans="1:6" ht="15.75" customHeight="1" x14ac:dyDescent="0.25">
      <c r="A895" s="2" t="s">
        <v>3024</v>
      </c>
      <c r="B895" s="2" t="s">
        <v>3025</v>
      </c>
      <c r="C895" s="2" t="s">
        <v>3026</v>
      </c>
      <c r="D895" s="2" t="s">
        <v>3027</v>
      </c>
      <c r="E895" s="2" t="str">
        <f ca="1">IFERROR(__xludf.DUMMYFUNCTION("GOOGLETRANSLATE(D895,""en"",""pt"")"),"Maguearna é um Pokémon de aço/Fairy, introduzido na geração 7. É conhecido como Pokémon artificial.
Makearna é um Pokémon mítico que foi criado por um cientista do gênio incomum há 500 anos. Makearna tem o poder de perceber as emoções, pensamentos e senti"&amp;"mentos de outros Pokémon. Se um Pokémon for ferido, Makearna sentirá a dor e o sofrimento do outro e se esforçarão o máximo possível para salvar esse Pokémon.
O corpo real de Makearna é a construção esférica em seu peito, chamada The Soul-Heart, criada po"&amp;"r um cientista que reuniu a energia da vida do Pokémon.
Makearna é obtida em sol/lua, digitalizando um código QR especial.")</f>
        <v>Maguearna é um Pokémon de aço/Fairy, introduzido na geração 7. É conhecido como Pokémon artificial.
Makearna é um Pokémon mítico que foi criado por um cientista do gênio incomum há 500 anos. Makearna tem o poder de perceber as emoções, pensamentos e sentimentos de outros Pokémon. Se um Pokémon for ferido, Makearna sentirá a dor e o sofrimento do outro e se esforçarão o máximo possível para salvar esse Pokémon.
O corpo real de Makearna é a construção esférica em seu peito, chamada The Soul-Heart, criada por um cientista que reuniu a energia da vida do Pokémon.
Makearna é obtida em sol/lua, digitalizando um código QR especial.</v>
      </c>
      <c r="F895" s="2" t="str">
        <f ca="1">IFERROR(__xludf.DUMMYFUNCTION("GOOGLETRANSLATE(B895,""en"",""pt"")"),"Pokémon artificial")</f>
        <v>Pokémon artificial</v>
      </c>
    </row>
    <row r="896" spans="1:6" ht="15.75" customHeight="1" x14ac:dyDescent="0.25">
      <c r="A896" s="2" t="s">
        <v>3028</v>
      </c>
      <c r="B896" s="2" t="s">
        <v>3029</v>
      </c>
      <c r="C896" s="2" t="s">
        <v>3030</v>
      </c>
      <c r="D896" s="2" t="s">
        <v>3031</v>
      </c>
      <c r="E896" s="2" t="str">
        <f ca="1">IFERROR(__xludf.DUMMYFUNCTION("GOOGLETRANSLATE(D896,""en"",""pt"")"),"Marshadow é um Pokémon de luta/fantasma introduzido na geração 7. É conhecido como Pokémon Gloomdweller.")</f>
        <v>Marshadow é um Pokémon de luta/fantasma introduzido na geração 7. É conhecido como Pokémon Gloomdweller.</v>
      </c>
      <c r="F896" s="2" t="str">
        <f ca="1">IFERROR(__xludf.DUMMYFUNCTION("GOOGLETRANSLATE(B896,""en"",""pt"")"),"Pokémon Gloomdweller")</f>
        <v>Pokémon Gloomdweller</v>
      </c>
    </row>
    <row r="897" spans="1:6" ht="15.75" customHeight="1" x14ac:dyDescent="0.25">
      <c r="A897" s="2" t="s">
        <v>3032</v>
      </c>
      <c r="B897" s="2" t="s">
        <v>819</v>
      </c>
      <c r="C897" s="2" t="s">
        <v>3033</v>
      </c>
      <c r="D897" s="2" t="s">
        <v>3034</v>
      </c>
      <c r="E897" s="2" t="str">
        <f ca="1">IFERROR(__xludf.DUMMYFUNCTION("GOOGLETRANSLATE(D897,""en"",""pt"")"),"Poipole é um Pokémon do tipo veneno introduzido na geração 7. É conhecido como Pokémon Pin Poison.
Poipole é um Ultra Beast introduzido em Pokémon Ultra Sun &amp; Ultra Moon, também conhecido pelo nome do codinome UB adesivo.
Poipole mostra muitas emoções, e "&amp;"diz -se que é capaz de entender a fala humana se gastar tempo suficiente junto com elas. Suas cabeças grandes estão cheias de veneno e disparam esse veneno das agulhas venenosas em cima delas.")</f>
        <v>Poipole é um Pokémon do tipo veneno introduzido na geração 7. É conhecido como Pokémon Pin Poison.
Poipole é um Ultra Beast introduzido em Pokémon Ultra Sun &amp; Ultra Moon, também conhecido pelo nome do codinome UB adesivo.
Poipole mostra muitas emoções, e diz -se que é capaz de entender a fala humana se gastar tempo suficiente junto com elas. Suas cabeças grandes estão cheias de veneno e disparam esse veneno das agulhas venenosas em cima delas.</v>
      </c>
      <c r="F897" s="2" t="str">
        <f ca="1">IFERROR(__xludf.DUMMYFUNCTION("GOOGLETRANSLATE(B897,""en"",""pt"")"),"Pokémon de Pin Poison")</f>
        <v>Pokémon de Pin Poison</v>
      </c>
    </row>
    <row r="898" spans="1:6" ht="15.75" customHeight="1" x14ac:dyDescent="0.25">
      <c r="A898" s="2" t="s">
        <v>3035</v>
      </c>
      <c r="B898" s="2" t="s">
        <v>819</v>
      </c>
      <c r="C898" s="2" t="s">
        <v>3036</v>
      </c>
      <c r="D898" s="2" t="s">
        <v>3037</v>
      </c>
      <c r="E898" s="2" t="str">
        <f ca="1">IFERROR(__xludf.DUMMYFUNCTION("GOOGLETRANSLATE(D898,""en"",""pt"")"),"Naganadel é um Pokémon do tipo veneno/dragão introduzido na geração 7. É conhecido como Pokémon Pin Poison.
Naganadel é um Ultra Beast introduzido em Pokémon Ultra Sun &amp; Ultra Moon.")</f>
        <v>Naganadel é um Pokémon do tipo veneno/dragão introduzido na geração 7. É conhecido como Pokémon Pin Poison.
Naganadel é um Ultra Beast introduzido em Pokémon Ultra Sun &amp; Ultra Moon.</v>
      </c>
      <c r="F898" s="2" t="str">
        <f ca="1">IFERROR(__xludf.DUMMYFUNCTION("GOOGLETRANSLATE(B898,""en"",""pt"")"),"Pokémon de Pin Poison")</f>
        <v>Pokémon de Pin Poison</v>
      </c>
    </row>
    <row r="899" spans="1:6" ht="15.75" customHeight="1" x14ac:dyDescent="0.25">
      <c r="A899" s="2" t="s">
        <v>3038</v>
      </c>
      <c r="B899" s="2" t="s">
        <v>3039</v>
      </c>
      <c r="C899" s="2" t="s">
        <v>3040</v>
      </c>
      <c r="D899" s="2" t="s">
        <v>3041</v>
      </c>
      <c r="E899" s="2" t="str">
        <f ca="1">IFERROR(__xludf.DUMMYFUNCTION("GOOGLETRANSLATE(D899,""en"",""pt"")"),"Stakataka é um Pokémon do tipo rocha/aço introduzido na geração 7. É conhecido como Pokémon Rampart.
Stakataka é um Ultra Beast introduzido em Pokémon Ultra Sun &amp; Ultra Moon, também conhecido pelo nome da Assembléia UB.
Embora Stakataka possa parecer comp"&amp;"osto de pedras empilhadas em cima, aparentemente cada ""pedra"" é de fato uma forma de vida separada, e esse UB é composto de uma assembléia dessas formas de vida.
Ao confrontar outro, ou ao se sentir particularmente enfurecido, os olhos em cada uma dessa"&amp;"s pedras começam a brilhar em vermelho.")</f>
        <v>Stakataka é um Pokémon do tipo rocha/aço introduzido na geração 7. É conhecido como Pokémon Rampart.
Stakataka é um Ultra Beast introduzido em Pokémon Ultra Sun &amp; Ultra Moon, também conhecido pelo nome da Assembléia UB.
Embora Stakataka possa parecer composto de pedras empilhadas em cima, aparentemente cada "pedra" é de fato uma forma de vida separada, e esse UB é composto de uma assembléia dessas formas de vida.
Ao confrontar outro, ou ao se sentir particularmente enfurecido, os olhos em cada uma dessas pedras começam a brilhar em vermelho.</v>
      </c>
      <c r="F899" s="2" t="str">
        <f ca="1">IFERROR(__xludf.DUMMYFUNCTION("GOOGLETRANSLATE(B899,""en"",""pt"")"),"Rampart Pokémon")</f>
        <v>Rampart Pokémon</v>
      </c>
    </row>
    <row r="900" spans="1:6" ht="15.75" customHeight="1" x14ac:dyDescent="0.25">
      <c r="A900" s="2" t="s">
        <v>3042</v>
      </c>
      <c r="B900" s="2" t="s">
        <v>3043</v>
      </c>
      <c r="C900" s="2" t="s">
        <v>3044</v>
      </c>
      <c r="D900" s="2" t="s">
        <v>3045</v>
      </c>
      <c r="E900" s="2" t="str">
        <f ca="1">IFERROR(__xludf.DUMMYFUNCTION("GOOGLETRANSLATE(D900,""en"",""pt"")"),"Blacephalon é um Pokémon do tipo Fire/Fantasma introduzido na geração 7. É conhecido como Pokémon de fogos de artifício.
Blacephalon é um Ultra Beast introduzido em Pokémon Ultra Sun &amp; Ultra Moon, também conhecido pelo nome de código Ub Burst.
O Blacephal"&amp;"on trata que os alvos de abaixar a guarda, pois se aproxima de sua marcha engraçada. Sua cabeça é composta de coleta de faíscas curiosas e parece ter a capacidade maravilhosa de remover livremente sua própria cabeça e fazê -la explodir.")</f>
        <v>Blacephalon é um Pokémon do tipo Fire/Fantasma introduzido na geração 7. É conhecido como Pokémon de fogos de artifício.
Blacephalon é um Ultra Beast introduzido em Pokémon Ultra Sun &amp; Ultra Moon, também conhecido pelo nome de código Ub Burst.
O Blacephalon trata que os alvos de abaixar a guarda, pois se aproxima de sua marcha engraçada. Sua cabeça é composta de coleta de faíscas curiosas e parece ter a capacidade maravilhosa de remover livremente sua própria cabeça e fazê -la explodir.</v>
      </c>
      <c r="F900" s="2" t="str">
        <f ca="1">IFERROR(__xludf.DUMMYFUNCTION("GOOGLETRANSLATE(B900,""en"",""pt"")"),"Fogos de artifício Pokémon")</f>
        <v>Fogos de artifício Pokémon</v>
      </c>
    </row>
    <row r="901" spans="1:6" ht="15.75" customHeight="1" x14ac:dyDescent="0.25">
      <c r="A901" s="2" t="s">
        <v>3046</v>
      </c>
      <c r="B901" s="2" t="s">
        <v>3047</v>
      </c>
      <c r="C901" s="2" t="s">
        <v>3048</v>
      </c>
      <c r="D901" s="2" t="s">
        <v>3049</v>
      </c>
      <c r="E901" s="2" t="str">
        <f ca="1">IFERROR(__xludf.DUMMYFUNCTION("GOOGLETRANSLATE(D901,""en"",""pt"")"),"Zeraora é um Pokémon do tipo elétrico introduzido na geração 7. É conhecido como Pokémon Thunderclap.
Zeraora é Pokémon mítico apresentado em Pokémon Ultra Sun &amp; Ultra Moon.
Este Pokémon cria um poderoso campo magnético, emitindo fortes correntes elétrica"&amp;"s das almofadas nas mãos e nos pés. Ao contrário da maioria dos Pokémon do tipo elétrico, Zeraora não possui um órgão dentro de seu corpo que pode produzir eletricidade. No entanto, ele é capaz de reunir e armazenar eletricidade de fontes externas e depoi"&amp;"s usá -la como sua própria energia elétrica.")</f>
        <v>Zeraora é um Pokémon do tipo elétrico introduzido na geração 7. É conhecido como Pokémon Thunderclap.
Zeraora é Pokémon mítico apresentado em Pokémon Ultra Sun &amp; Ultra Moon.
Este Pokémon cria um poderoso campo magnético, emitindo fortes correntes elétricas das almofadas nas mãos e nos pés. Ao contrário da maioria dos Pokémon do tipo elétrico, Zeraora não possui um órgão dentro de seu corpo que pode produzir eletricidade. No entanto, ele é capaz de reunir e armazenar eletricidade de fontes externas e depois usá -la como sua própria energia elétrica.</v>
      </c>
      <c r="F901" s="2" t="str">
        <f ca="1">IFERROR(__xludf.DUMMYFUNCTION("GOOGLETRANSLATE(B901,""en"",""pt"")"),"Thunderclap Pokémon")</f>
        <v>Thunderclap Pokémon</v>
      </c>
    </row>
    <row r="902" spans="1:6" ht="15.75" customHeight="1" x14ac:dyDescent="0.25">
      <c r="A902" s="2" t="s">
        <v>3050</v>
      </c>
      <c r="B902" s="2" t="s">
        <v>3051</v>
      </c>
      <c r="C902" s="2" t="s">
        <v>3052</v>
      </c>
      <c r="D902" s="2" t="s">
        <v>3053</v>
      </c>
      <c r="E902" s="2" t="str">
        <f ca="1">IFERROR(__xludf.DUMMYFUNCTION("GOOGLETRANSLATE(D902,""en"",""pt"")"),"Meltan é um Pokémon do tipo aço introduzido na geração 7.
É conhecido como Pokémon Hex noz.
A maior parte do corpo de Meltan é feita de metal líquido e sua forma é muito fluida. Ele pode usar seus braços e pernas líquidos para corroer o metal e absorvê -l"&amp;"o em seu próprio corpo.
O Meltan gera eletricidade usando o metal que absorve de fontes externas.
Ele usa essa eletricidade como fonte de energia e também como um ataque que pode ser disparado dos seus olhos.
Nota: Meltan foi oficialmente apresentado ao p"&amp;"úblico em 25/09/2018.
Antes disso, ele apareceu, não identificado, em 22/09/2018, Dia da Comunidade em Pokémon Go.
Meltan é o único Pokémon mítico capaz de evoluir.
Meltan e Melmetal são os únicos Pokémon não introduzidos. Na Geração 1 aparece no Kanto "&amp;"Regional Pokédex.")</f>
        <v>Meltan é um Pokémon do tipo aço introduzido na geração 7.
É conhecido como Pokémon Hex noz.
A maior parte do corpo de Meltan é feita de metal líquido e sua forma é muito fluida. Ele pode usar seus braços e pernas líquidos para corroer o metal e absorvê -lo em seu próprio corpo.
O Meltan gera eletricidade usando o metal que absorve de fontes externas.
Ele usa essa eletricidade como fonte de energia e também como um ataque que pode ser disparado dos seus olhos.
Nota: Meltan foi oficialmente apresentado ao público em 25/09/2018.
Antes disso, ele apareceu, não identificado, em 22/09/2018, Dia da Comunidade em Pokémon Go.
Meltan é o único Pokémon mítico capaz de evoluir.
Meltan e Melmetal são os únicos Pokémon não introduzidos. Na Geração 1 aparece no Kanto Regional Pokédex.</v>
      </c>
      <c r="F902" s="2" t="str">
        <f ca="1">IFERROR(__xludf.DUMMYFUNCTION("GOOGLETRANSLATE(B902,""en"",""pt"")"),"Pokémon hexadecimal")</f>
        <v>Pokémon hexadecimal</v>
      </c>
    </row>
    <row r="903" spans="1:6" ht="15.75" customHeight="1" x14ac:dyDescent="0.25">
      <c r="A903" s="2" t="s">
        <v>3054</v>
      </c>
      <c r="B903" s="2" t="s">
        <v>3051</v>
      </c>
      <c r="C903" s="2" t="s">
        <v>3055</v>
      </c>
      <c r="D903" s="2" t="s">
        <v>3056</v>
      </c>
      <c r="E903" s="2" t="str">
        <f ca="1">IFERROR(__xludf.DUMMYFUNCTION("GOOGLETRANSLATE(D903,""en"",""pt"")"),"Melmetal é um Pokémon do tipo aço introduzido na geração 7. É conhecido como Pokémon Hex porca.
Melmetal evolui de Meltan apenas em Pokémon Go, com 400 doces Meltan. Os doces podem ser obtidos pegando muitos Meltan, viajando como um amigo Pokémon ou trans"&amp;"ferindo alguns para Pokémon Let's Go.
Melmetal tem um movimento exclusivo, batida dupla de ferro.
Nota: Meltan tem uma habilidade atribuída no código para Pokémon Let's Go, mesmo que as habilidades não estejam disponíveis.")</f>
        <v>Melmetal é um Pokémon do tipo aço introduzido na geração 7. É conhecido como Pokémon Hex porca.
Melmetal evolui de Meltan apenas em Pokémon Go, com 400 doces Meltan. Os doces podem ser obtidos pegando muitos Meltan, viajando como um amigo Pokémon ou transferindo alguns para Pokémon Let's Go.
Melmetal tem um movimento exclusivo, batida dupla de ferro.
Nota: Meltan tem uma habilidade atribuída no código para Pokémon Let's Go, mesmo que as habilidades não estejam disponíveis.</v>
      </c>
      <c r="F903" s="2" t="str">
        <f ca="1">IFERROR(__xludf.DUMMYFUNCTION("GOOGLETRANSLATE(B903,""en"",""pt"")"),"Pokémon hexadecimal")</f>
        <v>Pokémon hexadecimal</v>
      </c>
    </row>
    <row r="904" spans="1:6" ht="15.75" customHeight="1" x14ac:dyDescent="0.25">
      <c r="A904" s="2" t="s">
        <v>3057</v>
      </c>
      <c r="B904" s="2" t="s">
        <v>3058</v>
      </c>
      <c r="C904" s="2" t="s">
        <v>3059</v>
      </c>
      <c r="D904" s="2" t="s">
        <v>3060</v>
      </c>
      <c r="E904" s="2" t="str">
        <f ca="1">IFERROR(__xludf.DUMMYFUNCTION("GOOGLETRANSLATE(D904,""en"",""pt"")"),"O Magnemite é um Pokémon elétrico/aço introduzido na geração 1. É conhecido como Pokémon Magnet.")</f>
        <v>O Magnemite é um Pokémon elétrico/aço introduzido na geração 1. É conhecido como Pokémon Magnet.</v>
      </c>
      <c r="F904" s="2" t="str">
        <f ca="1">IFERROR(__xludf.DUMMYFUNCTION("GOOGLETRANSLATE(B904,""en"",""pt"")"),"Pokémon ímã")</f>
        <v>Pokémon ímã</v>
      </c>
    </row>
    <row r="905" spans="1:6" ht="15.75" customHeight="1" x14ac:dyDescent="0.25">
      <c r="A905" s="2" t="s">
        <v>3061</v>
      </c>
      <c r="B905" s="2" t="s">
        <v>3058</v>
      </c>
      <c r="C905" s="2" t="s">
        <v>3062</v>
      </c>
      <c r="D905" s="2" t="s">
        <v>3063</v>
      </c>
      <c r="E905" s="2" t="str">
        <f ca="1">IFERROR(__xludf.DUMMYFUNCTION("GOOGLETRANSLATE(D905,""en"",""pt"")"),"O Magneton é um Pokémon elétrico/de aço introduzido na geração 1. É conhecido como Pokémon Magnet.")</f>
        <v>O Magneton é um Pokémon elétrico/de aço introduzido na geração 1. É conhecido como Pokémon Magnet.</v>
      </c>
      <c r="F905" s="2" t="str">
        <f ca="1">IFERROR(__xludf.DUMMYFUNCTION("GOOGLETRANSLATE(B905,""en"",""pt"")"),"Pokémon ímã")</f>
        <v>Pokémon ímã</v>
      </c>
    </row>
    <row r="906" spans="1:6" ht="15.75" customHeight="1" x14ac:dyDescent="0.25">
      <c r="A906" s="2" t="s">
        <v>3064</v>
      </c>
      <c r="B906" s="2" t="s">
        <v>3065</v>
      </c>
      <c r="C906" s="2" t="s">
        <v>3066</v>
      </c>
      <c r="D906" s="2" t="s">
        <v>3067</v>
      </c>
      <c r="E906" s="2" t="str">
        <f ca="1">IFERROR(__xludf.DUMMYFUNCTION("GOOGLETRANSLATE(D906,""en"",""pt"")"),"Farfetch'd é um Pokémon Normal/Voador Introduzido na Geração 1. É conhecido como Pokémon de Pato Selvagem.")</f>
        <v>Farfetch'd é um Pokémon Normal/Voador Introduzido na Geração 1. É conhecido como Pokémon de Pato Selvagem.</v>
      </c>
      <c r="F906" s="2" t="str">
        <f ca="1">IFERROR(__xludf.DUMMYFUNCTION("GOOGLETRANSLATE(B906,""en"",""pt"")"),"Pokémon de pato selvagem")</f>
        <v>Pokémon de pato selvagem</v>
      </c>
    </row>
    <row r="907" spans="1:6" ht="15.75" customHeight="1" x14ac:dyDescent="0.25">
      <c r="A907" s="2" t="s">
        <v>3068</v>
      </c>
      <c r="B907" s="2" t="s">
        <v>3069</v>
      </c>
      <c r="C907" s="2" t="s">
        <v>3070</v>
      </c>
      <c r="D907" s="2" t="s">
        <v>3071</v>
      </c>
      <c r="E907" s="2" t="str">
        <f ca="1">IFERROR(__xludf.DUMMYFUNCTION("GOOGLETRANSLATE(D907,""en"",""pt"")"),"Doduo é um Pokémon normal/voador introduzido na geração 1. É conhecido como Pokémon de pássaro gêmeo.")</f>
        <v>Doduo é um Pokémon normal/voador introduzido na geração 1. É conhecido como Pokémon de pássaro gêmeo.</v>
      </c>
      <c r="F907" s="2" t="str">
        <f ca="1">IFERROR(__xludf.DUMMYFUNCTION("GOOGLETRANSLATE(B907,""en"",""pt"")"),"Pokémon de pássaro gêmeo")</f>
        <v>Pokémon de pássaro gêmeo</v>
      </c>
    </row>
    <row r="908" spans="1:6" ht="15.75" customHeight="1" x14ac:dyDescent="0.25">
      <c r="A908" s="2" t="s">
        <v>3072</v>
      </c>
      <c r="B908" s="2" t="s">
        <v>3073</v>
      </c>
      <c r="C908" s="2" t="s">
        <v>3074</v>
      </c>
      <c r="D908" s="2" t="s">
        <v>3075</v>
      </c>
      <c r="E908" s="2" t="str">
        <f ca="1">IFERROR(__xludf.DUMMYFUNCTION("GOOGLETRANSLATE(D908,""en"",""pt"")"),"Dodrio é um Pokémon normal/voador introduzido na geração 1. É conhecido como Pokémon Triple Bird.")</f>
        <v>Dodrio é um Pokémon normal/voador introduzido na geração 1. É conhecido como Pokémon Triple Bird.</v>
      </c>
      <c r="F908" s="2" t="str">
        <f ca="1">IFERROR(__xludf.DUMMYFUNCTION("GOOGLETRANSLATE(B908,""en"",""pt"")"),"Pokémon de pássaro triplo")</f>
        <v>Pokémon de pássaro triplo</v>
      </c>
    </row>
    <row r="909" spans="1:6" ht="15.75" customHeight="1" x14ac:dyDescent="0.25">
      <c r="A909" s="2" t="s">
        <v>3076</v>
      </c>
      <c r="B909" s="2" t="s">
        <v>2702</v>
      </c>
      <c r="C909" s="2" t="s">
        <v>3077</v>
      </c>
      <c r="D909" s="2" t="s">
        <v>3078</v>
      </c>
      <c r="E909" s="2" t="str">
        <f ca="1">IFERROR(__xludf.DUMMYFUNCTION("GOOGLETRANSLATE(D909,""en"",""pt"")"),"Seel é um Pokémon do tipo água introduzido na geração 1. É conhecido como Pokémon do leão -marinho.")</f>
        <v>Seel é um Pokémon do tipo água introduzido na geração 1. É conhecido como Pokémon do leão -marinho.</v>
      </c>
      <c r="F909" s="2" t="str">
        <f ca="1">IFERROR(__xludf.DUMMYFUNCTION("GOOGLETRANSLATE(B909,""en"",""pt"")"),"Pokémon de leão -marinho")</f>
        <v>Pokémon de leão -marinho</v>
      </c>
    </row>
    <row r="910" spans="1:6" ht="15.75" customHeight="1" x14ac:dyDescent="0.25">
      <c r="A910" s="2" t="s">
        <v>3079</v>
      </c>
      <c r="B910" s="2" t="s">
        <v>2702</v>
      </c>
      <c r="C910" s="2" t="s">
        <v>3080</v>
      </c>
      <c r="D910" s="2" t="s">
        <v>3081</v>
      </c>
      <c r="E910" s="2" t="str">
        <f ca="1">IFERROR(__xludf.DUMMYFUNCTION("GOOGLETRANSLATE(D910,""en"",""pt"")"),"O Dewgong é um Pokémon do tipo água/gelo introduzido na geração 1. É conhecido como Pokémon do Leão Sea.")</f>
        <v>O Dewgong é um Pokémon do tipo água/gelo introduzido na geração 1. É conhecido como Pokémon do Leão Sea.</v>
      </c>
      <c r="F910" s="2" t="str">
        <f ca="1">IFERROR(__xludf.DUMMYFUNCTION("GOOGLETRANSLATE(B910,""en"",""pt"")"),"Pokémon de leão -marinho")</f>
        <v>Pokémon de leão -marinho</v>
      </c>
    </row>
    <row r="911" spans="1:6" ht="15.75" customHeight="1" x14ac:dyDescent="0.25">
      <c r="A911" s="2" t="s">
        <v>3082</v>
      </c>
      <c r="B911" s="2" t="s">
        <v>3083</v>
      </c>
      <c r="C911" s="2" t="s">
        <v>3084</v>
      </c>
      <c r="D911" s="2" t="s">
        <v>3085</v>
      </c>
      <c r="E911" s="2" t="str">
        <f ca="1">IFERROR(__xludf.DUMMYFUNCTION("GOOGLETRANSLATE(D911,""en"",""pt"")"),"Grimer é um Pokémon do tipo veneno introduzido na geração 1. É conhecido como Pokémon de lodo.
Grimer tem uma nova forma Alolan introduzida em Pokémon Sun/Moon.")</f>
        <v>Grimer é um Pokémon do tipo veneno introduzido na geração 1. É conhecido como Pokémon de lodo.
Grimer tem uma nova forma Alolan introduzida em Pokémon Sun/Moon.</v>
      </c>
      <c r="F911" s="2" t="str">
        <f ca="1">IFERROR(__xludf.DUMMYFUNCTION("GOOGLETRANSLATE(B911,""en"",""pt"")"),"Pokémon de lodo")</f>
        <v>Pokémon de lodo</v>
      </c>
    </row>
    <row r="912" spans="1:6" ht="15.75" customHeight="1" x14ac:dyDescent="0.25">
      <c r="A912" s="2" t="s">
        <v>3082</v>
      </c>
      <c r="B912" s="2" t="s">
        <v>3083</v>
      </c>
      <c r="C912" s="2" t="s">
        <v>3086</v>
      </c>
      <c r="D912" s="2" t="s">
        <v>3085</v>
      </c>
      <c r="E912" s="2" t="str">
        <f ca="1">IFERROR(__xludf.DUMMYFUNCTION("GOOGLETRANSLATE(D912,""en"",""pt"")"),"Grimer é um Pokémon do tipo veneno introduzido na geração 1. É conhecido como Pokémon de lodo.
Grimer tem uma nova forma Alolan introduzida em Pokémon Sun/Moon.")</f>
        <v>Grimer é um Pokémon do tipo veneno introduzido na geração 1. É conhecido como Pokémon de lodo.
Grimer tem uma nova forma Alolan introduzida em Pokémon Sun/Moon.</v>
      </c>
      <c r="F912" s="2" t="str">
        <f ca="1">IFERROR(__xludf.DUMMYFUNCTION("GOOGLETRANSLATE(B912,""en"",""pt"")"),"Pokémon de lodo")</f>
        <v>Pokémon de lodo</v>
      </c>
    </row>
    <row r="913" spans="1:6" ht="15.75" customHeight="1" x14ac:dyDescent="0.25">
      <c r="A913" s="2" t="s">
        <v>3087</v>
      </c>
      <c r="B913" s="2" t="s">
        <v>3083</v>
      </c>
      <c r="C913" s="2" t="s">
        <v>3088</v>
      </c>
      <c r="D913" s="2" t="s">
        <v>3089</v>
      </c>
      <c r="E913" s="2" t="str">
        <f ca="1">IFERROR(__xludf.DUMMYFUNCTION("GOOGLETRANSLATE(D913,""en"",""pt"")"),"Muk é um Pokémon do tipo veneno introduzido na geração 1. É conhecido como Pokémon de lodo.
Muk tem uma nova forma Alolan introduzida em Pokémon Sun/Moon.")</f>
        <v>Muk é um Pokémon do tipo veneno introduzido na geração 1. É conhecido como Pokémon de lodo.
Muk tem uma nova forma Alolan introduzida em Pokémon Sun/Moon.</v>
      </c>
      <c r="F913" s="2" t="str">
        <f ca="1">IFERROR(__xludf.DUMMYFUNCTION("GOOGLETRANSLATE(B913,""en"",""pt"")"),"Pokémon de lodo")</f>
        <v>Pokémon de lodo</v>
      </c>
    </row>
    <row r="914" spans="1:6" ht="15.75" customHeight="1" x14ac:dyDescent="0.25">
      <c r="A914" s="2" t="s">
        <v>3087</v>
      </c>
      <c r="B914" s="2" t="s">
        <v>3083</v>
      </c>
      <c r="C914" s="2" t="s">
        <v>3090</v>
      </c>
      <c r="D914" s="2" t="s">
        <v>3089</v>
      </c>
      <c r="E914" s="2" t="str">
        <f ca="1">IFERROR(__xludf.DUMMYFUNCTION("GOOGLETRANSLATE(D914,""en"",""pt"")"),"Muk é um Pokémon do tipo veneno introduzido na geração 1. É conhecido como Pokémon de lodo.
Muk tem uma nova forma Alolan introduzida em Pokémon Sun/Moon.")</f>
        <v>Muk é um Pokémon do tipo veneno introduzido na geração 1. É conhecido como Pokémon de lodo.
Muk tem uma nova forma Alolan introduzida em Pokémon Sun/Moon.</v>
      </c>
      <c r="F914" s="2" t="str">
        <f ca="1">IFERROR(__xludf.DUMMYFUNCTION("GOOGLETRANSLATE(B914,""en"",""pt"")"),"Pokémon de lodo")</f>
        <v>Pokémon de lodo</v>
      </c>
    </row>
    <row r="915" spans="1:6" ht="15.75" customHeight="1" x14ac:dyDescent="0.25">
      <c r="A915" s="2" t="s">
        <v>3091</v>
      </c>
      <c r="B915" s="2" t="s">
        <v>188</v>
      </c>
      <c r="C915" s="2" t="s">
        <v>3092</v>
      </c>
      <c r="D915" s="2" t="s">
        <v>3093</v>
      </c>
      <c r="E915" s="2" t="str">
        <f ca="1">IFERROR(__xludf.DUMMYFUNCTION("GOOGLETRANSLATE(D915,""en"",""pt"")"),"Blastoise é um Pokémon do tipo água introduzido na geração 1. É conhecido como Pokémon de moluscos.
Blastoise tem uma mega evolução, disponível a partir da X&amp;Y.")</f>
        <v>Blastoise é um Pokémon do tipo água introduzido na geração 1. É conhecido como Pokémon de moluscos.
Blastoise tem uma mega evolução, disponível a partir da X&amp;Y.</v>
      </c>
      <c r="F915" s="2" t="str">
        <f ca="1">IFERROR(__xludf.DUMMYFUNCTION("GOOGLETRANSLATE(B915,""en"",""pt"")"),"Pokémon de moluscos")</f>
        <v>Pokémon de moluscos</v>
      </c>
    </row>
    <row r="916" spans="1:6" ht="15.75" customHeight="1" x14ac:dyDescent="0.25">
      <c r="A916" s="2" t="s">
        <v>3091</v>
      </c>
      <c r="B916" s="2" t="s">
        <v>188</v>
      </c>
      <c r="C916" s="2" t="s">
        <v>3094</v>
      </c>
      <c r="D916" s="2" t="s">
        <v>3093</v>
      </c>
      <c r="E916" s="2" t="str">
        <f ca="1">IFERROR(__xludf.DUMMYFUNCTION("GOOGLETRANSLATE(D916,""en"",""pt"")"),"Blastoise é um Pokémon do tipo água introduzido na geração 1. É conhecido como Pokémon de moluscos.
Blastoise tem uma mega evolução, disponível a partir da X&amp;Y.")</f>
        <v>Blastoise é um Pokémon do tipo água introduzido na geração 1. É conhecido como Pokémon de moluscos.
Blastoise tem uma mega evolução, disponível a partir da X&amp;Y.</v>
      </c>
      <c r="F916" s="2" t="str">
        <f ca="1">IFERROR(__xludf.DUMMYFUNCTION("GOOGLETRANSLATE(B916,""en"",""pt"")"),"Pokémon de moluscos")</f>
        <v>Pokémon de moluscos</v>
      </c>
    </row>
    <row r="917" spans="1:6" ht="15.75" customHeight="1" x14ac:dyDescent="0.25">
      <c r="A917" s="2" t="s">
        <v>3095</v>
      </c>
      <c r="B917" s="2" t="s">
        <v>1154</v>
      </c>
      <c r="C917" s="2" t="s">
        <v>3096</v>
      </c>
      <c r="D917" s="2" t="s">
        <v>3097</v>
      </c>
      <c r="E917" s="2" t="str">
        <f ca="1">IFERROR(__xludf.DUMMYFUNCTION("GOOGLETRANSLATE(D917,""en"",""pt"")"),"Shellder é um Pokémon do tipo água introduzido na geração 1. É conhecido como Pokémon bivalve.")</f>
        <v>Shellder é um Pokémon do tipo água introduzido na geração 1. É conhecido como Pokémon bivalve.</v>
      </c>
      <c r="F917" s="2" t="str">
        <f ca="1">IFERROR(__xludf.DUMMYFUNCTION("GOOGLETRANSLATE(B917,""en"",""pt"")"),"Pokémon bivalve")</f>
        <v>Pokémon bivalve</v>
      </c>
    </row>
    <row r="918" spans="1:6" ht="15.75" customHeight="1" x14ac:dyDescent="0.25">
      <c r="A918" s="2" t="s">
        <v>3098</v>
      </c>
      <c r="B918" s="2" t="s">
        <v>1154</v>
      </c>
      <c r="C918" s="2" t="s">
        <v>3099</v>
      </c>
      <c r="D918" s="2" t="s">
        <v>3100</v>
      </c>
      <c r="E918" s="2" t="str">
        <f ca="1">IFERROR(__xludf.DUMMYFUNCTION("GOOGLETRANSLATE(D918,""en"",""pt"")"),"Cloyster é um Pokémon do tipo água/gelo introduzido na geração 1. É conhecido como Pokémon bivalve.")</f>
        <v>Cloyster é um Pokémon do tipo água/gelo introduzido na geração 1. É conhecido como Pokémon bivalve.</v>
      </c>
      <c r="F918" s="2" t="str">
        <f ca="1">IFERROR(__xludf.DUMMYFUNCTION("GOOGLETRANSLATE(B918,""en"",""pt"")"),"Pokémon bivalve")</f>
        <v>Pokémon bivalve</v>
      </c>
    </row>
    <row r="919" spans="1:6" ht="15.75" customHeight="1" x14ac:dyDescent="0.25">
      <c r="A919" s="2" t="s">
        <v>3101</v>
      </c>
      <c r="B919" s="2" t="s">
        <v>3102</v>
      </c>
      <c r="C919" s="2" t="s">
        <v>3103</v>
      </c>
      <c r="D919" s="2" t="s">
        <v>3104</v>
      </c>
      <c r="E919" s="2" t="str">
        <f ca="1">IFERROR(__xludf.DUMMYFUNCTION("GOOGLETRANSLATE(D919,""en"",""pt"")"),"Gastly é um Pokémon do tipo fantasma/veneno introduzido na geração 1. É conhecido como Pokémon a gás.")</f>
        <v>Gastly é um Pokémon do tipo fantasma/veneno introduzido na geração 1. É conhecido como Pokémon a gás.</v>
      </c>
      <c r="F919" s="2" t="str">
        <f ca="1">IFERROR(__xludf.DUMMYFUNCTION("GOOGLETRANSLATE(B919,""en"",""pt"")"),"Pokémon a gás")</f>
        <v>Pokémon a gás</v>
      </c>
    </row>
    <row r="920" spans="1:6" ht="15.75" customHeight="1" x14ac:dyDescent="0.25">
      <c r="A920" s="2" t="s">
        <v>3105</v>
      </c>
      <c r="B920" s="2" t="s">
        <v>3102</v>
      </c>
      <c r="C920" s="2" t="s">
        <v>3106</v>
      </c>
      <c r="D920" s="2" t="s">
        <v>3107</v>
      </c>
      <c r="E920" s="2" t="str">
        <f ca="1">IFERROR(__xludf.DUMMYFUNCTION("GOOGLETRANSLATE(D920,""en"",""pt"")"),"O Haunter é um Pokémon do tipo fantasma/veneno introduzido na geração 1. É conhecido como Pokémon a gás.")</f>
        <v>O Haunter é um Pokémon do tipo fantasma/veneno introduzido na geração 1. É conhecido como Pokémon a gás.</v>
      </c>
      <c r="F920" s="2" t="str">
        <f ca="1">IFERROR(__xludf.DUMMYFUNCTION("GOOGLETRANSLATE(B920,""en"",""pt"")"),"Pokémon a gás")</f>
        <v>Pokémon a gás</v>
      </c>
    </row>
    <row r="921" spans="1:6" ht="15.75" customHeight="1" x14ac:dyDescent="0.25">
      <c r="A921" s="2" t="s">
        <v>3108</v>
      </c>
      <c r="B921" s="2" t="s">
        <v>3109</v>
      </c>
      <c r="C921" s="2" t="s">
        <v>3110</v>
      </c>
      <c r="D921" s="2" t="s">
        <v>3111</v>
      </c>
      <c r="E921" s="2" t="str">
        <f ca="1">IFERROR(__xludf.DUMMYFUNCTION("GOOGLETRANSLATE(D921,""en"",""pt"")"),"Gengar é um Pokémon do tipo fantasma/veneno introduzido na geração 1. É conhecido como Pokémon Shadow.
Gengar tem uma mega evolução, disponível a partir de X&amp;Y.
Antes da geração 7, Gengar tinha a capacidade de levitate.")</f>
        <v>Gengar é um Pokémon do tipo fantasma/veneno introduzido na geração 1. É conhecido como Pokémon Shadow.
Gengar tem uma mega evolução, disponível a partir de X&amp;Y.
Antes da geração 7, Gengar tinha a capacidade de levitate.</v>
      </c>
      <c r="F921" s="2" t="str">
        <f ca="1">IFERROR(__xludf.DUMMYFUNCTION("GOOGLETRANSLATE(B921,""en"",""pt"")"),"Pokémon de sombra")</f>
        <v>Pokémon de sombra</v>
      </c>
    </row>
    <row r="922" spans="1:6" ht="15.75" customHeight="1" x14ac:dyDescent="0.25">
      <c r="A922" s="2" t="s">
        <v>3108</v>
      </c>
      <c r="B922" s="2" t="s">
        <v>3109</v>
      </c>
      <c r="C922" s="2" t="s">
        <v>3112</v>
      </c>
      <c r="D922" s="2" t="s">
        <v>3111</v>
      </c>
      <c r="E922" s="2" t="str">
        <f ca="1">IFERROR(__xludf.DUMMYFUNCTION("GOOGLETRANSLATE(D922,""en"",""pt"")"),"Gengar é um Pokémon do tipo fantasma/veneno introduzido na geração 1. É conhecido como Pokémon Shadow.
Gengar tem uma mega evolução, disponível a partir de X&amp;Y.
Antes da geração 7, Gengar tinha a capacidade de levitate.")</f>
        <v>Gengar é um Pokémon do tipo fantasma/veneno introduzido na geração 1. É conhecido como Pokémon Shadow.
Gengar tem uma mega evolução, disponível a partir de X&amp;Y.
Antes da geração 7, Gengar tinha a capacidade de levitate.</v>
      </c>
      <c r="F922" s="2" t="str">
        <f ca="1">IFERROR(__xludf.DUMMYFUNCTION("GOOGLETRANSLATE(B922,""en"",""pt"")"),"Pokémon de sombra")</f>
        <v>Pokémon de sombra</v>
      </c>
    </row>
    <row r="923" spans="1:6" ht="15.75" customHeight="1" x14ac:dyDescent="0.25">
      <c r="A923" s="2" t="s">
        <v>3113</v>
      </c>
      <c r="B923" s="2" t="s">
        <v>3114</v>
      </c>
      <c r="C923" s="2" t="s">
        <v>3115</v>
      </c>
      <c r="D923" s="2" t="s">
        <v>3116</v>
      </c>
      <c r="E923" s="2" t="str">
        <f ca="1">IFERROR(__xludf.DUMMYFUNCTION("GOOGLETRANSLATE(D923,""en"",""pt"")"),"Onix é um Pokémon do tipo rocha/terra introduzido na geração 1. É conhecido como Pokémon Snake Rock.")</f>
        <v>Onix é um Pokémon do tipo rocha/terra introduzido na geração 1. É conhecido como Pokémon Snake Rock.</v>
      </c>
      <c r="F923" s="2" t="str">
        <f ca="1">IFERROR(__xludf.DUMMYFUNCTION("GOOGLETRANSLATE(B923,""en"",""pt"")"),"Pokémon de cobra de rocha")</f>
        <v>Pokémon de cobra de rocha</v>
      </c>
    </row>
    <row r="924" spans="1:6" ht="15.75" customHeight="1" x14ac:dyDescent="0.25">
      <c r="A924" s="2" t="s">
        <v>3117</v>
      </c>
      <c r="B924" s="2" t="s">
        <v>3118</v>
      </c>
      <c r="C924" s="2" t="s">
        <v>3119</v>
      </c>
      <c r="D924" s="2" t="s">
        <v>3120</v>
      </c>
      <c r="E924" s="2" t="str">
        <f ca="1">IFERROR(__xludf.DUMMYFUNCTION("GOOGLETRANSLATE(D924,""en"",""pt"")"),"Drowzee é um Pokémon do tipo psíquico introduzido na geração 1. É conhecido como Pokémon da hipnose.")</f>
        <v>Drowzee é um Pokémon do tipo psíquico introduzido na geração 1. É conhecido como Pokémon da hipnose.</v>
      </c>
      <c r="F924" s="2" t="str">
        <f ca="1">IFERROR(__xludf.DUMMYFUNCTION("GOOGLETRANSLATE(B924,""en"",""pt"")"),"Hipnose Pokémon")</f>
        <v>Hipnose Pokémon</v>
      </c>
    </row>
    <row r="925" spans="1:6" ht="15.75" customHeight="1" x14ac:dyDescent="0.25">
      <c r="A925" s="2" t="s">
        <v>3121</v>
      </c>
      <c r="B925" s="2" t="s">
        <v>3118</v>
      </c>
      <c r="C925" s="2" t="s">
        <v>3122</v>
      </c>
      <c r="D925" s="2" t="s">
        <v>3123</v>
      </c>
      <c r="E925" s="2" t="str">
        <f ca="1">IFERROR(__xludf.DUMMYFUNCTION("GOOGLETRANSLATE(D925,""en"",""pt"")"),"Hypno é um Pokémon do tipo psíquico introduzido na geração 1. É conhecido como Pokémon da hipnose.")</f>
        <v>Hypno é um Pokémon do tipo psíquico introduzido na geração 1. É conhecido como Pokémon da hipnose.</v>
      </c>
      <c r="F925" s="2" t="str">
        <f ca="1">IFERROR(__xludf.DUMMYFUNCTION("GOOGLETRANSLATE(B925,""en"",""pt"")"),"Hipnose Pokémon")</f>
        <v>Hipnose Pokémon</v>
      </c>
    </row>
    <row r="926" spans="1:6" ht="15.75" customHeight="1" x14ac:dyDescent="0.25">
      <c r="A926" s="2" t="s">
        <v>3124</v>
      </c>
      <c r="B926" s="2" t="s">
        <v>3125</v>
      </c>
      <c r="C926" s="2" t="s">
        <v>3126</v>
      </c>
      <c r="D926" s="2" t="s">
        <v>3127</v>
      </c>
      <c r="E926" s="2" t="str">
        <f ca="1">IFERROR(__xludf.DUMMYFUNCTION("GOOGLETRANSLATE(D926,""en"",""pt"")"),"Krabby é um Pokémon do tipo água introduzido na geração 1. É conhecido como Pokémon do caranguejo do rio.")</f>
        <v>Krabby é um Pokémon do tipo água introduzido na geração 1. É conhecido como Pokémon do caranguejo do rio.</v>
      </c>
      <c r="F926" s="2" t="str">
        <f ca="1">IFERROR(__xludf.DUMMYFUNCTION("GOOGLETRANSLATE(B926,""en"",""pt"")"),"Pokémon do caranguejo do rio")</f>
        <v>Pokémon do caranguejo do rio</v>
      </c>
    </row>
    <row r="927" spans="1:6" ht="15.75" customHeight="1" x14ac:dyDescent="0.25">
      <c r="A927" s="2" t="s">
        <v>3128</v>
      </c>
      <c r="B927" s="2" t="s">
        <v>489</v>
      </c>
      <c r="C927" s="2" t="s">
        <v>3129</v>
      </c>
      <c r="D927" s="2" t="s">
        <v>3130</v>
      </c>
      <c r="E927" s="2" t="str">
        <f ca="1">IFERROR(__xludf.DUMMYFUNCTION("GOOGLETRANSLATE(D927,""en"",""pt"")"),"Kingler é um Pokémon do tipo água introduzido na geração 1. É conhecido como Pokémon Pinca.")</f>
        <v>Kingler é um Pokémon do tipo água introduzido na geração 1. É conhecido como Pokémon Pinca.</v>
      </c>
      <c r="F927" s="2" t="str">
        <f ca="1">IFERROR(__xludf.DUMMYFUNCTION("GOOGLETRANSLATE(B927,""en"",""pt"")"),"Pokémon de pinça")</f>
        <v>Pokémon de pinça</v>
      </c>
    </row>
    <row r="928" spans="1:6"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heetViews>
  <sheetFormatPr defaultColWidth="14.42578125" defaultRowHeight="15" customHeight="1" x14ac:dyDescent="0.25"/>
  <cols>
    <col min="1" max="1" width="8.7109375" customWidth="1"/>
    <col min="2" max="2" width="21.5703125" customWidth="1"/>
    <col min="3" max="3" width="21.7109375" customWidth="1"/>
    <col min="4" max="4" width="19.85546875" customWidth="1"/>
    <col min="5" max="24" width="8.7109375" customWidth="1"/>
  </cols>
  <sheetData>
    <row r="1" spans="1:4" x14ac:dyDescent="0.25">
      <c r="A1" s="2" t="s">
        <v>3131</v>
      </c>
      <c r="B1" s="2" t="s">
        <v>2</v>
      </c>
      <c r="C1" s="3" t="s">
        <v>3132</v>
      </c>
      <c r="D1" s="3" t="s">
        <v>3133</v>
      </c>
    </row>
    <row r="2" spans="1:4" x14ac:dyDescent="0.25">
      <c r="A2" s="2" t="s">
        <v>4</v>
      </c>
      <c r="B2" s="2" t="s">
        <v>6</v>
      </c>
      <c r="C2" s="2" t="s">
        <v>3134</v>
      </c>
      <c r="D2" s="2" t="s">
        <v>3135</v>
      </c>
    </row>
    <row r="3" spans="1:4" x14ac:dyDescent="0.25">
      <c r="A3" s="2" t="s">
        <v>8</v>
      </c>
      <c r="B3" s="2" t="s">
        <v>10</v>
      </c>
      <c r="C3" s="2" t="s">
        <v>3136</v>
      </c>
      <c r="D3" s="2" t="s">
        <v>3137</v>
      </c>
    </row>
    <row r="4" spans="1:4" x14ac:dyDescent="0.25">
      <c r="A4" s="2" t="s">
        <v>12</v>
      </c>
      <c r="B4" s="2" t="s">
        <v>14</v>
      </c>
      <c r="C4" s="2" t="s">
        <v>3138</v>
      </c>
      <c r="D4" s="2" t="s">
        <v>3139</v>
      </c>
    </row>
    <row r="5" spans="1:4" x14ac:dyDescent="0.25">
      <c r="A5" s="2" t="s">
        <v>16</v>
      </c>
      <c r="B5" s="2" t="s">
        <v>17</v>
      </c>
      <c r="C5" s="2" t="s">
        <v>3140</v>
      </c>
      <c r="D5" s="2" t="s">
        <v>3139</v>
      </c>
    </row>
    <row r="6" spans="1:4" x14ac:dyDescent="0.25">
      <c r="A6" s="2" t="s">
        <v>19</v>
      </c>
      <c r="B6" s="2" t="s">
        <v>21</v>
      </c>
      <c r="C6" s="2" t="s">
        <v>3141</v>
      </c>
      <c r="D6" s="2" t="s">
        <v>3142</v>
      </c>
    </row>
    <row r="7" spans="1:4" x14ac:dyDescent="0.25">
      <c r="A7" s="2" t="s">
        <v>23</v>
      </c>
      <c r="B7" s="2" t="s">
        <v>25</v>
      </c>
      <c r="C7" s="2" t="s">
        <v>3143</v>
      </c>
      <c r="D7" s="2" t="s">
        <v>3144</v>
      </c>
    </row>
    <row r="8" spans="1:4" x14ac:dyDescent="0.25">
      <c r="A8" s="2" t="s">
        <v>23</v>
      </c>
      <c r="B8" s="2" t="s">
        <v>27</v>
      </c>
      <c r="C8" s="2" t="s">
        <v>3143</v>
      </c>
      <c r="D8" s="2" t="s">
        <v>3144</v>
      </c>
    </row>
    <row r="9" spans="1:4" x14ac:dyDescent="0.25">
      <c r="A9" s="2" t="s">
        <v>28</v>
      </c>
      <c r="B9" s="2" t="s">
        <v>30</v>
      </c>
      <c r="C9" s="2" t="s">
        <v>3145</v>
      </c>
      <c r="D9" s="2" t="s">
        <v>3146</v>
      </c>
    </row>
    <row r="10" spans="1:4" x14ac:dyDescent="0.25">
      <c r="A10" s="2" t="s">
        <v>32</v>
      </c>
      <c r="B10" s="2" t="s">
        <v>34</v>
      </c>
      <c r="C10" s="2" t="s">
        <v>3147</v>
      </c>
      <c r="D10" s="2" t="s">
        <v>3148</v>
      </c>
    </row>
    <row r="11" spans="1:4" x14ac:dyDescent="0.25">
      <c r="A11" s="2" t="s">
        <v>32</v>
      </c>
      <c r="B11" s="2" t="s">
        <v>36</v>
      </c>
      <c r="C11" s="2" t="s">
        <v>3147</v>
      </c>
      <c r="D11" s="2" t="s">
        <v>3148</v>
      </c>
    </row>
    <row r="12" spans="1:4" x14ac:dyDescent="0.25">
      <c r="A12" s="2" t="s">
        <v>37</v>
      </c>
      <c r="B12" s="2" t="s">
        <v>39</v>
      </c>
      <c r="C12" s="2" t="s">
        <v>3149</v>
      </c>
      <c r="D12" s="2" t="s">
        <v>3150</v>
      </c>
    </row>
    <row r="13" spans="1:4" x14ac:dyDescent="0.25">
      <c r="A13" s="2" t="s">
        <v>41</v>
      </c>
      <c r="B13" s="2" t="s">
        <v>43</v>
      </c>
      <c r="C13" s="2" t="s">
        <v>3151</v>
      </c>
      <c r="D13" s="2" t="s">
        <v>3152</v>
      </c>
    </row>
    <row r="14" spans="1:4" x14ac:dyDescent="0.25">
      <c r="A14" s="2" t="s">
        <v>45</v>
      </c>
      <c r="B14" s="2" t="s">
        <v>47</v>
      </c>
      <c r="C14" s="2" t="s">
        <v>3153</v>
      </c>
      <c r="D14" s="2" t="s">
        <v>3154</v>
      </c>
    </row>
    <row r="15" spans="1:4" x14ac:dyDescent="0.25">
      <c r="A15" s="2" t="s">
        <v>49</v>
      </c>
      <c r="B15" s="2" t="s">
        <v>51</v>
      </c>
      <c r="C15" s="2" t="s">
        <v>3155</v>
      </c>
      <c r="D15" s="2" t="s">
        <v>3156</v>
      </c>
    </row>
    <row r="16" spans="1:4" x14ac:dyDescent="0.25">
      <c r="A16" s="2" t="s">
        <v>53</v>
      </c>
      <c r="B16" s="2" t="s">
        <v>55</v>
      </c>
      <c r="C16" s="2" t="s">
        <v>3157</v>
      </c>
      <c r="D16" s="2" t="s">
        <v>3158</v>
      </c>
    </row>
    <row r="17" spans="1:4" x14ac:dyDescent="0.25">
      <c r="A17" s="2" t="s">
        <v>57</v>
      </c>
      <c r="B17" s="2" t="s">
        <v>58</v>
      </c>
      <c r="C17" s="2" t="s">
        <v>3159</v>
      </c>
      <c r="D17" s="2" t="s">
        <v>3156</v>
      </c>
    </row>
    <row r="18" spans="1:4" x14ac:dyDescent="0.25">
      <c r="A18" s="2" t="s">
        <v>60</v>
      </c>
      <c r="B18" s="2" t="s">
        <v>62</v>
      </c>
      <c r="C18" s="2" t="s">
        <v>3160</v>
      </c>
      <c r="D18" s="2" t="s">
        <v>61</v>
      </c>
    </row>
    <row r="19" spans="1:4" x14ac:dyDescent="0.25">
      <c r="A19" s="2" t="s">
        <v>64</v>
      </c>
      <c r="B19" s="2" t="s">
        <v>66</v>
      </c>
      <c r="C19" s="2" t="s">
        <v>3161</v>
      </c>
      <c r="D19" s="2" t="s">
        <v>65</v>
      </c>
    </row>
    <row r="20" spans="1:4" x14ac:dyDescent="0.25">
      <c r="A20" s="2" t="s">
        <v>68</v>
      </c>
      <c r="B20" s="2" t="s">
        <v>69</v>
      </c>
      <c r="C20" s="2" t="s">
        <v>3162</v>
      </c>
      <c r="D20" s="2" t="s">
        <v>3142</v>
      </c>
    </row>
    <row r="21" spans="1:4" ht="15.75" customHeight="1" x14ac:dyDescent="0.25">
      <c r="A21" s="2" t="s">
        <v>71</v>
      </c>
      <c r="B21" s="2" t="s">
        <v>73</v>
      </c>
      <c r="C21" s="2" t="s">
        <v>3163</v>
      </c>
      <c r="D21" s="2" t="s">
        <v>72</v>
      </c>
    </row>
    <row r="22" spans="1:4" ht="15.75" customHeight="1" x14ac:dyDescent="0.25">
      <c r="A22" s="2" t="s">
        <v>75</v>
      </c>
      <c r="B22" s="2" t="s">
        <v>77</v>
      </c>
      <c r="C22" s="2" t="s">
        <v>3164</v>
      </c>
      <c r="D22" s="2" t="s">
        <v>3165</v>
      </c>
    </row>
    <row r="23" spans="1:4" ht="15.75" customHeight="1" x14ac:dyDescent="0.25">
      <c r="A23" s="2" t="s">
        <v>75</v>
      </c>
      <c r="B23" s="2" t="s">
        <v>79</v>
      </c>
      <c r="C23" s="2" t="s">
        <v>3164</v>
      </c>
      <c r="D23" s="2" t="s">
        <v>3165</v>
      </c>
    </row>
    <row r="24" spans="1:4" ht="15.75" customHeight="1" x14ac:dyDescent="0.25">
      <c r="A24" s="2" t="s">
        <v>80</v>
      </c>
      <c r="B24" s="2" t="s">
        <v>82</v>
      </c>
      <c r="C24" s="2" t="s">
        <v>3166</v>
      </c>
      <c r="D24" s="2" t="s">
        <v>3167</v>
      </c>
    </row>
    <row r="25" spans="1:4" ht="15.75" customHeight="1" x14ac:dyDescent="0.25">
      <c r="A25" s="2" t="s">
        <v>84</v>
      </c>
      <c r="B25" s="2" t="s">
        <v>85</v>
      </c>
      <c r="C25" s="2" t="s">
        <v>3168</v>
      </c>
      <c r="D25" s="2" t="s">
        <v>3167</v>
      </c>
    </row>
    <row r="26" spans="1:4" ht="15.75" customHeight="1" x14ac:dyDescent="0.25">
      <c r="A26" s="2" t="s">
        <v>87</v>
      </c>
      <c r="B26" s="2" t="s">
        <v>89</v>
      </c>
      <c r="C26" s="2" t="s">
        <v>3169</v>
      </c>
      <c r="D26" s="2" t="s">
        <v>3170</v>
      </c>
    </row>
    <row r="27" spans="1:4" ht="15.75" customHeight="1" x14ac:dyDescent="0.25">
      <c r="A27" s="2" t="s">
        <v>91</v>
      </c>
      <c r="B27" s="2" t="s">
        <v>92</v>
      </c>
      <c r="C27" s="2" t="s">
        <v>3171</v>
      </c>
      <c r="D27" s="2" t="s">
        <v>3170</v>
      </c>
    </row>
    <row r="28" spans="1:4" ht="15.75" customHeight="1" x14ac:dyDescent="0.25">
      <c r="A28" s="2" t="s">
        <v>94</v>
      </c>
      <c r="B28" s="2" t="s">
        <v>96</v>
      </c>
      <c r="C28" s="2" t="s">
        <v>3172</v>
      </c>
      <c r="D28" s="2" t="s">
        <v>3173</v>
      </c>
    </row>
    <row r="29" spans="1:4" ht="15.75" customHeight="1" x14ac:dyDescent="0.25">
      <c r="A29" s="2" t="s">
        <v>98</v>
      </c>
      <c r="B29" s="2" t="s">
        <v>100</v>
      </c>
      <c r="C29" s="2" t="s">
        <v>3174</v>
      </c>
      <c r="D29" s="2" t="s">
        <v>3175</v>
      </c>
    </row>
    <row r="30" spans="1:4" ht="15.75" customHeight="1" x14ac:dyDescent="0.25">
      <c r="A30" s="2" t="s">
        <v>102</v>
      </c>
      <c r="B30" s="2" t="s">
        <v>104</v>
      </c>
      <c r="C30" s="2" t="s">
        <v>3176</v>
      </c>
      <c r="D30" s="2" t="s">
        <v>3177</v>
      </c>
    </row>
    <row r="31" spans="1:4" ht="15.75" customHeight="1" x14ac:dyDescent="0.25">
      <c r="A31" s="2" t="s">
        <v>106</v>
      </c>
      <c r="B31" s="2" t="s">
        <v>108</v>
      </c>
      <c r="C31" s="2" t="s">
        <v>3178</v>
      </c>
      <c r="D31" s="2" t="s">
        <v>3179</v>
      </c>
    </row>
    <row r="32" spans="1:4" ht="15.75" customHeight="1" x14ac:dyDescent="0.25">
      <c r="A32" s="2" t="s">
        <v>110</v>
      </c>
      <c r="B32" s="2" t="s">
        <v>112</v>
      </c>
      <c r="C32" s="2" t="s">
        <v>3180</v>
      </c>
      <c r="D32" s="2" t="s">
        <v>111</v>
      </c>
    </row>
    <row r="33" spans="1:4" ht="15.75" customHeight="1" x14ac:dyDescent="0.25">
      <c r="A33" s="2" t="s">
        <v>114</v>
      </c>
      <c r="B33" s="2" t="s">
        <v>116</v>
      </c>
      <c r="C33" s="2" t="s">
        <v>3181</v>
      </c>
      <c r="D33" s="2" t="s">
        <v>3182</v>
      </c>
    </row>
    <row r="34" spans="1:4" ht="15.75" customHeight="1" x14ac:dyDescent="0.25">
      <c r="A34" s="2" t="s">
        <v>118</v>
      </c>
      <c r="B34" s="2" t="s">
        <v>120</v>
      </c>
      <c r="C34" s="2" t="s">
        <v>3183</v>
      </c>
      <c r="D34" s="2" t="s">
        <v>3184</v>
      </c>
    </row>
    <row r="35" spans="1:4" ht="15.75" customHeight="1" x14ac:dyDescent="0.25">
      <c r="A35" s="2" t="s">
        <v>122</v>
      </c>
      <c r="B35" s="2" t="s">
        <v>124</v>
      </c>
      <c r="C35" s="2" t="s">
        <v>3185</v>
      </c>
      <c r="D35" s="2" t="s">
        <v>123</v>
      </c>
    </row>
    <row r="36" spans="1:4" ht="15.75" customHeight="1" x14ac:dyDescent="0.25">
      <c r="A36" s="2" t="s">
        <v>126</v>
      </c>
      <c r="B36" s="2" t="s">
        <v>128</v>
      </c>
      <c r="C36" s="2" t="s">
        <v>3186</v>
      </c>
      <c r="D36" s="2" t="s">
        <v>3187</v>
      </c>
    </row>
    <row r="37" spans="1:4" ht="15.75" customHeight="1" x14ac:dyDescent="0.25">
      <c r="A37" s="2" t="s">
        <v>126</v>
      </c>
      <c r="B37" s="2" t="s">
        <v>130</v>
      </c>
      <c r="C37" s="2" t="s">
        <v>3186</v>
      </c>
      <c r="D37" s="2" t="s">
        <v>3187</v>
      </c>
    </row>
    <row r="38" spans="1:4" ht="15.75" customHeight="1" x14ac:dyDescent="0.25">
      <c r="A38" s="2" t="s">
        <v>131</v>
      </c>
      <c r="B38" s="2" t="s">
        <v>133</v>
      </c>
      <c r="C38" s="2" t="s">
        <v>3188</v>
      </c>
      <c r="D38" s="2" t="s">
        <v>3189</v>
      </c>
    </row>
    <row r="39" spans="1:4" ht="15.75" customHeight="1" x14ac:dyDescent="0.25">
      <c r="A39" s="2" t="s">
        <v>135</v>
      </c>
      <c r="B39" s="2" t="s">
        <v>137</v>
      </c>
      <c r="C39" s="2" t="s">
        <v>3190</v>
      </c>
      <c r="D39" s="2" t="s">
        <v>3191</v>
      </c>
    </row>
    <row r="40" spans="1:4" ht="15.75" customHeight="1" x14ac:dyDescent="0.25">
      <c r="A40" s="2" t="s">
        <v>139</v>
      </c>
      <c r="B40" s="2" t="s">
        <v>141</v>
      </c>
      <c r="C40" s="2" t="s">
        <v>3192</v>
      </c>
      <c r="D40" s="2" t="s">
        <v>3193</v>
      </c>
    </row>
    <row r="41" spans="1:4" ht="15.75" customHeight="1" x14ac:dyDescent="0.25">
      <c r="A41" s="2" t="s">
        <v>143</v>
      </c>
      <c r="B41" s="2" t="s">
        <v>145</v>
      </c>
      <c r="C41" s="2" t="s">
        <v>3194</v>
      </c>
      <c r="D41" s="2" t="s">
        <v>3195</v>
      </c>
    </row>
    <row r="42" spans="1:4" ht="15.75" customHeight="1" x14ac:dyDescent="0.25">
      <c r="A42" s="2" t="s">
        <v>143</v>
      </c>
      <c r="B42" s="2" t="s">
        <v>147</v>
      </c>
      <c r="C42" s="2" t="s">
        <v>3194</v>
      </c>
      <c r="D42" s="2" t="s">
        <v>3195</v>
      </c>
    </row>
    <row r="43" spans="1:4" ht="15.75" customHeight="1" x14ac:dyDescent="0.25">
      <c r="A43" s="2" t="s">
        <v>148</v>
      </c>
      <c r="B43" s="2" t="s">
        <v>150</v>
      </c>
      <c r="C43" s="2" t="s">
        <v>3196</v>
      </c>
      <c r="D43" s="2" t="s">
        <v>3197</v>
      </c>
    </row>
    <row r="44" spans="1:4" ht="15.75" customHeight="1" x14ac:dyDescent="0.25">
      <c r="A44" s="2" t="s">
        <v>152</v>
      </c>
      <c r="B44" s="2" t="s">
        <v>154</v>
      </c>
      <c r="C44" s="2" t="s">
        <v>3198</v>
      </c>
      <c r="D44" s="2" t="s">
        <v>3199</v>
      </c>
    </row>
    <row r="45" spans="1:4" ht="15.75" customHeight="1" x14ac:dyDescent="0.25">
      <c r="A45" s="2" t="s">
        <v>156</v>
      </c>
      <c r="B45" s="2" t="s">
        <v>158</v>
      </c>
      <c r="C45" s="2" t="s">
        <v>3200</v>
      </c>
      <c r="D45" s="2" t="s">
        <v>3201</v>
      </c>
    </row>
    <row r="46" spans="1:4" ht="15.75" customHeight="1" x14ac:dyDescent="0.25">
      <c r="A46" s="2" t="s">
        <v>156</v>
      </c>
      <c r="B46" s="2" t="s">
        <v>160</v>
      </c>
      <c r="C46" s="2" t="s">
        <v>3200</v>
      </c>
      <c r="D46" s="2" t="s">
        <v>3201</v>
      </c>
    </row>
    <row r="47" spans="1:4" ht="15.75" customHeight="1" x14ac:dyDescent="0.25">
      <c r="A47" s="2" t="s">
        <v>161</v>
      </c>
      <c r="B47" s="2" t="s">
        <v>163</v>
      </c>
      <c r="C47" s="2" t="s">
        <v>3202</v>
      </c>
      <c r="D47" s="2" t="s">
        <v>3203</v>
      </c>
    </row>
    <row r="48" spans="1:4" ht="15.75" customHeight="1" x14ac:dyDescent="0.25">
      <c r="A48" s="2" t="s">
        <v>165</v>
      </c>
      <c r="B48" s="2" t="s">
        <v>167</v>
      </c>
      <c r="C48" s="2" t="s">
        <v>3204</v>
      </c>
      <c r="D48" s="2" t="s">
        <v>166</v>
      </c>
    </row>
    <row r="49" spans="1:4" ht="15.75" customHeight="1" x14ac:dyDescent="0.25">
      <c r="A49" s="2" t="s">
        <v>169</v>
      </c>
      <c r="B49" s="2" t="s">
        <v>171</v>
      </c>
      <c r="C49" s="2" t="s">
        <v>3205</v>
      </c>
      <c r="D49" s="2" t="s">
        <v>3206</v>
      </c>
    </row>
    <row r="50" spans="1:4" ht="15.75" customHeight="1" x14ac:dyDescent="0.25">
      <c r="A50" s="2" t="s">
        <v>173</v>
      </c>
      <c r="B50" s="2" t="s">
        <v>175</v>
      </c>
      <c r="C50" s="2" t="s">
        <v>3207</v>
      </c>
      <c r="D50" s="2" t="s">
        <v>3208</v>
      </c>
    </row>
    <row r="51" spans="1:4" ht="15.75" customHeight="1" x14ac:dyDescent="0.25">
      <c r="A51" s="2" t="s">
        <v>177</v>
      </c>
      <c r="B51" s="2" t="s">
        <v>179</v>
      </c>
      <c r="C51" s="2" t="s">
        <v>3209</v>
      </c>
      <c r="D51" s="2" t="s">
        <v>3210</v>
      </c>
    </row>
    <row r="52" spans="1:4" ht="15.75" customHeight="1" x14ac:dyDescent="0.25">
      <c r="A52" s="2" t="s">
        <v>181</v>
      </c>
      <c r="B52" s="2" t="s">
        <v>182</v>
      </c>
      <c r="C52" s="2" t="s">
        <v>3211</v>
      </c>
      <c r="D52" s="2" t="s">
        <v>3210</v>
      </c>
    </row>
    <row r="53" spans="1:4" ht="15.75" customHeight="1" x14ac:dyDescent="0.25">
      <c r="A53" s="2" t="s">
        <v>184</v>
      </c>
      <c r="B53" s="2" t="s">
        <v>185</v>
      </c>
      <c r="C53" s="2" t="s">
        <v>3212</v>
      </c>
      <c r="D53" s="2" t="s">
        <v>3158</v>
      </c>
    </row>
    <row r="54" spans="1:4" ht="15.75" customHeight="1" x14ac:dyDescent="0.25">
      <c r="A54" s="2" t="s">
        <v>187</v>
      </c>
      <c r="B54" s="2" t="s">
        <v>189</v>
      </c>
      <c r="C54" s="2" t="s">
        <v>3213</v>
      </c>
      <c r="D54" s="2" t="s">
        <v>3214</v>
      </c>
    </row>
    <row r="55" spans="1:4" ht="15.75" customHeight="1" x14ac:dyDescent="0.25">
      <c r="A55" s="2" t="s">
        <v>191</v>
      </c>
      <c r="B55" s="2" t="s">
        <v>192</v>
      </c>
      <c r="C55" s="2" t="s">
        <v>3215</v>
      </c>
      <c r="D55" s="2" t="s">
        <v>3214</v>
      </c>
    </row>
    <row r="56" spans="1:4" ht="15.75" customHeight="1" x14ac:dyDescent="0.25">
      <c r="A56" s="2" t="s">
        <v>194</v>
      </c>
      <c r="B56" s="2" t="s">
        <v>196</v>
      </c>
      <c r="C56" s="2" t="s">
        <v>3216</v>
      </c>
      <c r="D56" s="2" t="s">
        <v>3217</v>
      </c>
    </row>
    <row r="57" spans="1:4" ht="15.75" customHeight="1" x14ac:dyDescent="0.25">
      <c r="A57" s="2" t="s">
        <v>194</v>
      </c>
      <c r="B57" s="2" t="s">
        <v>198</v>
      </c>
      <c r="C57" s="2" t="s">
        <v>3216</v>
      </c>
      <c r="D57" s="2" t="s">
        <v>3217</v>
      </c>
    </row>
    <row r="58" spans="1:4" ht="15.75" customHeight="1" x14ac:dyDescent="0.25">
      <c r="A58" s="2" t="s">
        <v>199</v>
      </c>
      <c r="B58" s="2" t="s">
        <v>201</v>
      </c>
      <c r="C58" s="2" t="s">
        <v>3218</v>
      </c>
      <c r="D58" s="2" t="s">
        <v>3219</v>
      </c>
    </row>
    <row r="59" spans="1:4" ht="15.75" customHeight="1" x14ac:dyDescent="0.25">
      <c r="A59" s="2" t="s">
        <v>203</v>
      </c>
      <c r="B59" s="2" t="s">
        <v>205</v>
      </c>
      <c r="C59" s="2" t="s">
        <v>3220</v>
      </c>
      <c r="D59" s="2" t="s">
        <v>3221</v>
      </c>
    </row>
    <row r="60" spans="1:4" ht="15.75" customHeight="1" x14ac:dyDescent="0.25">
      <c r="A60" s="2" t="s">
        <v>207</v>
      </c>
      <c r="B60" s="2" t="s">
        <v>208</v>
      </c>
      <c r="C60" s="2" t="s">
        <v>3222</v>
      </c>
      <c r="D60" s="2" t="s">
        <v>3184</v>
      </c>
    </row>
    <row r="61" spans="1:4" ht="15.75" customHeight="1" x14ac:dyDescent="0.25">
      <c r="A61" s="2" t="s">
        <v>210</v>
      </c>
      <c r="B61" s="2" t="s">
        <v>211</v>
      </c>
      <c r="C61" s="2" t="s">
        <v>3223</v>
      </c>
      <c r="D61" s="2" t="s">
        <v>3206</v>
      </c>
    </row>
    <row r="62" spans="1:4" ht="15.75" customHeight="1" x14ac:dyDescent="0.25">
      <c r="A62" s="2" t="s">
        <v>213</v>
      </c>
      <c r="B62" s="2" t="s">
        <v>214</v>
      </c>
      <c r="C62" s="2" t="s">
        <v>3224</v>
      </c>
      <c r="D62" s="2" t="s">
        <v>3167</v>
      </c>
    </row>
    <row r="63" spans="1:4" ht="15.75" customHeight="1" x14ac:dyDescent="0.25">
      <c r="A63" s="2" t="s">
        <v>216</v>
      </c>
      <c r="B63" s="2" t="s">
        <v>217</v>
      </c>
      <c r="C63" s="2" t="s">
        <v>3225</v>
      </c>
      <c r="D63" s="2" t="s">
        <v>3167</v>
      </c>
    </row>
    <row r="64" spans="1:4" ht="15.75" customHeight="1" x14ac:dyDescent="0.25">
      <c r="A64" s="2" t="s">
        <v>219</v>
      </c>
      <c r="B64" s="2" t="s">
        <v>220</v>
      </c>
      <c r="C64" s="2" t="s">
        <v>3226</v>
      </c>
      <c r="D64" s="2" t="s">
        <v>3167</v>
      </c>
    </row>
    <row r="65" spans="1:4" ht="15.75" customHeight="1" x14ac:dyDescent="0.25">
      <c r="A65" s="2" t="s">
        <v>222</v>
      </c>
      <c r="B65" s="2" t="s">
        <v>224</v>
      </c>
      <c r="C65" s="2" t="s">
        <v>3227</v>
      </c>
      <c r="D65" s="2" t="s">
        <v>3228</v>
      </c>
    </row>
    <row r="66" spans="1:4" ht="15.75" customHeight="1" x14ac:dyDescent="0.25">
      <c r="A66" s="2" t="s">
        <v>222</v>
      </c>
      <c r="B66" s="2" t="s">
        <v>226</v>
      </c>
      <c r="C66" s="2" t="s">
        <v>3227</v>
      </c>
      <c r="D66" s="2" t="s">
        <v>3228</v>
      </c>
    </row>
    <row r="67" spans="1:4" ht="15.75" customHeight="1" x14ac:dyDescent="0.25">
      <c r="A67" s="2" t="s">
        <v>227</v>
      </c>
      <c r="B67" s="2" t="s">
        <v>229</v>
      </c>
      <c r="C67" s="2" t="s">
        <v>3229</v>
      </c>
      <c r="D67" s="2" t="s">
        <v>3230</v>
      </c>
    </row>
    <row r="68" spans="1:4" ht="15.75" customHeight="1" x14ac:dyDescent="0.25">
      <c r="A68" s="2" t="s">
        <v>227</v>
      </c>
      <c r="B68" s="2" t="s">
        <v>231</v>
      </c>
      <c r="C68" s="2" t="s">
        <v>3229</v>
      </c>
      <c r="D68" s="2" t="s">
        <v>3230</v>
      </c>
    </row>
    <row r="69" spans="1:4" ht="15.75" customHeight="1" x14ac:dyDescent="0.25">
      <c r="A69" s="2" t="s">
        <v>227</v>
      </c>
      <c r="B69" s="2" t="s">
        <v>232</v>
      </c>
      <c r="C69" s="2" t="s">
        <v>3229</v>
      </c>
      <c r="D69" s="2" t="s">
        <v>3230</v>
      </c>
    </row>
    <row r="70" spans="1:4" ht="15.75" customHeight="1" x14ac:dyDescent="0.25">
      <c r="A70" s="2" t="s">
        <v>233</v>
      </c>
      <c r="B70" s="2" t="s">
        <v>235</v>
      </c>
      <c r="C70" s="2" t="s">
        <v>3231</v>
      </c>
      <c r="D70" s="2" t="s">
        <v>3232</v>
      </c>
    </row>
    <row r="71" spans="1:4" ht="15.75" customHeight="1" x14ac:dyDescent="0.25">
      <c r="A71" s="2" t="s">
        <v>237</v>
      </c>
      <c r="B71" s="2" t="s">
        <v>239</v>
      </c>
      <c r="C71" s="2" t="s">
        <v>3233</v>
      </c>
      <c r="D71" s="2" t="s">
        <v>3234</v>
      </c>
    </row>
    <row r="72" spans="1:4" ht="15.75" customHeight="1" x14ac:dyDescent="0.25">
      <c r="A72" s="2" t="s">
        <v>241</v>
      </c>
      <c r="B72" s="2" t="s">
        <v>242</v>
      </c>
      <c r="C72" s="2" t="s">
        <v>3235</v>
      </c>
      <c r="D72" s="2" t="s">
        <v>3234</v>
      </c>
    </row>
    <row r="73" spans="1:4" ht="15.75" customHeight="1" x14ac:dyDescent="0.25">
      <c r="A73" s="2" t="s">
        <v>244</v>
      </c>
      <c r="B73" s="2" t="s">
        <v>246</v>
      </c>
      <c r="C73" s="2" t="s">
        <v>3236</v>
      </c>
      <c r="D73" s="2" t="s">
        <v>245</v>
      </c>
    </row>
    <row r="74" spans="1:4" ht="15.75" customHeight="1" x14ac:dyDescent="0.25">
      <c r="A74" s="2" t="s">
        <v>248</v>
      </c>
      <c r="B74" s="2" t="s">
        <v>250</v>
      </c>
      <c r="C74" s="2" t="s">
        <v>3237</v>
      </c>
      <c r="D74" s="2" t="s">
        <v>3238</v>
      </c>
    </row>
    <row r="75" spans="1:4" ht="15.75" customHeight="1" x14ac:dyDescent="0.25">
      <c r="A75" s="2" t="s">
        <v>252</v>
      </c>
      <c r="B75" s="2" t="s">
        <v>254</v>
      </c>
      <c r="C75" s="2" t="s">
        <v>3239</v>
      </c>
      <c r="D75" s="2" t="s">
        <v>3240</v>
      </c>
    </row>
    <row r="76" spans="1:4" ht="15.75" customHeight="1" x14ac:dyDescent="0.25">
      <c r="A76" s="2" t="s">
        <v>256</v>
      </c>
      <c r="B76" s="2" t="s">
        <v>257</v>
      </c>
      <c r="C76" s="2" t="s">
        <v>3241</v>
      </c>
      <c r="D76" s="2" t="s">
        <v>3240</v>
      </c>
    </row>
    <row r="77" spans="1:4" ht="15.75" customHeight="1" x14ac:dyDescent="0.25">
      <c r="A77" s="2" t="s">
        <v>259</v>
      </c>
      <c r="B77" s="2" t="s">
        <v>261</v>
      </c>
      <c r="C77" s="2" t="s">
        <v>3242</v>
      </c>
      <c r="D77" s="2" t="s">
        <v>3243</v>
      </c>
    </row>
    <row r="78" spans="1:4" ht="15.75" customHeight="1" x14ac:dyDescent="0.25">
      <c r="A78" s="2" t="s">
        <v>263</v>
      </c>
      <c r="B78" s="2" t="s">
        <v>264</v>
      </c>
      <c r="C78" s="2" t="s">
        <v>3244</v>
      </c>
      <c r="D78" s="2" t="s">
        <v>3243</v>
      </c>
    </row>
    <row r="79" spans="1:4" ht="15.75" customHeight="1" x14ac:dyDescent="0.25">
      <c r="A79" s="2" t="s">
        <v>266</v>
      </c>
      <c r="B79" s="2" t="s">
        <v>268</v>
      </c>
      <c r="C79" s="2" t="s">
        <v>3245</v>
      </c>
      <c r="D79" s="2" t="s">
        <v>3246</v>
      </c>
    </row>
    <row r="80" spans="1:4" ht="15.75" customHeight="1" x14ac:dyDescent="0.25">
      <c r="A80" s="2" t="s">
        <v>270</v>
      </c>
      <c r="B80" s="2" t="s">
        <v>271</v>
      </c>
      <c r="C80" s="2" t="s">
        <v>3247</v>
      </c>
      <c r="D80" s="2" t="s">
        <v>3243</v>
      </c>
    </row>
    <row r="81" spans="1:4" ht="15.75" customHeight="1" x14ac:dyDescent="0.25">
      <c r="A81" s="2" t="s">
        <v>273</v>
      </c>
      <c r="B81" s="2" t="s">
        <v>275</v>
      </c>
      <c r="C81" s="2" t="s">
        <v>3248</v>
      </c>
      <c r="D81" s="2" t="s">
        <v>274</v>
      </c>
    </row>
    <row r="82" spans="1:4" ht="15.75" customHeight="1" x14ac:dyDescent="0.25">
      <c r="A82" s="2" t="s">
        <v>277</v>
      </c>
      <c r="B82" s="2" t="s">
        <v>279</v>
      </c>
      <c r="C82" s="2" t="s">
        <v>3249</v>
      </c>
      <c r="D82" s="2" t="s">
        <v>3250</v>
      </c>
    </row>
    <row r="83" spans="1:4" ht="15.75" customHeight="1" x14ac:dyDescent="0.25">
      <c r="A83" s="2" t="s">
        <v>281</v>
      </c>
      <c r="B83" s="2" t="s">
        <v>283</v>
      </c>
      <c r="C83" s="2" t="s">
        <v>3251</v>
      </c>
      <c r="D83" s="2" t="s">
        <v>282</v>
      </c>
    </row>
    <row r="84" spans="1:4" ht="15.75" customHeight="1" x14ac:dyDescent="0.25">
      <c r="A84" s="2" t="s">
        <v>285</v>
      </c>
      <c r="B84" s="2" t="s">
        <v>286</v>
      </c>
      <c r="C84" s="2" t="s">
        <v>3252</v>
      </c>
      <c r="D84" s="2" t="s">
        <v>282</v>
      </c>
    </row>
    <row r="85" spans="1:4" ht="15.75" customHeight="1" x14ac:dyDescent="0.25">
      <c r="A85" s="2" t="s">
        <v>288</v>
      </c>
      <c r="B85" s="2" t="s">
        <v>290</v>
      </c>
      <c r="C85" s="2" t="s">
        <v>3253</v>
      </c>
      <c r="D85" s="2" t="s">
        <v>3254</v>
      </c>
    </row>
    <row r="86" spans="1:4" ht="15.75" customHeight="1" x14ac:dyDescent="0.25">
      <c r="A86" s="2" t="s">
        <v>292</v>
      </c>
      <c r="B86" s="2" t="s">
        <v>293</v>
      </c>
      <c r="C86" s="2" t="s">
        <v>3255</v>
      </c>
      <c r="D86" s="2" t="s">
        <v>3254</v>
      </c>
    </row>
    <row r="87" spans="1:4" ht="15.75" customHeight="1" x14ac:dyDescent="0.25">
      <c r="A87" s="2" t="s">
        <v>295</v>
      </c>
      <c r="B87" s="2" t="s">
        <v>297</v>
      </c>
      <c r="C87" s="2" t="s">
        <v>3256</v>
      </c>
      <c r="D87" s="2" t="s">
        <v>3257</v>
      </c>
    </row>
    <row r="88" spans="1:4" ht="15.75" customHeight="1" x14ac:dyDescent="0.25">
      <c r="A88" s="2" t="s">
        <v>299</v>
      </c>
      <c r="B88" s="2" t="s">
        <v>301</v>
      </c>
      <c r="C88" s="2" t="s">
        <v>3258</v>
      </c>
      <c r="D88" s="2" t="s">
        <v>3259</v>
      </c>
    </row>
    <row r="89" spans="1:4" ht="15.75" customHeight="1" x14ac:dyDescent="0.25">
      <c r="A89" s="2" t="s">
        <v>303</v>
      </c>
      <c r="B89" s="2" t="s">
        <v>305</v>
      </c>
      <c r="C89" s="2" t="s">
        <v>3260</v>
      </c>
      <c r="D89" s="2" t="s">
        <v>3261</v>
      </c>
    </row>
    <row r="90" spans="1:4" ht="15.75" customHeight="1" x14ac:dyDescent="0.25">
      <c r="A90" s="2" t="s">
        <v>307</v>
      </c>
      <c r="B90" s="2" t="s">
        <v>309</v>
      </c>
      <c r="C90" s="2" t="s">
        <v>3262</v>
      </c>
      <c r="D90" s="2" t="s">
        <v>3263</v>
      </c>
    </row>
    <row r="91" spans="1:4" ht="15.75" customHeight="1" x14ac:dyDescent="0.25">
      <c r="A91" s="2" t="s">
        <v>311</v>
      </c>
      <c r="B91" s="2" t="s">
        <v>313</v>
      </c>
      <c r="C91" s="2" t="s">
        <v>3264</v>
      </c>
      <c r="D91" s="2" t="s">
        <v>3265</v>
      </c>
    </row>
    <row r="92" spans="1:4" ht="15.75" customHeight="1" x14ac:dyDescent="0.25">
      <c r="A92" s="2" t="s">
        <v>315</v>
      </c>
      <c r="B92" s="2" t="s">
        <v>317</v>
      </c>
      <c r="C92" s="2" t="s">
        <v>3266</v>
      </c>
      <c r="D92" s="2" t="s">
        <v>3267</v>
      </c>
    </row>
    <row r="93" spans="1:4" ht="15.75" customHeight="1" x14ac:dyDescent="0.25">
      <c r="A93" s="2" t="s">
        <v>319</v>
      </c>
      <c r="B93" s="2" t="s">
        <v>321</v>
      </c>
      <c r="C93" s="2" t="s">
        <v>3268</v>
      </c>
      <c r="D93" s="2" t="s">
        <v>3269</v>
      </c>
    </row>
    <row r="94" spans="1:4" ht="15.75" customHeight="1" x14ac:dyDescent="0.25">
      <c r="A94" s="2" t="s">
        <v>323</v>
      </c>
      <c r="B94" s="2" t="s">
        <v>324</v>
      </c>
      <c r="C94" s="2" t="s">
        <v>3270</v>
      </c>
      <c r="D94" s="2" t="s">
        <v>3175</v>
      </c>
    </row>
    <row r="95" spans="1:4" ht="15.75" customHeight="1" x14ac:dyDescent="0.25">
      <c r="A95" s="2" t="s">
        <v>326</v>
      </c>
      <c r="B95" s="2" t="s">
        <v>328</v>
      </c>
      <c r="C95" s="2" t="s">
        <v>3271</v>
      </c>
      <c r="D95" s="2" t="s">
        <v>3272</v>
      </c>
    </row>
    <row r="96" spans="1:4" ht="15.75" customHeight="1" x14ac:dyDescent="0.25">
      <c r="A96" s="2" t="s">
        <v>330</v>
      </c>
      <c r="B96" s="2" t="s">
        <v>332</v>
      </c>
      <c r="C96" s="2" t="s">
        <v>3273</v>
      </c>
      <c r="D96" s="2" t="s">
        <v>331</v>
      </c>
    </row>
    <row r="97" spans="1:4" ht="15.75" customHeight="1" x14ac:dyDescent="0.25">
      <c r="A97" s="2" t="s">
        <v>334</v>
      </c>
      <c r="B97" s="2" t="s">
        <v>336</v>
      </c>
      <c r="C97" s="2" t="s">
        <v>3274</v>
      </c>
      <c r="D97" s="2" t="s">
        <v>3275</v>
      </c>
    </row>
    <row r="98" spans="1:4" ht="15.75" customHeight="1" x14ac:dyDescent="0.25">
      <c r="A98" s="2" t="s">
        <v>338</v>
      </c>
      <c r="B98" s="2" t="s">
        <v>339</v>
      </c>
      <c r="C98" s="2" t="s">
        <v>3276</v>
      </c>
      <c r="D98" s="2" t="s">
        <v>3246</v>
      </c>
    </row>
    <row r="99" spans="1:4" ht="15.75" customHeight="1" x14ac:dyDescent="0.25">
      <c r="A99" s="2" t="s">
        <v>341</v>
      </c>
      <c r="B99" s="2" t="s">
        <v>343</v>
      </c>
      <c r="C99" s="2" t="s">
        <v>3277</v>
      </c>
      <c r="D99" s="2" t="s">
        <v>3278</v>
      </c>
    </row>
    <row r="100" spans="1:4" ht="15.75" customHeight="1" x14ac:dyDescent="0.25">
      <c r="A100" s="2" t="s">
        <v>345</v>
      </c>
      <c r="B100" s="2" t="s">
        <v>347</v>
      </c>
      <c r="C100" s="2" t="s">
        <v>3279</v>
      </c>
      <c r="D100" s="2" t="s">
        <v>3280</v>
      </c>
    </row>
    <row r="101" spans="1:4" ht="15.75" customHeight="1" x14ac:dyDescent="0.25">
      <c r="A101" s="2" t="s">
        <v>349</v>
      </c>
      <c r="B101" s="2" t="s">
        <v>350</v>
      </c>
      <c r="C101" s="2" t="s">
        <v>3281</v>
      </c>
      <c r="D101" s="2" t="s">
        <v>3263</v>
      </c>
    </row>
    <row r="102" spans="1:4" ht="15.75" customHeight="1" x14ac:dyDescent="0.25">
      <c r="A102" s="2" t="s">
        <v>349</v>
      </c>
      <c r="B102" s="2" t="s">
        <v>352</v>
      </c>
      <c r="C102" s="2" t="s">
        <v>3281</v>
      </c>
      <c r="D102" s="2" t="s">
        <v>3263</v>
      </c>
    </row>
    <row r="103" spans="1:4" ht="15.75" customHeight="1" x14ac:dyDescent="0.25">
      <c r="A103" s="2" t="s">
        <v>353</v>
      </c>
      <c r="B103" s="2" t="s">
        <v>354</v>
      </c>
      <c r="C103" s="2" t="s">
        <v>3282</v>
      </c>
      <c r="D103" s="2" t="s">
        <v>3280</v>
      </c>
    </row>
    <row r="104" spans="1:4" ht="15.75" customHeight="1" x14ac:dyDescent="0.25">
      <c r="A104" s="2" t="s">
        <v>356</v>
      </c>
      <c r="B104" s="2" t="s">
        <v>357</v>
      </c>
      <c r="C104" s="2" t="s">
        <v>3283</v>
      </c>
      <c r="D104" s="2" t="s">
        <v>3267</v>
      </c>
    </row>
    <row r="105" spans="1:4" ht="15.75" customHeight="1" x14ac:dyDescent="0.25">
      <c r="A105" s="2" t="s">
        <v>356</v>
      </c>
      <c r="B105" s="2" t="s">
        <v>359</v>
      </c>
      <c r="C105" s="2" t="s">
        <v>3283</v>
      </c>
      <c r="D105" s="2" t="s">
        <v>3267</v>
      </c>
    </row>
    <row r="106" spans="1:4" ht="15.75" customHeight="1" x14ac:dyDescent="0.25">
      <c r="A106" s="2" t="s">
        <v>360</v>
      </c>
      <c r="B106" s="2" t="s">
        <v>362</v>
      </c>
      <c r="C106" s="2" t="s">
        <v>3284</v>
      </c>
      <c r="D106" s="2" t="s">
        <v>3285</v>
      </c>
    </row>
    <row r="107" spans="1:4" ht="15.75" customHeight="1" x14ac:dyDescent="0.25">
      <c r="A107" s="2" t="s">
        <v>364</v>
      </c>
      <c r="B107" s="2" t="s">
        <v>366</v>
      </c>
      <c r="C107" s="2" t="s">
        <v>3286</v>
      </c>
      <c r="D107" s="2" t="s">
        <v>3287</v>
      </c>
    </row>
    <row r="108" spans="1:4" ht="15.75" customHeight="1" x14ac:dyDescent="0.25">
      <c r="A108" s="2" t="s">
        <v>368</v>
      </c>
      <c r="B108" s="2" t="s">
        <v>370</v>
      </c>
      <c r="C108" s="2" t="s">
        <v>3288</v>
      </c>
      <c r="D108" s="2" t="s">
        <v>369</v>
      </c>
    </row>
    <row r="109" spans="1:4" ht="15.75" customHeight="1" x14ac:dyDescent="0.25">
      <c r="A109" s="2" t="s">
        <v>372</v>
      </c>
      <c r="B109" s="2" t="s">
        <v>374</v>
      </c>
      <c r="C109" s="2" t="s">
        <v>3289</v>
      </c>
      <c r="D109" s="2" t="s">
        <v>3290</v>
      </c>
    </row>
    <row r="110" spans="1:4" ht="15.75" customHeight="1" x14ac:dyDescent="0.25">
      <c r="A110" s="2" t="s">
        <v>376</v>
      </c>
      <c r="B110" s="2" t="s">
        <v>378</v>
      </c>
      <c r="C110" s="2" t="s">
        <v>3291</v>
      </c>
      <c r="D110" s="2" t="s">
        <v>3292</v>
      </c>
    </row>
    <row r="111" spans="1:4" ht="15.75" customHeight="1" x14ac:dyDescent="0.25">
      <c r="A111" s="2" t="s">
        <v>380</v>
      </c>
      <c r="B111" s="2" t="s">
        <v>382</v>
      </c>
      <c r="C111" s="2" t="s">
        <v>3293</v>
      </c>
      <c r="D111" s="2" t="s">
        <v>381</v>
      </c>
    </row>
    <row r="112" spans="1:4" ht="15.75" customHeight="1" x14ac:dyDescent="0.25">
      <c r="A112" s="2" t="s">
        <v>384</v>
      </c>
      <c r="B112" s="2" t="s">
        <v>385</v>
      </c>
      <c r="C112" s="2" t="s">
        <v>3294</v>
      </c>
      <c r="D112" s="2" t="s">
        <v>381</v>
      </c>
    </row>
    <row r="113" spans="1:4" ht="15.75" customHeight="1" x14ac:dyDescent="0.25">
      <c r="A113" s="2" t="s">
        <v>387</v>
      </c>
      <c r="B113" s="2" t="s">
        <v>388</v>
      </c>
      <c r="C113" s="2" t="s">
        <v>3295</v>
      </c>
      <c r="D113" s="2" t="s">
        <v>381</v>
      </c>
    </row>
    <row r="114" spans="1:4" ht="15.75" customHeight="1" x14ac:dyDescent="0.25">
      <c r="A114" s="2" t="s">
        <v>390</v>
      </c>
      <c r="B114" s="2" t="s">
        <v>392</v>
      </c>
      <c r="C114" s="2" t="s">
        <v>3296</v>
      </c>
      <c r="D114" s="2" t="s">
        <v>3297</v>
      </c>
    </row>
    <row r="115" spans="1:4" ht="15.75" customHeight="1" x14ac:dyDescent="0.25">
      <c r="A115" s="2" t="s">
        <v>390</v>
      </c>
      <c r="B115" s="2" t="s">
        <v>394</v>
      </c>
      <c r="C115" s="2" t="s">
        <v>3296</v>
      </c>
      <c r="D115" s="2" t="s">
        <v>3297</v>
      </c>
    </row>
    <row r="116" spans="1:4" ht="15.75" customHeight="1" x14ac:dyDescent="0.25">
      <c r="A116" s="2" t="s">
        <v>395</v>
      </c>
      <c r="B116" s="2" t="s">
        <v>397</v>
      </c>
      <c r="C116" s="2" t="s">
        <v>3298</v>
      </c>
      <c r="D116" s="2" t="s">
        <v>3299</v>
      </c>
    </row>
    <row r="117" spans="1:4" ht="15.75" customHeight="1" x14ac:dyDescent="0.25">
      <c r="A117" s="2" t="s">
        <v>399</v>
      </c>
      <c r="B117" s="2" t="s">
        <v>400</v>
      </c>
      <c r="C117" s="2" t="s">
        <v>3300</v>
      </c>
      <c r="D117" s="2" t="s">
        <v>3135</v>
      </c>
    </row>
    <row r="118" spans="1:4" ht="15.75" customHeight="1" x14ac:dyDescent="0.25">
      <c r="A118" s="2" t="s">
        <v>402</v>
      </c>
      <c r="B118" s="2" t="s">
        <v>404</v>
      </c>
      <c r="C118" s="2" t="s">
        <v>3301</v>
      </c>
      <c r="D118" s="2" t="s">
        <v>3302</v>
      </c>
    </row>
    <row r="119" spans="1:4" ht="15.75" customHeight="1" x14ac:dyDescent="0.25">
      <c r="A119" s="2" t="s">
        <v>406</v>
      </c>
      <c r="B119" s="2" t="s">
        <v>408</v>
      </c>
      <c r="C119" s="2" t="s">
        <v>3303</v>
      </c>
      <c r="D119" s="2" t="s">
        <v>3304</v>
      </c>
    </row>
    <row r="120" spans="1:4" ht="15.75" customHeight="1" x14ac:dyDescent="0.25">
      <c r="A120" s="2" t="s">
        <v>410</v>
      </c>
      <c r="B120" s="2" t="s">
        <v>412</v>
      </c>
      <c r="C120" s="2" t="s">
        <v>3305</v>
      </c>
      <c r="D120" s="2" t="s">
        <v>3306</v>
      </c>
    </row>
    <row r="121" spans="1:4" ht="15.75" customHeight="1" x14ac:dyDescent="0.25">
      <c r="A121" s="2" t="s">
        <v>414</v>
      </c>
      <c r="B121" s="2" t="s">
        <v>415</v>
      </c>
      <c r="C121" s="2" t="s">
        <v>3307</v>
      </c>
      <c r="D121" s="2" t="s">
        <v>3306</v>
      </c>
    </row>
    <row r="122" spans="1:4" ht="15.75" customHeight="1" x14ac:dyDescent="0.25">
      <c r="A122" s="2" t="s">
        <v>417</v>
      </c>
      <c r="B122" s="2" t="s">
        <v>418</v>
      </c>
      <c r="C122" s="2" t="s">
        <v>3308</v>
      </c>
      <c r="D122" s="2" t="s">
        <v>3302</v>
      </c>
    </row>
    <row r="123" spans="1:4" ht="15.75" customHeight="1" x14ac:dyDescent="0.25">
      <c r="A123" s="2" t="s">
        <v>420</v>
      </c>
      <c r="B123" s="2" t="s">
        <v>422</v>
      </c>
      <c r="C123" s="2" t="s">
        <v>3309</v>
      </c>
      <c r="D123" s="2" t="s">
        <v>3310</v>
      </c>
    </row>
    <row r="124" spans="1:4" ht="15.75" customHeight="1" x14ac:dyDescent="0.25">
      <c r="A124" s="2" t="s">
        <v>424</v>
      </c>
      <c r="B124" s="2" t="s">
        <v>426</v>
      </c>
      <c r="C124" s="2" t="s">
        <v>3311</v>
      </c>
      <c r="D124" s="2" t="s">
        <v>3312</v>
      </c>
    </row>
    <row r="125" spans="1:4" ht="15.75" customHeight="1" x14ac:dyDescent="0.25">
      <c r="A125" s="2" t="s">
        <v>428</v>
      </c>
      <c r="B125" s="2" t="s">
        <v>430</v>
      </c>
      <c r="C125" s="2" t="s">
        <v>3313</v>
      </c>
      <c r="D125" s="2" t="s">
        <v>3314</v>
      </c>
    </row>
    <row r="126" spans="1:4" ht="15.75" customHeight="1" x14ac:dyDescent="0.25">
      <c r="A126" s="2" t="s">
        <v>432</v>
      </c>
      <c r="B126" s="2" t="s">
        <v>433</v>
      </c>
      <c r="C126" s="2" t="s">
        <v>3315</v>
      </c>
      <c r="D126" s="2" t="s">
        <v>3135</v>
      </c>
    </row>
    <row r="127" spans="1:4" ht="15.75" customHeight="1" x14ac:dyDescent="0.25">
      <c r="A127" s="2" t="s">
        <v>435</v>
      </c>
      <c r="B127" s="2" t="s">
        <v>436</v>
      </c>
      <c r="C127" s="2" t="s">
        <v>3316</v>
      </c>
      <c r="D127" s="2" t="s">
        <v>3297</v>
      </c>
    </row>
    <row r="128" spans="1:4" ht="15.75" customHeight="1" x14ac:dyDescent="0.25">
      <c r="A128" s="2" t="s">
        <v>435</v>
      </c>
      <c r="B128" s="2" t="s">
        <v>438</v>
      </c>
      <c r="C128" s="2" t="s">
        <v>3316</v>
      </c>
      <c r="D128" s="2" t="s">
        <v>3297</v>
      </c>
    </row>
    <row r="129" spans="1:4" ht="15.75" customHeight="1" x14ac:dyDescent="0.25">
      <c r="A129" s="2" t="s">
        <v>439</v>
      </c>
      <c r="B129" s="2" t="s">
        <v>441</v>
      </c>
      <c r="C129" s="2" t="s">
        <v>3317</v>
      </c>
      <c r="D129" s="2" t="s">
        <v>3318</v>
      </c>
    </row>
    <row r="130" spans="1:4" ht="15.75" customHeight="1" x14ac:dyDescent="0.25">
      <c r="A130" s="2" t="s">
        <v>443</v>
      </c>
      <c r="B130" s="2" t="s">
        <v>445</v>
      </c>
      <c r="C130" s="2" t="s">
        <v>3319</v>
      </c>
      <c r="D130" s="2" t="s">
        <v>3320</v>
      </c>
    </row>
    <row r="131" spans="1:4" ht="15.75" customHeight="1" x14ac:dyDescent="0.25">
      <c r="A131" s="2" t="s">
        <v>447</v>
      </c>
      <c r="B131" s="2" t="s">
        <v>449</v>
      </c>
      <c r="C131" s="2" t="s">
        <v>3321</v>
      </c>
      <c r="D131" s="2" t="s">
        <v>3322</v>
      </c>
    </row>
    <row r="132" spans="1:4" ht="15.75" customHeight="1" x14ac:dyDescent="0.25">
      <c r="A132" s="2" t="s">
        <v>451</v>
      </c>
      <c r="B132" s="2" t="s">
        <v>453</v>
      </c>
      <c r="C132" s="2" t="s">
        <v>3323</v>
      </c>
      <c r="D132" s="2" t="s">
        <v>3324</v>
      </c>
    </row>
    <row r="133" spans="1:4" ht="15.75" customHeight="1" x14ac:dyDescent="0.25">
      <c r="A133" s="2" t="s">
        <v>455</v>
      </c>
      <c r="B133" s="2" t="s">
        <v>457</v>
      </c>
      <c r="C133" s="2" t="s">
        <v>3325</v>
      </c>
      <c r="D133" s="2" t="s">
        <v>3326</v>
      </c>
    </row>
    <row r="134" spans="1:4" ht="15.75" customHeight="1" x14ac:dyDescent="0.25">
      <c r="A134" s="2" t="s">
        <v>459</v>
      </c>
      <c r="B134" s="2" t="s">
        <v>460</v>
      </c>
      <c r="C134" s="2" t="s">
        <v>3327</v>
      </c>
      <c r="D134" s="2" t="s">
        <v>3326</v>
      </c>
    </row>
    <row r="135" spans="1:4" ht="15.75" customHeight="1" x14ac:dyDescent="0.25">
      <c r="A135" s="2" t="s">
        <v>462</v>
      </c>
      <c r="B135" s="2" t="s">
        <v>464</v>
      </c>
      <c r="C135" s="2" t="s">
        <v>3328</v>
      </c>
      <c r="D135" s="2" t="s">
        <v>3329</v>
      </c>
    </row>
    <row r="136" spans="1:4" ht="15.75" customHeight="1" x14ac:dyDescent="0.25">
      <c r="A136" s="2" t="s">
        <v>466</v>
      </c>
      <c r="B136" s="2" t="s">
        <v>468</v>
      </c>
      <c r="C136" s="2" t="s">
        <v>3330</v>
      </c>
      <c r="D136" s="2" t="s">
        <v>3331</v>
      </c>
    </row>
    <row r="137" spans="1:4" ht="15.75" customHeight="1" x14ac:dyDescent="0.25">
      <c r="A137" s="2" t="s">
        <v>470</v>
      </c>
      <c r="B137" s="2" t="s">
        <v>472</v>
      </c>
      <c r="C137" s="2" t="s">
        <v>3332</v>
      </c>
      <c r="D137" s="2" t="s">
        <v>3333</v>
      </c>
    </row>
    <row r="138" spans="1:4" ht="15.75" customHeight="1" x14ac:dyDescent="0.25">
      <c r="A138" s="2" t="s">
        <v>470</v>
      </c>
      <c r="B138" s="2" t="s">
        <v>474</v>
      </c>
      <c r="C138" s="2" t="s">
        <v>3332</v>
      </c>
      <c r="D138" s="2" t="s">
        <v>3333</v>
      </c>
    </row>
    <row r="139" spans="1:4" ht="15.75" customHeight="1" x14ac:dyDescent="0.25">
      <c r="A139" s="2" t="s">
        <v>475</v>
      </c>
      <c r="B139" s="2" t="s">
        <v>477</v>
      </c>
      <c r="C139" s="2" t="s">
        <v>3334</v>
      </c>
      <c r="D139" s="2" t="s">
        <v>3335</v>
      </c>
    </row>
    <row r="140" spans="1:4" ht="15.75" customHeight="1" x14ac:dyDescent="0.25">
      <c r="A140" s="2" t="s">
        <v>479</v>
      </c>
      <c r="B140" s="2" t="s">
        <v>480</v>
      </c>
      <c r="C140" s="2" t="s">
        <v>3336</v>
      </c>
      <c r="D140" s="2" t="s">
        <v>3246</v>
      </c>
    </row>
    <row r="141" spans="1:4" ht="15.75" customHeight="1" x14ac:dyDescent="0.25">
      <c r="A141" s="2" t="s">
        <v>482</v>
      </c>
      <c r="B141" s="2" t="s">
        <v>483</v>
      </c>
      <c r="C141" s="2" t="s">
        <v>3337</v>
      </c>
      <c r="D141" s="2" t="s">
        <v>3335</v>
      </c>
    </row>
    <row r="142" spans="1:4" ht="15.75" customHeight="1" x14ac:dyDescent="0.25">
      <c r="A142" s="2" t="s">
        <v>485</v>
      </c>
      <c r="B142" s="2" t="s">
        <v>486</v>
      </c>
      <c r="C142" s="2" t="s">
        <v>3338</v>
      </c>
      <c r="D142" s="2" t="s">
        <v>3272</v>
      </c>
    </row>
    <row r="143" spans="1:4" ht="15.75" customHeight="1" x14ac:dyDescent="0.25">
      <c r="A143" s="2" t="s">
        <v>488</v>
      </c>
      <c r="B143" s="2" t="s">
        <v>490</v>
      </c>
      <c r="C143" s="2" t="s">
        <v>3339</v>
      </c>
      <c r="D143" s="2" t="s">
        <v>3340</v>
      </c>
    </row>
    <row r="144" spans="1:4" ht="15.75" customHeight="1" x14ac:dyDescent="0.25">
      <c r="A144" s="2" t="s">
        <v>488</v>
      </c>
      <c r="B144" s="2" t="s">
        <v>492</v>
      </c>
      <c r="C144" s="2" t="s">
        <v>3339</v>
      </c>
      <c r="D144" s="2" t="s">
        <v>3340</v>
      </c>
    </row>
    <row r="145" spans="1:4" ht="15.75" customHeight="1" x14ac:dyDescent="0.25">
      <c r="A145" s="2" t="s">
        <v>493</v>
      </c>
      <c r="B145" s="2" t="s">
        <v>495</v>
      </c>
      <c r="C145" s="2" t="s">
        <v>3341</v>
      </c>
      <c r="D145" s="2" t="s">
        <v>3342</v>
      </c>
    </row>
    <row r="146" spans="1:4" ht="15.75" customHeight="1" x14ac:dyDescent="0.25">
      <c r="A146" s="2" t="s">
        <v>497</v>
      </c>
      <c r="B146" s="2" t="s">
        <v>499</v>
      </c>
      <c r="C146" s="2" t="s">
        <v>3343</v>
      </c>
      <c r="D146" s="2" t="s">
        <v>3344</v>
      </c>
    </row>
    <row r="147" spans="1:4" ht="15.75" customHeight="1" x14ac:dyDescent="0.25">
      <c r="A147" s="2" t="s">
        <v>497</v>
      </c>
      <c r="B147" s="2" t="s">
        <v>501</v>
      </c>
      <c r="C147" s="2" t="s">
        <v>3343</v>
      </c>
      <c r="D147" s="2" t="s">
        <v>3344</v>
      </c>
    </row>
    <row r="148" spans="1:4" ht="15.75" customHeight="1" x14ac:dyDescent="0.25">
      <c r="A148" s="2" t="s">
        <v>502</v>
      </c>
      <c r="B148" s="2" t="s">
        <v>504</v>
      </c>
      <c r="C148" s="2" t="s">
        <v>3345</v>
      </c>
      <c r="D148" s="2" t="s">
        <v>3346</v>
      </c>
    </row>
    <row r="149" spans="1:4" ht="15.75" customHeight="1" x14ac:dyDescent="0.25">
      <c r="A149" s="2" t="s">
        <v>506</v>
      </c>
      <c r="B149" s="2" t="s">
        <v>508</v>
      </c>
      <c r="C149" s="2" t="s">
        <v>3347</v>
      </c>
      <c r="D149" s="2" t="s">
        <v>3348</v>
      </c>
    </row>
    <row r="150" spans="1:4" ht="15.75" customHeight="1" x14ac:dyDescent="0.25">
      <c r="A150" s="2" t="s">
        <v>510</v>
      </c>
      <c r="B150" s="2" t="s">
        <v>512</v>
      </c>
      <c r="C150" s="2" t="s">
        <v>3349</v>
      </c>
      <c r="D150" s="2" t="s">
        <v>3350</v>
      </c>
    </row>
    <row r="151" spans="1:4" ht="15.75" customHeight="1" x14ac:dyDescent="0.25">
      <c r="A151" s="2" t="s">
        <v>514</v>
      </c>
      <c r="B151" s="2" t="s">
        <v>516</v>
      </c>
      <c r="C151" s="2" t="s">
        <v>3351</v>
      </c>
      <c r="D151" s="2" t="s">
        <v>3352</v>
      </c>
    </row>
    <row r="152" spans="1:4" ht="15.75" customHeight="1" x14ac:dyDescent="0.25">
      <c r="A152" s="2" t="s">
        <v>518</v>
      </c>
      <c r="B152" s="2" t="s">
        <v>519</v>
      </c>
      <c r="C152" s="2" t="s">
        <v>3353</v>
      </c>
      <c r="D152" s="2" t="s">
        <v>3352</v>
      </c>
    </row>
    <row r="153" spans="1:4" ht="15.75" customHeight="1" x14ac:dyDescent="0.25">
      <c r="A153" s="2" t="s">
        <v>521</v>
      </c>
      <c r="B153" s="2" t="s">
        <v>523</v>
      </c>
      <c r="C153" s="2" t="s">
        <v>3354</v>
      </c>
      <c r="D153" s="2" t="s">
        <v>3355</v>
      </c>
    </row>
    <row r="154" spans="1:4" ht="15.75" customHeight="1" x14ac:dyDescent="0.25">
      <c r="A154" s="2" t="s">
        <v>525</v>
      </c>
      <c r="B154" s="2" t="s">
        <v>527</v>
      </c>
      <c r="C154" s="2" t="s">
        <v>3356</v>
      </c>
      <c r="D154" s="2" t="s">
        <v>3357</v>
      </c>
    </row>
    <row r="155" spans="1:4" ht="15.75" customHeight="1" x14ac:dyDescent="0.25">
      <c r="A155" s="2" t="s">
        <v>529</v>
      </c>
      <c r="B155" s="2" t="s">
        <v>531</v>
      </c>
      <c r="C155" s="2" t="s">
        <v>3358</v>
      </c>
      <c r="D155" s="2" t="s">
        <v>3359</v>
      </c>
    </row>
    <row r="156" spans="1:4" ht="15.75" customHeight="1" x14ac:dyDescent="0.25">
      <c r="A156" s="2" t="s">
        <v>533</v>
      </c>
      <c r="B156" s="2" t="s">
        <v>535</v>
      </c>
      <c r="C156" s="2" t="s">
        <v>3360</v>
      </c>
      <c r="D156" s="2" t="s">
        <v>3361</v>
      </c>
    </row>
    <row r="157" spans="1:4" ht="15.75" customHeight="1" x14ac:dyDescent="0.25">
      <c r="A157" s="2" t="s">
        <v>537</v>
      </c>
      <c r="B157" s="2" t="s">
        <v>539</v>
      </c>
      <c r="C157" s="2" t="s">
        <v>3362</v>
      </c>
      <c r="D157" s="2" t="s">
        <v>538</v>
      </c>
    </row>
    <row r="158" spans="1:4" ht="15.75" customHeight="1" x14ac:dyDescent="0.25">
      <c r="A158" s="2" t="s">
        <v>541</v>
      </c>
      <c r="B158" s="2" t="s">
        <v>542</v>
      </c>
      <c r="C158" s="2" t="s">
        <v>3363</v>
      </c>
      <c r="D158" s="2" t="s">
        <v>538</v>
      </c>
    </row>
    <row r="159" spans="1:4" ht="15.75" customHeight="1" x14ac:dyDescent="0.25">
      <c r="A159" s="2" t="s">
        <v>544</v>
      </c>
      <c r="B159" s="2" t="s">
        <v>546</v>
      </c>
      <c r="C159" s="2" t="s">
        <v>3364</v>
      </c>
      <c r="D159" s="2" t="s">
        <v>3365</v>
      </c>
    </row>
    <row r="160" spans="1:4" ht="15.75" customHeight="1" x14ac:dyDescent="0.25">
      <c r="A160" s="2" t="s">
        <v>548</v>
      </c>
      <c r="B160" s="2" t="s">
        <v>550</v>
      </c>
      <c r="C160" s="2" t="s">
        <v>3366</v>
      </c>
      <c r="D160" s="2" t="s">
        <v>3367</v>
      </c>
    </row>
    <row r="161" spans="1:4" ht="15.75" customHeight="1" x14ac:dyDescent="0.25">
      <c r="A161" s="2" t="s">
        <v>552</v>
      </c>
      <c r="B161" s="2" t="s">
        <v>554</v>
      </c>
      <c r="C161" s="2" t="s">
        <v>3368</v>
      </c>
      <c r="D161" s="2" t="s">
        <v>3369</v>
      </c>
    </row>
    <row r="162" spans="1:4" ht="15.75" customHeight="1" x14ac:dyDescent="0.25">
      <c r="A162" s="2" t="s">
        <v>556</v>
      </c>
      <c r="B162" s="2" t="s">
        <v>558</v>
      </c>
      <c r="C162" s="2" t="s">
        <v>3370</v>
      </c>
      <c r="D162" s="2" t="s">
        <v>3371</v>
      </c>
    </row>
    <row r="163" spans="1:4" ht="15.75" customHeight="1" x14ac:dyDescent="0.25">
      <c r="A163" s="2" t="s">
        <v>560</v>
      </c>
      <c r="B163" s="2" t="s">
        <v>561</v>
      </c>
      <c r="C163" s="2" t="s">
        <v>3372</v>
      </c>
      <c r="D163" s="2" t="s">
        <v>3371</v>
      </c>
    </row>
    <row r="164" spans="1:4" ht="15.75" customHeight="1" x14ac:dyDescent="0.25">
      <c r="A164" s="2" t="s">
        <v>560</v>
      </c>
      <c r="B164" s="2" t="s">
        <v>563</v>
      </c>
      <c r="C164" s="2" t="s">
        <v>3372</v>
      </c>
      <c r="D164" s="2" t="s">
        <v>3371</v>
      </c>
    </row>
    <row r="165" spans="1:4" ht="15.75" customHeight="1" x14ac:dyDescent="0.25">
      <c r="A165" s="2" t="s">
        <v>564</v>
      </c>
      <c r="B165" s="2" t="s">
        <v>566</v>
      </c>
      <c r="C165" s="2" t="s">
        <v>3373</v>
      </c>
      <c r="D165" s="2" t="s">
        <v>3374</v>
      </c>
    </row>
    <row r="166" spans="1:4" ht="15.75" customHeight="1" x14ac:dyDescent="0.25">
      <c r="A166" s="2" t="s">
        <v>568</v>
      </c>
      <c r="B166" s="2" t="s">
        <v>569</v>
      </c>
      <c r="C166" s="2" t="s">
        <v>3375</v>
      </c>
      <c r="D166" s="2" t="s">
        <v>3167</v>
      </c>
    </row>
    <row r="167" spans="1:4" ht="15.75" customHeight="1" x14ac:dyDescent="0.25">
      <c r="A167" s="2" t="s">
        <v>571</v>
      </c>
      <c r="B167" s="2" t="s">
        <v>573</v>
      </c>
      <c r="C167" s="2" t="s">
        <v>3376</v>
      </c>
      <c r="D167" s="2" t="s">
        <v>3377</v>
      </c>
    </row>
    <row r="168" spans="1:4" ht="15.75" customHeight="1" x14ac:dyDescent="0.25">
      <c r="A168" s="2" t="s">
        <v>575</v>
      </c>
      <c r="B168" s="2" t="s">
        <v>577</v>
      </c>
      <c r="C168" s="2" t="s">
        <v>3378</v>
      </c>
      <c r="D168" s="2" t="s">
        <v>3379</v>
      </c>
    </row>
    <row r="169" spans="1:4" ht="15.75" customHeight="1" x14ac:dyDescent="0.25">
      <c r="A169" s="2" t="s">
        <v>579</v>
      </c>
      <c r="B169" s="2" t="s">
        <v>580</v>
      </c>
      <c r="C169" s="2" t="s">
        <v>3380</v>
      </c>
      <c r="D169" s="2" t="s">
        <v>3208</v>
      </c>
    </row>
    <row r="170" spans="1:4" ht="15.75" customHeight="1" x14ac:dyDescent="0.25">
      <c r="A170" s="2" t="s">
        <v>582</v>
      </c>
      <c r="B170" s="2" t="s">
        <v>584</v>
      </c>
      <c r="C170" s="2" t="s">
        <v>3381</v>
      </c>
      <c r="D170" s="2" t="s">
        <v>583</v>
      </c>
    </row>
    <row r="171" spans="1:4" ht="15.75" customHeight="1" x14ac:dyDescent="0.25">
      <c r="A171" s="2" t="s">
        <v>586</v>
      </c>
      <c r="B171" s="2" t="s">
        <v>588</v>
      </c>
      <c r="C171" s="2" t="s">
        <v>3382</v>
      </c>
      <c r="D171" s="2" t="s">
        <v>3383</v>
      </c>
    </row>
    <row r="172" spans="1:4" ht="15.75" customHeight="1" x14ac:dyDescent="0.25">
      <c r="A172" s="2" t="s">
        <v>590</v>
      </c>
      <c r="B172" s="2" t="s">
        <v>592</v>
      </c>
      <c r="C172" s="2" t="s">
        <v>3384</v>
      </c>
      <c r="D172" s="2" t="s">
        <v>3385</v>
      </c>
    </row>
    <row r="173" spans="1:4" ht="15.75" customHeight="1" x14ac:dyDescent="0.25">
      <c r="A173" s="2" t="s">
        <v>594</v>
      </c>
      <c r="B173" s="2" t="s">
        <v>596</v>
      </c>
      <c r="C173" s="2" t="s">
        <v>3386</v>
      </c>
      <c r="D173" s="2" t="s">
        <v>595</v>
      </c>
    </row>
    <row r="174" spans="1:4" ht="15.75" customHeight="1" x14ac:dyDescent="0.25">
      <c r="A174" s="2" t="s">
        <v>598</v>
      </c>
      <c r="B174" s="2" t="s">
        <v>600</v>
      </c>
      <c r="C174" s="2" t="s">
        <v>3387</v>
      </c>
      <c r="D174" s="2" t="s">
        <v>3388</v>
      </c>
    </row>
    <row r="175" spans="1:4" ht="15.75" customHeight="1" x14ac:dyDescent="0.25">
      <c r="A175" s="2" t="s">
        <v>602</v>
      </c>
      <c r="B175" s="2" t="s">
        <v>603</v>
      </c>
      <c r="C175" s="2" t="s">
        <v>3389</v>
      </c>
      <c r="D175" s="2" t="s">
        <v>3184</v>
      </c>
    </row>
    <row r="176" spans="1:4" ht="15.75" customHeight="1" x14ac:dyDescent="0.25">
      <c r="A176" s="2" t="s">
        <v>605</v>
      </c>
      <c r="B176" s="2" t="s">
        <v>607</v>
      </c>
      <c r="C176" s="2" t="s">
        <v>3390</v>
      </c>
      <c r="D176" s="2" t="s">
        <v>606</v>
      </c>
    </row>
    <row r="177" spans="1:4" ht="15.75" customHeight="1" x14ac:dyDescent="0.25">
      <c r="A177" s="2" t="s">
        <v>609</v>
      </c>
      <c r="B177" s="2" t="s">
        <v>611</v>
      </c>
      <c r="C177" s="2" t="s">
        <v>3391</v>
      </c>
      <c r="D177" s="2" t="s">
        <v>3392</v>
      </c>
    </row>
    <row r="178" spans="1:4" ht="15.75" customHeight="1" x14ac:dyDescent="0.25">
      <c r="A178" s="2" t="s">
        <v>613</v>
      </c>
      <c r="B178" s="2" t="s">
        <v>615</v>
      </c>
      <c r="C178" s="2" t="s">
        <v>3393</v>
      </c>
      <c r="D178" s="2" t="s">
        <v>3394</v>
      </c>
    </row>
    <row r="179" spans="1:4" ht="15.75" customHeight="1" x14ac:dyDescent="0.25">
      <c r="A179" s="2" t="s">
        <v>617</v>
      </c>
      <c r="B179" s="2" t="s">
        <v>618</v>
      </c>
      <c r="C179" s="2" t="s">
        <v>3395</v>
      </c>
      <c r="D179" s="2" t="s">
        <v>3275</v>
      </c>
    </row>
    <row r="180" spans="1:4" ht="15.75" customHeight="1" x14ac:dyDescent="0.25">
      <c r="A180" s="2" t="s">
        <v>620</v>
      </c>
      <c r="B180" s="2" t="s">
        <v>622</v>
      </c>
      <c r="C180" s="2" t="s">
        <v>3396</v>
      </c>
      <c r="D180" s="2" t="s">
        <v>3397</v>
      </c>
    </row>
    <row r="181" spans="1:4" ht="15.75" customHeight="1" x14ac:dyDescent="0.25">
      <c r="A181" s="2" t="s">
        <v>624</v>
      </c>
      <c r="B181" s="2" t="s">
        <v>625</v>
      </c>
      <c r="C181" s="2" t="s">
        <v>3398</v>
      </c>
      <c r="D181" s="2" t="s">
        <v>3240</v>
      </c>
    </row>
    <row r="182" spans="1:4" ht="15.75" customHeight="1" x14ac:dyDescent="0.25">
      <c r="A182" s="2" t="s">
        <v>627</v>
      </c>
      <c r="B182" s="2" t="s">
        <v>629</v>
      </c>
      <c r="C182" s="2" t="s">
        <v>3399</v>
      </c>
      <c r="D182" s="2" t="s">
        <v>628</v>
      </c>
    </row>
    <row r="183" spans="1:4" ht="15.75" customHeight="1" x14ac:dyDescent="0.25">
      <c r="A183" s="2" t="s">
        <v>631</v>
      </c>
      <c r="B183" s="2" t="s">
        <v>633</v>
      </c>
      <c r="C183" s="2" t="s">
        <v>3400</v>
      </c>
      <c r="D183" s="2" t="s">
        <v>3401</v>
      </c>
    </row>
    <row r="184" spans="1:4" ht="15.75" customHeight="1" x14ac:dyDescent="0.25">
      <c r="A184" s="2" t="s">
        <v>635</v>
      </c>
      <c r="B184" s="2" t="s">
        <v>637</v>
      </c>
      <c r="C184" s="2" t="s">
        <v>3402</v>
      </c>
      <c r="D184" s="2" t="s">
        <v>3403</v>
      </c>
    </row>
    <row r="185" spans="1:4" ht="15.75" customHeight="1" x14ac:dyDescent="0.25">
      <c r="A185" s="2" t="s">
        <v>639</v>
      </c>
      <c r="B185" s="2" t="s">
        <v>640</v>
      </c>
      <c r="C185" s="2" t="s">
        <v>3404</v>
      </c>
      <c r="D185" s="2" t="s">
        <v>3379</v>
      </c>
    </row>
    <row r="186" spans="1:4" ht="15.75" customHeight="1" x14ac:dyDescent="0.25">
      <c r="A186" s="2" t="s">
        <v>639</v>
      </c>
      <c r="B186" s="2" t="s">
        <v>642</v>
      </c>
      <c r="C186" s="2" t="s">
        <v>3404</v>
      </c>
      <c r="D186" s="2" t="s">
        <v>3379</v>
      </c>
    </row>
    <row r="187" spans="1:4" ht="15.75" customHeight="1" x14ac:dyDescent="0.25">
      <c r="A187" s="2" t="s">
        <v>643</v>
      </c>
      <c r="B187" s="2" t="s">
        <v>645</v>
      </c>
      <c r="C187" s="2" t="s">
        <v>3405</v>
      </c>
      <c r="D187" s="2" t="s">
        <v>3406</v>
      </c>
    </row>
    <row r="188" spans="1:4" ht="15.75" customHeight="1" x14ac:dyDescent="0.25">
      <c r="A188" s="2" t="s">
        <v>647</v>
      </c>
      <c r="B188" s="2" t="s">
        <v>648</v>
      </c>
      <c r="C188" s="2" t="s">
        <v>3407</v>
      </c>
      <c r="D188" s="2" t="s">
        <v>3297</v>
      </c>
    </row>
    <row r="189" spans="1:4" ht="15.75" customHeight="1" x14ac:dyDescent="0.25">
      <c r="A189" s="2" t="s">
        <v>647</v>
      </c>
      <c r="B189" s="2" t="s">
        <v>650</v>
      </c>
      <c r="C189" s="2" t="s">
        <v>3407</v>
      </c>
      <c r="D189" s="2" t="s">
        <v>3297</v>
      </c>
    </row>
    <row r="190" spans="1:4" ht="15.75" customHeight="1" x14ac:dyDescent="0.25">
      <c r="A190" s="2" t="s">
        <v>651</v>
      </c>
      <c r="B190" s="2" t="s">
        <v>653</v>
      </c>
      <c r="C190" s="2" t="s">
        <v>3408</v>
      </c>
      <c r="D190" s="2" t="s">
        <v>3409</v>
      </c>
    </row>
    <row r="191" spans="1:4" ht="15.75" customHeight="1" x14ac:dyDescent="0.25">
      <c r="A191" s="2" t="s">
        <v>655</v>
      </c>
      <c r="B191" s="2" t="s">
        <v>657</v>
      </c>
      <c r="C191" s="2" t="s">
        <v>3410</v>
      </c>
      <c r="D191" s="2" t="s">
        <v>3411</v>
      </c>
    </row>
    <row r="192" spans="1:4" ht="15.75" customHeight="1" x14ac:dyDescent="0.25">
      <c r="A192" s="2" t="s">
        <v>659</v>
      </c>
      <c r="B192" s="2" t="s">
        <v>661</v>
      </c>
      <c r="C192" s="2" t="s">
        <v>3412</v>
      </c>
      <c r="D192" s="2" t="s">
        <v>3413</v>
      </c>
    </row>
    <row r="193" spans="1:4" ht="15.75" customHeight="1" x14ac:dyDescent="0.25">
      <c r="A193" s="2" t="s">
        <v>663</v>
      </c>
      <c r="B193" s="2" t="s">
        <v>664</v>
      </c>
      <c r="C193" s="2" t="s">
        <v>3414</v>
      </c>
      <c r="D193" s="2" t="s">
        <v>3413</v>
      </c>
    </row>
    <row r="194" spans="1:4" ht="15.75" customHeight="1" x14ac:dyDescent="0.25">
      <c r="A194" s="2" t="s">
        <v>666</v>
      </c>
      <c r="B194" s="2" t="s">
        <v>668</v>
      </c>
      <c r="C194" s="2" t="s">
        <v>3415</v>
      </c>
      <c r="D194" s="2" t="s">
        <v>3416</v>
      </c>
    </row>
    <row r="195" spans="1:4" ht="15.75" customHeight="1" x14ac:dyDescent="0.25">
      <c r="A195" s="2" t="s">
        <v>666</v>
      </c>
      <c r="B195" s="2" t="s">
        <v>670</v>
      </c>
      <c r="C195" s="2" t="s">
        <v>3415</v>
      </c>
      <c r="D195" s="2" t="s">
        <v>3416</v>
      </c>
    </row>
    <row r="196" spans="1:4" ht="15.75" customHeight="1" x14ac:dyDescent="0.25">
      <c r="A196" s="2" t="s">
        <v>671</v>
      </c>
      <c r="B196" s="2" t="s">
        <v>673</v>
      </c>
      <c r="C196" s="2" t="s">
        <v>3417</v>
      </c>
      <c r="D196" s="2" t="s">
        <v>672</v>
      </c>
    </row>
    <row r="197" spans="1:4" ht="15.75" customHeight="1" x14ac:dyDescent="0.25">
      <c r="A197" s="2" t="s">
        <v>675</v>
      </c>
      <c r="B197" s="2" t="s">
        <v>677</v>
      </c>
      <c r="C197" s="2" t="s">
        <v>3418</v>
      </c>
      <c r="D197" s="2" t="s">
        <v>3419</v>
      </c>
    </row>
    <row r="198" spans="1:4" ht="15.75" customHeight="1" x14ac:dyDescent="0.25">
      <c r="A198" s="2" t="s">
        <v>679</v>
      </c>
      <c r="B198" s="2" t="s">
        <v>681</v>
      </c>
      <c r="C198" s="2" t="s">
        <v>3420</v>
      </c>
      <c r="D198" s="2" t="s">
        <v>680</v>
      </c>
    </row>
    <row r="199" spans="1:4" ht="15.75" customHeight="1" x14ac:dyDescent="0.25">
      <c r="A199" s="2" t="s">
        <v>679</v>
      </c>
      <c r="B199" s="2" t="s">
        <v>683</v>
      </c>
      <c r="C199" s="2" t="s">
        <v>3420</v>
      </c>
      <c r="D199" s="2" t="s">
        <v>680</v>
      </c>
    </row>
    <row r="200" spans="1:4" ht="15.75" customHeight="1" x14ac:dyDescent="0.25">
      <c r="A200" s="2" t="s">
        <v>684</v>
      </c>
      <c r="B200" s="2" t="s">
        <v>686</v>
      </c>
      <c r="C200" s="2" t="s">
        <v>3421</v>
      </c>
      <c r="D200" s="2" t="s">
        <v>3422</v>
      </c>
    </row>
    <row r="201" spans="1:4" ht="15.75" customHeight="1" x14ac:dyDescent="0.25">
      <c r="A201" s="2" t="s">
        <v>688</v>
      </c>
      <c r="B201" s="2" t="s">
        <v>689</v>
      </c>
      <c r="C201" s="2" t="s">
        <v>3423</v>
      </c>
      <c r="D201" s="2" t="s">
        <v>3422</v>
      </c>
    </row>
    <row r="202" spans="1:4" ht="15.75" customHeight="1" x14ac:dyDescent="0.25">
      <c r="A202" s="2" t="s">
        <v>691</v>
      </c>
      <c r="B202" s="2" t="s">
        <v>692</v>
      </c>
      <c r="C202" s="2" t="s">
        <v>3424</v>
      </c>
      <c r="D202" s="2" t="s">
        <v>3297</v>
      </c>
    </row>
    <row r="203" spans="1:4" ht="15.75" customHeight="1" x14ac:dyDescent="0.25">
      <c r="A203" s="2" t="s">
        <v>691</v>
      </c>
      <c r="B203" s="2" t="s">
        <v>694</v>
      </c>
      <c r="C203" s="2" t="s">
        <v>3424</v>
      </c>
      <c r="D203" s="2" t="s">
        <v>3297</v>
      </c>
    </row>
    <row r="204" spans="1:4" ht="15.75" customHeight="1" x14ac:dyDescent="0.25">
      <c r="A204" s="2" t="s">
        <v>695</v>
      </c>
      <c r="B204" s="2" t="s">
        <v>696</v>
      </c>
      <c r="C204" s="2" t="s">
        <v>3425</v>
      </c>
      <c r="D204" s="2" t="s">
        <v>3422</v>
      </c>
    </row>
    <row r="205" spans="1:4" ht="15.75" customHeight="1" x14ac:dyDescent="0.25">
      <c r="A205" s="2" t="s">
        <v>695</v>
      </c>
      <c r="B205" s="2" t="s">
        <v>698</v>
      </c>
      <c r="C205" s="2" t="s">
        <v>3425</v>
      </c>
      <c r="D205" s="2" t="s">
        <v>3422</v>
      </c>
    </row>
    <row r="206" spans="1:4" ht="15.75" customHeight="1" x14ac:dyDescent="0.25">
      <c r="A206" s="2" t="s">
        <v>699</v>
      </c>
      <c r="B206" s="2" t="s">
        <v>701</v>
      </c>
      <c r="C206" s="2" t="s">
        <v>3426</v>
      </c>
      <c r="D206" s="2" t="s">
        <v>3427</v>
      </c>
    </row>
    <row r="207" spans="1:4" ht="15.75" customHeight="1" x14ac:dyDescent="0.25">
      <c r="A207" s="2" t="s">
        <v>703</v>
      </c>
      <c r="B207" s="2" t="s">
        <v>704</v>
      </c>
      <c r="C207" s="2" t="s">
        <v>3428</v>
      </c>
      <c r="D207" s="2" t="s">
        <v>3427</v>
      </c>
    </row>
    <row r="208" spans="1:4" ht="15.75" customHeight="1" x14ac:dyDescent="0.25">
      <c r="A208" s="2" t="s">
        <v>706</v>
      </c>
      <c r="B208" s="2" t="s">
        <v>708</v>
      </c>
      <c r="C208" s="2" t="s">
        <v>3429</v>
      </c>
      <c r="D208" s="2" t="s">
        <v>3430</v>
      </c>
    </row>
    <row r="209" spans="1:4" ht="15.75" customHeight="1" x14ac:dyDescent="0.25">
      <c r="A209" s="2" t="s">
        <v>710</v>
      </c>
      <c r="B209" s="2" t="s">
        <v>712</v>
      </c>
      <c r="C209" s="2" t="s">
        <v>3431</v>
      </c>
      <c r="D209" s="2" t="s">
        <v>3432</v>
      </c>
    </row>
    <row r="210" spans="1:4" ht="15.75" customHeight="1" x14ac:dyDescent="0.25">
      <c r="A210" s="2" t="s">
        <v>714</v>
      </c>
      <c r="B210" s="2" t="s">
        <v>715</v>
      </c>
      <c r="C210" s="2" t="s">
        <v>3433</v>
      </c>
      <c r="D210" s="2" t="s">
        <v>3137</v>
      </c>
    </row>
    <row r="211" spans="1:4" ht="15.75" customHeight="1" x14ac:dyDescent="0.25">
      <c r="A211" s="2" t="s">
        <v>717</v>
      </c>
      <c r="B211" s="2" t="s">
        <v>718</v>
      </c>
      <c r="C211" s="2" t="s">
        <v>3434</v>
      </c>
      <c r="D211" s="2" t="s">
        <v>3158</v>
      </c>
    </row>
    <row r="212" spans="1:4" ht="15.75" customHeight="1" x14ac:dyDescent="0.25">
      <c r="A212" s="2" t="s">
        <v>720</v>
      </c>
      <c r="B212" s="2" t="s">
        <v>721</v>
      </c>
      <c r="C212" s="2" t="s">
        <v>3435</v>
      </c>
      <c r="D212" s="2" t="s">
        <v>3173</v>
      </c>
    </row>
    <row r="213" spans="1:4" ht="15.75" customHeight="1" x14ac:dyDescent="0.25">
      <c r="A213" s="2" t="s">
        <v>723</v>
      </c>
      <c r="B213" s="2" t="s">
        <v>724</v>
      </c>
      <c r="C213" s="2" t="s">
        <v>3436</v>
      </c>
      <c r="D213" s="2" t="s">
        <v>3158</v>
      </c>
    </row>
    <row r="214" spans="1:4" ht="15.75" customHeight="1" x14ac:dyDescent="0.25">
      <c r="A214" s="2" t="s">
        <v>726</v>
      </c>
      <c r="B214" s="2" t="s">
        <v>728</v>
      </c>
      <c r="C214" s="2" t="s">
        <v>3437</v>
      </c>
      <c r="D214" s="2" t="s">
        <v>3438</v>
      </c>
    </row>
    <row r="215" spans="1:4" ht="15.75" customHeight="1" x14ac:dyDescent="0.25">
      <c r="A215" s="2" t="s">
        <v>730</v>
      </c>
      <c r="B215" s="2" t="s">
        <v>731</v>
      </c>
      <c r="C215" s="2" t="s">
        <v>3439</v>
      </c>
      <c r="D215" s="2" t="s">
        <v>3297</v>
      </c>
    </row>
    <row r="216" spans="1:4" ht="15.75" customHeight="1" x14ac:dyDescent="0.25">
      <c r="A216" s="2" t="s">
        <v>730</v>
      </c>
      <c r="B216" s="2" t="s">
        <v>733</v>
      </c>
      <c r="C216" s="2" t="s">
        <v>3439</v>
      </c>
      <c r="D216" s="2" t="s">
        <v>3297</v>
      </c>
    </row>
    <row r="217" spans="1:4" ht="15.75" customHeight="1" x14ac:dyDescent="0.25">
      <c r="A217" s="2" t="s">
        <v>734</v>
      </c>
      <c r="B217" s="2" t="s">
        <v>736</v>
      </c>
      <c r="C217" s="2" t="s">
        <v>3440</v>
      </c>
      <c r="D217" s="2" t="s">
        <v>3441</v>
      </c>
    </row>
    <row r="218" spans="1:4" ht="15.75" customHeight="1" x14ac:dyDescent="0.25">
      <c r="A218" s="2" t="s">
        <v>738</v>
      </c>
      <c r="B218" s="2" t="s">
        <v>740</v>
      </c>
      <c r="C218" s="2" t="s">
        <v>3442</v>
      </c>
      <c r="D218" s="2" t="s">
        <v>739</v>
      </c>
    </row>
    <row r="219" spans="1:4" ht="15.75" customHeight="1" x14ac:dyDescent="0.25">
      <c r="A219" s="2" t="s">
        <v>742</v>
      </c>
      <c r="B219" s="2" t="s">
        <v>744</v>
      </c>
      <c r="C219" s="2" t="s">
        <v>3443</v>
      </c>
      <c r="D219" s="2" t="s">
        <v>3444</v>
      </c>
    </row>
    <row r="220" spans="1:4" ht="15.75" customHeight="1" x14ac:dyDescent="0.25">
      <c r="A220" s="2" t="s">
        <v>746</v>
      </c>
      <c r="B220" s="2" t="s">
        <v>748</v>
      </c>
      <c r="C220" s="2" t="s">
        <v>3445</v>
      </c>
      <c r="D220" s="2" t="s">
        <v>3446</v>
      </c>
    </row>
    <row r="221" spans="1:4" ht="15.75" customHeight="1" x14ac:dyDescent="0.25">
      <c r="A221" s="2" t="s">
        <v>750</v>
      </c>
      <c r="B221" s="2" t="s">
        <v>752</v>
      </c>
      <c r="C221" s="2" t="s">
        <v>3447</v>
      </c>
      <c r="D221" s="2" t="s">
        <v>3448</v>
      </c>
    </row>
    <row r="222" spans="1:4" ht="15.75" customHeight="1" x14ac:dyDescent="0.25">
      <c r="A222" s="2" t="s">
        <v>754</v>
      </c>
      <c r="B222" s="2" t="s">
        <v>756</v>
      </c>
      <c r="C222" s="2" t="s">
        <v>3449</v>
      </c>
      <c r="D222" s="2" t="s">
        <v>3450</v>
      </c>
    </row>
    <row r="223" spans="1:4" ht="15.75" customHeight="1" x14ac:dyDescent="0.25">
      <c r="A223" s="2" t="s">
        <v>758</v>
      </c>
      <c r="B223" s="2" t="s">
        <v>760</v>
      </c>
      <c r="C223" s="2" t="s">
        <v>3451</v>
      </c>
      <c r="D223" s="2" t="s">
        <v>3452</v>
      </c>
    </row>
    <row r="224" spans="1:4" ht="15.75" customHeight="1" x14ac:dyDescent="0.25">
      <c r="A224" s="2" t="s">
        <v>762</v>
      </c>
      <c r="B224" s="2" t="s">
        <v>764</v>
      </c>
      <c r="C224" s="2" t="s">
        <v>3453</v>
      </c>
      <c r="D224" s="2" t="s">
        <v>3454</v>
      </c>
    </row>
    <row r="225" spans="1:4" ht="15.75" customHeight="1" x14ac:dyDescent="0.25">
      <c r="A225" s="2" t="s">
        <v>766</v>
      </c>
      <c r="B225" s="2" t="s">
        <v>768</v>
      </c>
      <c r="C225" s="2" t="s">
        <v>3455</v>
      </c>
      <c r="D225" s="2" t="s">
        <v>3456</v>
      </c>
    </row>
    <row r="226" spans="1:4" ht="15.75" customHeight="1" x14ac:dyDescent="0.25">
      <c r="A226" s="2" t="s">
        <v>770</v>
      </c>
      <c r="B226" s="2" t="s">
        <v>772</v>
      </c>
      <c r="C226" s="2" t="s">
        <v>3457</v>
      </c>
      <c r="D226" s="2" t="s">
        <v>3458</v>
      </c>
    </row>
    <row r="227" spans="1:4" ht="15.75" customHeight="1" x14ac:dyDescent="0.25">
      <c r="A227" s="2" t="s">
        <v>774</v>
      </c>
      <c r="B227" s="2" t="s">
        <v>775</v>
      </c>
      <c r="C227" s="2" t="s">
        <v>3459</v>
      </c>
      <c r="D227" s="2" t="s">
        <v>3297</v>
      </c>
    </row>
    <row r="228" spans="1:4" ht="15.75" customHeight="1" x14ac:dyDescent="0.25">
      <c r="A228" s="2" t="s">
        <v>774</v>
      </c>
      <c r="B228" s="2" t="s">
        <v>777</v>
      </c>
      <c r="C228" s="2" t="s">
        <v>3459</v>
      </c>
      <c r="D228" s="2" t="s">
        <v>3297</v>
      </c>
    </row>
    <row r="229" spans="1:4" ht="15.75" customHeight="1" x14ac:dyDescent="0.25">
      <c r="A229" s="2" t="s">
        <v>778</v>
      </c>
      <c r="B229" s="2" t="s">
        <v>780</v>
      </c>
      <c r="C229" s="2" t="s">
        <v>3460</v>
      </c>
      <c r="D229" s="2" t="s">
        <v>3461</v>
      </c>
    </row>
    <row r="230" spans="1:4" ht="15.75" customHeight="1" x14ac:dyDescent="0.25">
      <c r="A230" s="2" t="s">
        <v>782</v>
      </c>
      <c r="B230" s="2" t="s">
        <v>784</v>
      </c>
      <c r="C230" s="2" t="s">
        <v>3462</v>
      </c>
      <c r="D230" s="2" t="s">
        <v>3463</v>
      </c>
    </row>
    <row r="231" spans="1:4" ht="15.75" customHeight="1" x14ac:dyDescent="0.25">
      <c r="A231" s="2" t="s">
        <v>786</v>
      </c>
      <c r="B231" s="2" t="s">
        <v>788</v>
      </c>
      <c r="C231" s="2" t="s">
        <v>3464</v>
      </c>
      <c r="D231" s="2" t="s">
        <v>3465</v>
      </c>
    </row>
    <row r="232" spans="1:4" ht="15.75" customHeight="1" x14ac:dyDescent="0.25">
      <c r="A232" s="2" t="s">
        <v>786</v>
      </c>
      <c r="B232" s="2" t="s">
        <v>790</v>
      </c>
      <c r="C232" s="2" t="s">
        <v>3464</v>
      </c>
      <c r="D232" s="2" t="s">
        <v>3465</v>
      </c>
    </row>
    <row r="233" spans="1:4" ht="15.75" customHeight="1" x14ac:dyDescent="0.25">
      <c r="A233" s="2" t="s">
        <v>791</v>
      </c>
      <c r="B233" s="2" t="s">
        <v>793</v>
      </c>
      <c r="C233" s="2" t="s">
        <v>3466</v>
      </c>
      <c r="D233" s="2" t="s">
        <v>3467</v>
      </c>
    </row>
    <row r="234" spans="1:4" ht="15.75" customHeight="1" x14ac:dyDescent="0.25">
      <c r="A234" s="2" t="s">
        <v>795</v>
      </c>
      <c r="B234" s="2" t="s">
        <v>797</v>
      </c>
      <c r="C234" s="2" t="s">
        <v>3468</v>
      </c>
      <c r="D234" s="2" t="s">
        <v>3469</v>
      </c>
    </row>
    <row r="235" spans="1:4" ht="15.75" customHeight="1" x14ac:dyDescent="0.25">
      <c r="A235" s="2" t="s">
        <v>799</v>
      </c>
      <c r="B235" s="2" t="s">
        <v>801</v>
      </c>
      <c r="C235" s="2" t="s">
        <v>3470</v>
      </c>
      <c r="D235" s="2" t="s">
        <v>3471</v>
      </c>
    </row>
    <row r="236" spans="1:4" ht="15.75" customHeight="1" x14ac:dyDescent="0.25">
      <c r="A236" s="2" t="s">
        <v>803</v>
      </c>
      <c r="B236" s="2" t="s">
        <v>804</v>
      </c>
      <c r="C236" s="2" t="s">
        <v>3472</v>
      </c>
      <c r="D236" s="2" t="s">
        <v>3471</v>
      </c>
    </row>
    <row r="237" spans="1:4" ht="15.75" customHeight="1" x14ac:dyDescent="0.25">
      <c r="A237" s="2" t="s">
        <v>806</v>
      </c>
      <c r="B237" s="2" t="s">
        <v>808</v>
      </c>
      <c r="C237" s="2" t="s">
        <v>3473</v>
      </c>
      <c r="D237" s="2" t="s">
        <v>807</v>
      </c>
    </row>
    <row r="238" spans="1:4" ht="15.75" customHeight="1" x14ac:dyDescent="0.25">
      <c r="A238" s="2" t="s">
        <v>810</v>
      </c>
      <c r="B238" s="2" t="s">
        <v>812</v>
      </c>
      <c r="C238" s="2" t="s">
        <v>3474</v>
      </c>
      <c r="D238" s="2" t="s">
        <v>3475</v>
      </c>
    </row>
    <row r="239" spans="1:4" ht="15.75" customHeight="1" x14ac:dyDescent="0.25">
      <c r="A239" s="2" t="s">
        <v>814</v>
      </c>
      <c r="B239" s="2" t="s">
        <v>816</v>
      </c>
      <c r="C239" s="2" t="s">
        <v>3476</v>
      </c>
      <c r="D239" s="2" t="s">
        <v>3477</v>
      </c>
    </row>
    <row r="240" spans="1:4" ht="15.75" customHeight="1" x14ac:dyDescent="0.25">
      <c r="A240" s="2" t="s">
        <v>818</v>
      </c>
      <c r="B240" s="2" t="s">
        <v>820</v>
      </c>
      <c r="C240" s="2" t="s">
        <v>3478</v>
      </c>
      <c r="D240" s="2" t="s">
        <v>3479</v>
      </c>
    </row>
    <row r="241" spans="1:4" ht="15.75" customHeight="1" x14ac:dyDescent="0.25">
      <c r="A241" s="2" t="s">
        <v>822</v>
      </c>
      <c r="B241" s="2" t="s">
        <v>824</v>
      </c>
      <c r="C241" s="2" t="s">
        <v>3480</v>
      </c>
      <c r="D241" s="2" t="s">
        <v>3481</v>
      </c>
    </row>
    <row r="242" spans="1:4" ht="15.75" customHeight="1" x14ac:dyDescent="0.25">
      <c r="A242" s="2" t="s">
        <v>826</v>
      </c>
      <c r="B242" s="2" t="s">
        <v>828</v>
      </c>
      <c r="C242" s="2" t="s">
        <v>3482</v>
      </c>
      <c r="D242" s="2" t="s">
        <v>3483</v>
      </c>
    </row>
    <row r="243" spans="1:4" ht="15.75" customHeight="1" x14ac:dyDescent="0.25">
      <c r="A243" s="2" t="s">
        <v>830</v>
      </c>
      <c r="B243" s="2" t="s">
        <v>832</v>
      </c>
      <c r="C243" s="2" t="s">
        <v>3484</v>
      </c>
      <c r="D243" s="2" t="s">
        <v>3485</v>
      </c>
    </row>
    <row r="244" spans="1:4" ht="15.75" customHeight="1" x14ac:dyDescent="0.25">
      <c r="A244" s="2" t="s">
        <v>834</v>
      </c>
      <c r="B244" s="2" t="s">
        <v>836</v>
      </c>
      <c r="C244" s="2" t="s">
        <v>3486</v>
      </c>
      <c r="D244" s="2" t="s">
        <v>3487</v>
      </c>
    </row>
    <row r="245" spans="1:4" ht="15.75" customHeight="1" x14ac:dyDescent="0.25">
      <c r="A245" s="2" t="s">
        <v>838</v>
      </c>
      <c r="B245" s="2" t="s">
        <v>840</v>
      </c>
      <c r="C245" s="2" t="s">
        <v>3488</v>
      </c>
      <c r="D245" s="2" t="s">
        <v>3489</v>
      </c>
    </row>
    <row r="246" spans="1:4" ht="15.75" customHeight="1" x14ac:dyDescent="0.25">
      <c r="A246" s="2" t="s">
        <v>842</v>
      </c>
      <c r="B246" s="2" t="s">
        <v>844</v>
      </c>
      <c r="C246" s="2" t="s">
        <v>3490</v>
      </c>
      <c r="D246" s="2" t="s">
        <v>3491</v>
      </c>
    </row>
    <row r="247" spans="1:4" ht="15.75" customHeight="1" x14ac:dyDescent="0.25">
      <c r="A247" s="2" t="s">
        <v>846</v>
      </c>
      <c r="B247" s="2" t="s">
        <v>848</v>
      </c>
      <c r="C247" s="2" t="s">
        <v>3492</v>
      </c>
      <c r="D247" s="2" t="s">
        <v>3493</v>
      </c>
    </row>
    <row r="248" spans="1:4" ht="15.75" customHeight="1" x14ac:dyDescent="0.25">
      <c r="A248" s="2" t="s">
        <v>850</v>
      </c>
      <c r="B248" s="2" t="s">
        <v>852</v>
      </c>
      <c r="C248" s="2" t="s">
        <v>3494</v>
      </c>
      <c r="D248" s="2" t="s">
        <v>3495</v>
      </c>
    </row>
    <row r="249" spans="1:4" ht="15.75" customHeight="1" x14ac:dyDescent="0.25">
      <c r="A249" s="2" t="s">
        <v>854</v>
      </c>
      <c r="B249" s="2" t="s">
        <v>856</v>
      </c>
      <c r="C249" s="2" t="s">
        <v>3496</v>
      </c>
      <c r="D249" s="2" t="s">
        <v>3497</v>
      </c>
    </row>
    <row r="250" spans="1:4" ht="15.75" customHeight="1" x14ac:dyDescent="0.25">
      <c r="A250" s="2" t="s">
        <v>858</v>
      </c>
      <c r="B250" s="2" t="s">
        <v>860</v>
      </c>
      <c r="C250" s="2" t="s">
        <v>3498</v>
      </c>
      <c r="D250" s="2" t="s">
        <v>3499</v>
      </c>
    </row>
    <row r="251" spans="1:4" ht="15.75" customHeight="1" x14ac:dyDescent="0.25">
      <c r="A251" s="2" t="s">
        <v>862</v>
      </c>
      <c r="B251" s="2" t="s">
        <v>863</v>
      </c>
      <c r="C251" s="2" t="s">
        <v>3500</v>
      </c>
      <c r="D251" s="2" t="s">
        <v>3135</v>
      </c>
    </row>
    <row r="252" spans="1:4" ht="15.75" customHeight="1" x14ac:dyDescent="0.25">
      <c r="A252" s="2" t="s">
        <v>862</v>
      </c>
      <c r="B252" s="2" t="s">
        <v>865</v>
      </c>
      <c r="C252" s="2" t="s">
        <v>3500</v>
      </c>
      <c r="D252" s="2" t="s">
        <v>3135</v>
      </c>
    </row>
    <row r="253" spans="1:4" ht="15.75" customHeight="1" x14ac:dyDescent="0.25">
      <c r="A253" s="2" t="s">
        <v>866</v>
      </c>
      <c r="B253" s="2" t="s">
        <v>867</v>
      </c>
      <c r="C253" s="2" t="s">
        <v>3501</v>
      </c>
      <c r="D253" s="2" t="s">
        <v>3479</v>
      </c>
    </row>
    <row r="254" spans="1:4" ht="15.75" customHeight="1" x14ac:dyDescent="0.25">
      <c r="A254" s="2" t="s">
        <v>869</v>
      </c>
      <c r="B254" s="2" t="s">
        <v>871</v>
      </c>
      <c r="C254" s="2" t="s">
        <v>3502</v>
      </c>
      <c r="D254" s="2" t="s">
        <v>3503</v>
      </c>
    </row>
    <row r="255" spans="1:4" ht="15.75" customHeight="1" x14ac:dyDescent="0.25">
      <c r="A255" s="2" t="s">
        <v>873</v>
      </c>
      <c r="B255" s="2" t="s">
        <v>875</v>
      </c>
      <c r="C255" s="2" t="s">
        <v>3504</v>
      </c>
      <c r="D255" s="2" t="s">
        <v>3505</v>
      </c>
    </row>
    <row r="256" spans="1:4" ht="15.75" customHeight="1" x14ac:dyDescent="0.25">
      <c r="A256" s="2" t="s">
        <v>877</v>
      </c>
      <c r="B256" s="2" t="s">
        <v>878</v>
      </c>
      <c r="C256" s="2" t="s">
        <v>3506</v>
      </c>
      <c r="D256" s="2" t="s">
        <v>3312</v>
      </c>
    </row>
    <row r="257" spans="1:4" ht="15.75" customHeight="1" x14ac:dyDescent="0.25">
      <c r="A257" s="2" t="s">
        <v>877</v>
      </c>
      <c r="B257" s="2" t="s">
        <v>880</v>
      </c>
      <c r="C257" s="2" t="s">
        <v>3506</v>
      </c>
      <c r="D257" s="2" t="s">
        <v>3312</v>
      </c>
    </row>
    <row r="258" spans="1:4" ht="15.75" customHeight="1" x14ac:dyDescent="0.25">
      <c r="A258" s="2" t="s">
        <v>881</v>
      </c>
      <c r="B258" s="2" t="s">
        <v>883</v>
      </c>
      <c r="C258" s="2" t="s">
        <v>3507</v>
      </c>
      <c r="D258" s="2" t="s">
        <v>882</v>
      </c>
    </row>
    <row r="259" spans="1:4" ht="15.75" customHeight="1" x14ac:dyDescent="0.25">
      <c r="A259" s="2" t="s">
        <v>881</v>
      </c>
      <c r="B259" s="2" t="s">
        <v>885</v>
      </c>
      <c r="C259" s="2" t="s">
        <v>3507</v>
      </c>
      <c r="D259" s="2" t="s">
        <v>882</v>
      </c>
    </row>
    <row r="260" spans="1:4" ht="15.75" customHeight="1" x14ac:dyDescent="0.25">
      <c r="A260" s="2" t="s">
        <v>886</v>
      </c>
      <c r="B260" s="2" t="s">
        <v>888</v>
      </c>
      <c r="C260" s="2" t="s">
        <v>3508</v>
      </c>
      <c r="D260" s="2" t="s">
        <v>3509</v>
      </c>
    </row>
    <row r="261" spans="1:4" ht="15.75" customHeight="1" x14ac:dyDescent="0.25">
      <c r="A261" s="2" t="s">
        <v>890</v>
      </c>
      <c r="B261" s="2" t="s">
        <v>891</v>
      </c>
      <c r="C261" s="2" t="s">
        <v>3510</v>
      </c>
      <c r="D261" s="2" t="s">
        <v>3509</v>
      </c>
    </row>
    <row r="262" spans="1:4" ht="15.75" customHeight="1" x14ac:dyDescent="0.25">
      <c r="A262" s="2" t="s">
        <v>893</v>
      </c>
      <c r="B262" s="2" t="s">
        <v>894</v>
      </c>
      <c r="C262" s="2" t="s">
        <v>3511</v>
      </c>
      <c r="D262" s="2" t="s">
        <v>3509</v>
      </c>
    </row>
    <row r="263" spans="1:4" ht="15.75" customHeight="1" x14ac:dyDescent="0.25">
      <c r="A263" s="2" t="s">
        <v>893</v>
      </c>
      <c r="B263" s="2" t="s">
        <v>896</v>
      </c>
      <c r="C263" s="2" t="s">
        <v>3511</v>
      </c>
      <c r="D263" s="2" t="s">
        <v>3509</v>
      </c>
    </row>
    <row r="264" spans="1:4" ht="15.75" customHeight="1" x14ac:dyDescent="0.25">
      <c r="A264" s="2" t="s">
        <v>897</v>
      </c>
      <c r="B264" s="2" t="s">
        <v>899</v>
      </c>
      <c r="C264" s="2" t="s">
        <v>3512</v>
      </c>
      <c r="D264" s="2" t="s">
        <v>3513</v>
      </c>
    </row>
    <row r="265" spans="1:4" ht="15.75" customHeight="1" x14ac:dyDescent="0.25">
      <c r="A265" s="2" t="s">
        <v>901</v>
      </c>
      <c r="B265" s="2" t="s">
        <v>902</v>
      </c>
      <c r="C265" s="2" t="s">
        <v>3514</v>
      </c>
      <c r="D265" s="2" t="s">
        <v>3513</v>
      </c>
    </row>
    <row r="266" spans="1:4" ht="15.75" customHeight="1" x14ac:dyDescent="0.25">
      <c r="A266" s="2" t="s">
        <v>901</v>
      </c>
      <c r="B266" s="2" t="s">
        <v>904</v>
      </c>
      <c r="C266" s="2" t="s">
        <v>3514</v>
      </c>
      <c r="D266" s="2" t="s">
        <v>3513</v>
      </c>
    </row>
    <row r="267" spans="1:4" ht="15.75" customHeight="1" x14ac:dyDescent="0.25">
      <c r="A267" s="2" t="s">
        <v>905</v>
      </c>
      <c r="B267" s="2" t="s">
        <v>906</v>
      </c>
      <c r="C267" s="2" t="s">
        <v>3515</v>
      </c>
      <c r="D267" s="2" t="s">
        <v>166</v>
      </c>
    </row>
    <row r="268" spans="1:4" ht="15.75" customHeight="1" x14ac:dyDescent="0.25">
      <c r="A268" s="2" t="s">
        <v>908</v>
      </c>
      <c r="B268" s="2" t="s">
        <v>909</v>
      </c>
      <c r="C268" s="2" t="s">
        <v>3516</v>
      </c>
      <c r="D268" s="2" t="s">
        <v>65</v>
      </c>
    </row>
    <row r="269" spans="1:4" ht="15.75" customHeight="1" x14ac:dyDescent="0.25">
      <c r="A269" s="2" t="s">
        <v>911</v>
      </c>
      <c r="B269" s="2" t="s">
        <v>913</v>
      </c>
      <c r="C269" s="2" t="s">
        <v>3517</v>
      </c>
      <c r="D269" s="2" t="s">
        <v>3518</v>
      </c>
    </row>
    <row r="270" spans="1:4" ht="15.75" customHeight="1" x14ac:dyDescent="0.25">
      <c r="A270" s="2" t="s">
        <v>911</v>
      </c>
      <c r="B270" s="2" t="s">
        <v>915</v>
      </c>
      <c r="C270" s="2" t="s">
        <v>3517</v>
      </c>
      <c r="D270" s="2" t="s">
        <v>3518</v>
      </c>
    </row>
    <row r="271" spans="1:4" ht="15.75" customHeight="1" x14ac:dyDescent="0.25">
      <c r="A271" s="2" t="s">
        <v>916</v>
      </c>
      <c r="B271" s="2" t="s">
        <v>918</v>
      </c>
      <c r="C271" s="2" t="s">
        <v>3519</v>
      </c>
      <c r="D271" s="2" t="s">
        <v>3520</v>
      </c>
    </row>
    <row r="272" spans="1:4" ht="15.75" customHeight="1" x14ac:dyDescent="0.25">
      <c r="A272" s="2" t="s">
        <v>920</v>
      </c>
      <c r="B272" s="2" t="s">
        <v>921</v>
      </c>
      <c r="C272" s="2" t="s">
        <v>3521</v>
      </c>
      <c r="D272" s="2" t="s">
        <v>3520</v>
      </c>
    </row>
    <row r="273" spans="1:4" ht="15.75" customHeight="1" x14ac:dyDescent="0.25">
      <c r="A273" s="2" t="s">
        <v>923</v>
      </c>
      <c r="B273" s="2" t="s">
        <v>925</v>
      </c>
      <c r="C273" s="2" t="s">
        <v>3522</v>
      </c>
      <c r="D273" s="2" t="s">
        <v>3523</v>
      </c>
    </row>
    <row r="274" spans="1:4" ht="15.75" customHeight="1" x14ac:dyDescent="0.25">
      <c r="A274" s="2" t="s">
        <v>927</v>
      </c>
      <c r="B274" s="2" t="s">
        <v>928</v>
      </c>
      <c r="C274" s="2" t="s">
        <v>3524</v>
      </c>
      <c r="D274" s="2" t="s">
        <v>3523</v>
      </c>
    </row>
    <row r="275" spans="1:4" ht="15.75" customHeight="1" x14ac:dyDescent="0.25">
      <c r="A275" s="2" t="s">
        <v>930</v>
      </c>
      <c r="B275" s="2" t="s">
        <v>932</v>
      </c>
      <c r="C275" s="2" t="s">
        <v>3525</v>
      </c>
      <c r="D275" s="2" t="s">
        <v>3526</v>
      </c>
    </row>
    <row r="276" spans="1:4" ht="15.75" customHeight="1" x14ac:dyDescent="0.25">
      <c r="A276" s="2" t="s">
        <v>934</v>
      </c>
      <c r="B276" s="2" t="s">
        <v>936</v>
      </c>
      <c r="C276" s="2" t="s">
        <v>3527</v>
      </c>
      <c r="D276" s="2" t="s">
        <v>3528</v>
      </c>
    </row>
    <row r="277" spans="1:4" ht="15.75" customHeight="1" x14ac:dyDescent="0.25">
      <c r="A277" s="2" t="s">
        <v>938</v>
      </c>
      <c r="B277" s="2" t="s">
        <v>940</v>
      </c>
      <c r="C277" s="2" t="s">
        <v>3529</v>
      </c>
      <c r="D277" s="2" t="s">
        <v>3530</v>
      </c>
    </row>
    <row r="278" spans="1:4" ht="15.75" customHeight="1" x14ac:dyDescent="0.25">
      <c r="A278" s="2" t="s">
        <v>942</v>
      </c>
      <c r="B278" s="2" t="s">
        <v>944</v>
      </c>
      <c r="C278" s="2" t="s">
        <v>3531</v>
      </c>
      <c r="D278" s="2" t="s">
        <v>3532</v>
      </c>
    </row>
    <row r="279" spans="1:4" ht="15.75" customHeight="1" x14ac:dyDescent="0.25">
      <c r="A279" s="2" t="s">
        <v>946</v>
      </c>
      <c r="B279" s="2" t="s">
        <v>948</v>
      </c>
      <c r="C279" s="2" t="s">
        <v>3533</v>
      </c>
      <c r="D279" s="2" t="s">
        <v>3534</v>
      </c>
    </row>
    <row r="280" spans="1:4" ht="15.75" customHeight="1" x14ac:dyDescent="0.25">
      <c r="A280" s="2" t="s">
        <v>946</v>
      </c>
      <c r="B280" s="2" t="s">
        <v>950</v>
      </c>
      <c r="C280" s="2" t="s">
        <v>3533</v>
      </c>
      <c r="D280" s="2" t="s">
        <v>3534</v>
      </c>
    </row>
    <row r="281" spans="1:4" ht="15.75" customHeight="1" x14ac:dyDescent="0.25">
      <c r="A281" s="2" t="s">
        <v>951</v>
      </c>
      <c r="B281" s="2" t="s">
        <v>952</v>
      </c>
      <c r="C281" s="2" t="s">
        <v>3535</v>
      </c>
      <c r="D281" s="2" t="s">
        <v>3479</v>
      </c>
    </row>
    <row r="282" spans="1:4" ht="15.75" customHeight="1" x14ac:dyDescent="0.25">
      <c r="A282" s="2" t="s">
        <v>954</v>
      </c>
      <c r="B282" s="2" t="s">
        <v>956</v>
      </c>
      <c r="C282" s="2" t="s">
        <v>3536</v>
      </c>
      <c r="D282" s="2" t="s">
        <v>3537</v>
      </c>
    </row>
    <row r="283" spans="1:4" ht="15.75" customHeight="1" x14ac:dyDescent="0.25">
      <c r="A283" s="2" t="s">
        <v>958</v>
      </c>
      <c r="B283" s="2" t="s">
        <v>960</v>
      </c>
      <c r="C283" s="2" t="s">
        <v>3538</v>
      </c>
      <c r="D283" s="2" t="s">
        <v>3539</v>
      </c>
    </row>
    <row r="284" spans="1:4" ht="15.75" customHeight="1" x14ac:dyDescent="0.25">
      <c r="A284" s="2" t="s">
        <v>962</v>
      </c>
      <c r="B284" s="2" t="s">
        <v>964</v>
      </c>
      <c r="C284" s="2" t="s">
        <v>3540</v>
      </c>
      <c r="D284" s="2" t="s">
        <v>3541</v>
      </c>
    </row>
    <row r="285" spans="1:4" ht="15.75" customHeight="1" x14ac:dyDescent="0.25">
      <c r="A285" s="2" t="s">
        <v>966</v>
      </c>
      <c r="B285" s="2" t="s">
        <v>968</v>
      </c>
      <c r="C285" s="2" t="s">
        <v>3542</v>
      </c>
      <c r="D285" s="2" t="s">
        <v>3543</v>
      </c>
    </row>
    <row r="286" spans="1:4" ht="15.75" customHeight="1" x14ac:dyDescent="0.25">
      <c r="A286" s="2" t="s">
        <v>966</v>
      </c>
      <c r="B286" s="2" t="s">
        <v>970</v>
      </c>
      <c r="C286" s="2" t="s">
        <v>3542</v>
      </c>
      <c r="D286" s="2" t="s">
        <v>3543</v>
      </c>
    </row>
    <row r="287" spans="1:4" ht="15.75" customHeight="1" x14ac:dyDescent="0.25">
      <c r="A287" s="2" t="s">
        <v>971</v>
      </c>
      <c r="B287" s="2" t="s">
        <v>973</v>
      </c>
      <c r="C287" s="2" t="s">
        <v>3544</v>
      </c>
      <c r="D287" s="2" t="s">
        <v>3545</v>
      </c>
    </row>
    <row r="288" spans="1:4" ht="15.75" customHeight="1" x14ac:dyDescent="0.25">
      <c r="A288" s="2" t="s">
        <v>975</v>
      </c>
      <c r="B288" s="2" t="s">
        <v>977</v>
      </c>
      <c r="C288" s="2" t="s">
        <v>3546</v>
      </c>
      <c r="D288" s="2" t="s">
        <v>3547</v>
      </c>
    </row>
    <row r="289" spans="1:4" ht="15.75" customHeight="1" x14ac:dyDescent="0.25">
      <c r="A289" s="2" t="s">
        <v>979</v>
      </c>
      <c r="B289" s="2" t="s">
        <v>981</v>
      </c>
      <c r="C289" s="2" t="s">
        <v>3548</v>
      </c>
      <c r="D289" s="2" t="s">
        <v>3549</v>
      </c>
    </row>
    <row r="290" spans="1:4" ht="15.75" customHeight="1" x14ac:dyDescent="0.25">
      <c r="A290" s="2" t="s">
        <v>983</v>
      </c>
      <c r="B290" s="2" t="s">
        <v>985</v>
      </c>
      <c r="C290" s="2" t="s">
        <v>3550</v>
      </c>
      <c r="D290" s="2" t="s">
        <v>3551</v>
      </c>
    </row>
    <row r="291" spans="1:4" ht="15.75" customHeight="1" x14ac:dyDescent="0.25">
      <c r="A291" s="2" t="s">
        <v>987</v>
      </c>
      <c r="B291" s="2" t="s">
        <v>989</v>
      </c>
      <c r="C291" s="2" t="s">
        <v>3552</v>
      </c>
      <c r="D291" s="2" t="s">
        <v>3553</v>
      </c>
    </row>
    <row r="292" spans="1:4" ht="15.75" customHeight="1" x14ac:dyDescent="0.25">
      <c r="A292" s="2" t="s">
        <v>991</v>
      </c>
      <c r="B292" s="2" t="s">
        <v>993</v>
      </c>
      <c r="C292" s="2" t="s">
        <v>3554</v>
      </c>
      <c r="D292" s="2" t="s">
        <v>3555</v>
      </c>
    </row>
    <row r="293" spans="1:4" ht="15.75" customHeight="1" x14ac:dyDescent="0.25">
      <c r="A293" s="2" t="s">
        <v>995</v>
      </c>
      <c r="B293" s="2" t="s">
        <v>996</v>
      </c>
      <c r="C293" s="2" t="s">
        <v>3556</v>
      </c>
      <c r="D293" s="2" t="s">
        <v>3479</v>
      </c>
    </row>
    <row r="294" spans="1:4" ht="15.75" customHeight="1" x14ac:dyDescent="0.25">
      <c r="A294" s="2" t="s">
        <v>998</v>
      </c>
      <c r="B294" s="2" t="s">
        <v>999</v>
      </c>
      <c r="C294" s="2" t="s">
        <v>3557</v>
      </c>
      <c r="D294" s="2" t="s">
        <v>3278</v>
      </c>
    </row>
    <row r="295" spans="1:4" ht="15.75" customHeight="1" x14ac:dyDescent="0.25">
      <c r="A295" s="2" t="s">
        <v>1001</v>
      </c>
      <c r="B295" s="2" t="s">
        <v>1003</v>
      </c>
      <c r="C295" s="2" t="s">
        <v>3558</v>
      </c>
      <c r="D295" s="2" t="s">
        <v>1002</v>
      </c>
    </row>
    <row r="296" spans="1:4" ht="15.75" customHeight="1" x14ac:dyDescent="0.25">
      <c r="A296" s="2" t="s">
        <v>1005</v>
      </c>
      <c r="B296" s="2" t="s">
        <v>1007</v>
      </c>
      <c r="C296" s="2" t="s">
        <v>3559</v>
      </c>
      <c r="D296" s="2" t="s">
        <v>1006</v>
      </c>
    </row>
    <row r="297" spans="1:4" ht="15.75" customHeight="1" x14ac:dyDescent="0.25">
      <c r="A297" s="2" t="s">
        <v>1009</v>
      </c>
      <c r="B297" s="2" t="s">
        <v>1011</v>
      </c>
      <c r="C297" s="2" t="s">
        <v>3560</v>
      </c>
      <c r="D297" s="2" t="s">
        <v>3561</v>
      </c>
    </row>
    <row r="298" spans="1:4" ht="15.75" customHeight="1" x14ac:dyDescent="0.25">
      <c r="A298" s="2" t="s">
        <v>1013</v>
      </c>
      <c r="B298" s="2" t="s">
        <v>1015</v>
      </c>
      <c r="C298" s="2" t="s">
        <v>3562</v>
      </c>
      <c r="D298" s="2" t="s">
        <v>3563</v>
      </c>
    </row>
    <row r="299" spans="1:4" ht="15.75" customHeight="1" x14ac:dyDescent="0.25">
      <c r="A299" s="2" t="s">
        <v>1013</v>
      </c>
      <c r="B299" s="2" t="s">
        <v>1017</v>
      </c>
      <c r="C299" s="2" t="s">
        <v>3562</v>
      </c>
      <c r="D299" s="2" t="s">
        <v>3563</v>
      </c>
    </row>
    <row r="300" spans="1:4" ht="15.75" customHeight="1" x14ac:dyDescent="0.25">
      <c r="A300" s="2" t="s">
        <v>1018</v>
      </c>
      <c r="B300" s="2" t="s">
        <v>1020</v>
      </c>
      <c r="C300" s="2" t="s">
        <v>3564</v>
      </c>
      <c r="D300" s="2" t="s">
        <v>3565</v>
      </c>
    </row>
    <row r="301" spans="1:4" ht="15.75" customHeight="1" x14ac:dyDescent="0.25">
      <c r="A301" s="2" t="s">
        <v>1022</v>
      </c>
      <c r="B301" s="2" t="s">
        <v>1024</v>
      </c>
      <c r="C301" s="2" t="s">
        <v>3566</v>
      </c>
      <c r="D301" s="2" t="s">
        <v>1023</v>
      </c>
    </row>
    <row r="302" spans="1:4" ht="15.75" customHeight="1" x14ac:dyDescent="0.25">
      <c r="A302" s="2" t="s">
        <v>1026</v>
      </c>
      <c r="B302" s="2" t="s">
        <v>1028</v>
      </c>
      <c r="C302" s="2" t="s">
        <v>3567</v>
      </c>
      <c r="D302" s="2" t="s">
        <v>3568</v>
      </c>
    </row>
    <row r="303" spans="1:4" ht="15.75" customHeight="1" x14ac:dyDescent="0.25">
      <c r="A303" s="2" t="s">
        <v>1030</v>
      </c>
      <c r="B303" s="2" t="s">
        <v>1031</v>
      </c>
      <c r="C303" s="2" t="s">
        <v>3569</v>
      </c>
      <c r="D303" s="2" t="s">
        <v>3568</v>
      </c>
    </row>
    <row r="304" spans="1:4" ht="15.75" customHeight="1" x14ac:dyDescent="0.25">
      <c r="A304" s="2" t="s">
        <v>1033</v>
      </c>
      <c r="B304" s="2" t="s">
        <v>1035</v>
      </c>
      <c r="C304" s="2" t="s">
        <v>3570</v>
      </c>
      <c r="D304" s="2" t="s">
        <v>3571</v>
      </c>
    </row>
    <row r="305" spans="1:4" ht="15.75" customHeight="1" x14ac:dyDescent="0.25">
      <c r="A305" s="2" t="s">
        <v>1037</v>
      </c>
      <c r="B305" s="2" t="s">
        <v>1038</v>
      </c>
      <c r="C305" s="2" t="s">
        <v>3572</v>
      </c>
      <c r="D305" s="2" t="s">
        <v>65</v>
      </c>
    </row>
    <row r="306" spans="1:4" ht="15.75" customHeight="1" x14ac:dyDescent="0.25">
      <c r="A306" s="2" t="s">
        <v>1040</v>
      </c>
      <c r="B306" s="2" t="s">
        <v>1041</v>
      </c>
      <c r="C306" s="2" t="s">
        <v>3573</v>
      </c>
      <c r="D306" s="2" t="s">
        <v>3571</v>
      </c>
    </row>
    <row r="307" spans="1:4" ht="15.75" customHeight="1" x14ac:dyDescent="0.25">
      <c r="A307" s="2" t="s">
        <v>1043</v>
      </c>
      <c r="B307" s="2" t="s">
        <v>1045</v>
      </c>
      <c r="C307" s="2" t="s">
        <v>3574</v>
      </c>
      <c r="D307" s="2" t="s">
        <v>3575</v>
      </c>
    </row>
    <row r="308" spans="1:4" ht="15.75" customHeight="1" x14ac:dyDescent="0.25">
      <c r="A308" s="2" t="s">
        <v>1047</v>
      </c>
      <c r="B308" s="2" t="s">
        <v>1049</v>
      </c>
      <c r="C308" s="2" t="s">
        <v>3576</v>
      </c>
      <c r="D308" s="2" t="s">
        <v>3577</v>
      </c>
    </row>
    <row r="309" spans="1:4" ht="15.75" customHeight="1" x14ac:dyDescent="0.25">
      <c r="A309" s="2" t="s">
        <v>1051</v>
      </c>
      <c r="B309" s="2" t="s">
        <v>1053</v>
      </c>
      <c r="C309" s="2" t="s">
        <v>3578</v>
      </c>
      <c r="D309" s="2" t="s">
        <v>3579</v>
      </c>
    </row>
    <row r="310" spans="1:4" ht="15.75" customHeight="1" x14ac:dyDescent="0.25">
      <c r="A310" s="2" t="s">
        <v>1055</v>
      </c>
      <c r="B310" s="2" t="s">
        <v>1056</v>
      </c>
      <c r="C310" s="2" t="s">
        <v>3580</v>
      </c>
      <c r="D310" s="2" t="s">
        <v>3579</v>
      </c>
    </row>
    <row r="311" spans="1:4" ht="15.75" customHeight="1" x14ac:dyDescent="0.25">
      <c r="A311" s="2" t="s">
        <v>1058</v>
      </c>
      <c r="B311" s="2" t="s">
        <v>1060</v>
      </c>
      <c r="C311" s="2" t="s">
        <v>3581</v>
      </c>
      <c r="D311" s="2" t="s">
        <v>3582</v>
      </c>
    </row>
    <row r="312" spans="1:4" ht="15.75" customHeight="1" x14ac:dyDescent="0.25">
      <c r="A312" s="2" t="s">
        <v>1062</v>
      </c>
      <c r="B312" s="2" t="s">
        <v>1064</v>
      </c>
      <c r="C312" s="2" t="s">
        <v>3583</v>
      </c>
      <c r="D312" s="2" t="s">
        <v>3584</v>
      </c>
    </row>
    <row r="313" spans="1:4" ht="15.75" customHeight="1" x14ac:dyDescent="0.25">
      <c r="A313" s="2" t="s">
        <v>1066</v>
      </c>
      <c r="B313" s="2" t="s">
        <v>1068</v>
      </c>
      <c r="C313" s="2" t="s">
        <v>3585</v>
      </c>
      <c r="D313" s="2" t="s">
        <v>3586</v>
      </c>
    </row>
    <row r="314" spans="1:4" ht="15.75" customHeight="1" x14ac:dyDescent="0.25">
      <c r="A314" s="2" t="s">
        <v>1070</v>
      </c>
      <c r="B314" s="2" t="s">
        <v>1072</v>
      </c>
      <c r="C314" s="2" t="s">
        <v>3587</v>
      </c>
      <c r="D314" s="2" t="s">
        <v>3588</v>
      </c>
    </row>
    <row r="315" spans="1:4" ht="15.75" customHeight="1" x14ac:dyDescent="0.25">
      <c r="A315" s="2" t="s">
        <v>1074</v>
      </c>
      <c r="B315" s="2" t="s">
        <v>1075</v>
      </c>
      <c r="C315" s="2" t="s">
        <v>3589</v>
      </c>
      <c r="D315" s="2" t="s">
        <v>3191</v>
      </c>
    </row>
    <row r="316" spans="1:4" ht="15.75" customHeight="1" x14ac:dyDescent="0.25">
      <c r="A316" s="2" t="s">
        <v>1077</v>
      </c>
      <c r="B316" s="2" t="s">
        <v>1078</v>
      </c>
      <c r="C316" s="2" t="s">
        <v>3590</v>
      </c>
      <c r="D316" s="2" t="s">
        <v>3335</v>
      </c>
    </row>
    <row r="317" spans="1:4" ht="15.75" customHeight="1" x14ac:dyDescent="0.25">
      <c r="A317" s="2" t="s">
        <v>1080</v>
      </c>
      <c r="B317" s="2" t="s">
        <v>1082</v>
      </c>
      <c r="C317" s="2" t="s">
        <v>3591</v>
      </c>
      <c r="D317" s="2" t="s">
        <v>3592</v>
      </c>
    </row>
    <row r="318" spans="1:4" ht="15.75" customHeight="1" x14ac:dyDescent="0.25">
      <c r="A318" s="2" t="s">
        <v>1084</v>
      </c>
      <c r="B318" s="2" t="s">
        <v>1086</v>
      </c>
      <c r="C318" s="2" t="s">
        <v>3593</v>
      </c>
      <c r="D318" s="2" t="s">
        <v>3594</v>
      </c>
    </row>
    <row r="319" spans="1:4" ht="15.75" customHeight="1" x14ac:dyDescent="0.25">
      <c r="A319" s="2" t="s">
        <v>1084</v>
      </c>
      <c r="B319" s="2" t="s">
        <v>1088</v>
      </c>
      <c r="C319" s="2" t="s">
        <v>3593</v>
      </c>
      <c r="D319" s="2" t="s">
        <v>3594</v>
      </c>
    </row>
    <row r="320" spans="1:4" ht="15.75" customHeight="1" x14ac:dyDescent="0.25">
      <c r="A320" s="2" t="s">
        <v>1084</v>
      </c>
      <c r="B320" s="2" t="s">
        <v>1089</v>
      </c>
      <c r="C320" s="2" t="s">
        <v>3593</v>
      </c>
      <c r="D320" s="2" t="s">
        <v>3594</v>
      </c>
    </row>
    <row r="321" spans="1:4" ht="15.75" customHeight="1" x14ac:dyDescent="0.25">
      <c r="A321" s="2" t="s">
        <v>1084</v>
      </c>
      <c r="B321" s="2" t="s">
        <v>1090</v>
      </c>
      <c r="C321" s="2" t="s">
        <v>3593</v>
      </c>
      <c r="D321" s="2" t="s">
        <v>3594</v>
      </c>
    </row>
    <row r="322" spans="1:4" ht="15.75" customHeight="1" x14ac:dyDescent="0.25">
      <c r="A322" s="2" t="s">
        <v>1091</v>
      </c>
      <c r="B322" s="2" t="s">
        <v>1093</v>
      </c>
      <c r="C322" s="2" t="s">
        <v>3595</v>
      </c>
      <c r="D322" s="2" t="s">
        <v>3596</v>
      </c>
    </row>
    <row r="323" spans="1:4" ht="15.75" customHeight="1" x14ac:dyDescent="0.25">
      <c r="A323" s="2" t="s">
        <v>1095</v>
      </c>
      <c r="B323" s="2" t="s">
        <v>1097</v>
      </c>
      <c r="C323" s="2" t="s">
        <v>3597</v>
      </c>
      <c r="D323" s="2" t="s">
        <v>3598</v>
      </c>
    </row>
    <row r="324" spans="1:4" ht="15.75" customHeight="1" x14ac:dyDescent="0.25">
      <c r="A324" s="2" t="s">
        <v>1099</v>
      </c>
      <c r="B324" s="2" t="s">
        <v>1101</v>
      </c>
      <c r="C324" s="2" t="s">
        <v>3599</v>
      </c>
      <c r="D324" s="2" t="s">
        <v>3600</v>
      </c>
    </row>
    <row r="325" spans="1:4" ht="15.75" customHeight="1" x14ac:dyDescent="0.25">
      <c r="A325" s="2" t="s">
        <v>1099</v>
      </c>
      <c r="B325" s="2" t="s">
        <v>1103</v>
      </c>
      <c r="C325" s="2" t="s">
        <v>3599</v>
      </c>
      <c r="D325" s="2" t="s">
        <v>3600</v>
      </c>
    </row>
    <row r="326" spans="1:4" ht="15.75" customHeight="1" x14ac:dyDescent="0.25">
      <c r="A326" s="2" t="s">
        <v>1104</v>
      </c>
      <c r="B326" s="2" t="s">
        <v>1106</v>
      </c>
      <c r="C326" s="2" t="s">
        <v>3601</v>
      </c>
      <c r="D326" s="2" t="s">
        <v>1105</v>
      </c>
    </row>
    <row r="327" spans="1:4" ht="15.75" customHeight="1" x14ac:dyDescent="0.25">
      <c r="A327" s="2" t="s">
        <v>1108</v>
      </c>
      <c r="B327" s="2" t="s">
        <v>1110</v>
      </c>
      <c r="C327" s="2" t="s">
        <v>3602</v>
      </c>
      <c r="D327" s="2" t="s">
        <v>1109</v>
      </c>
    </row>
    <row r="328" spans="1:4" ht="15.75" customHeight="1" x14ac:dyDescent="0.25">
      <c r="A328" s="2" t="s">
        <v>1112</v>
      </c>
      <c r="B328" s="2" t="s">
        <v>1114</v>
      </c>
      <c r="C328" s="2" t="s">
        <v>3603</v>
      </c>
      <c r="D328" s="2" t="s">
        <v>3604</v>
      </c>
    </row>
    <row r="329" spans="1:4" ht="15.75" customHeight="1" x14ac:dyDescent="0.25">
      <c r="A329" s="2" t="s">
        <v>1116</v>
      </c>
      <c r="B329" s="2" t="s">
        <v>1118</v>
      </c>
      <c r="C329" s="2" t="s">
        <v>3605</v>
      </c>
      <c r="D329" s="2" t="s">
        <v>3606</v>
      </c>
    </row>
    <row r="330" spans="1:4" ht="15.75" customHeight="1" x14ac:dyDescent="0.25">
      <c r="A330" s="2" t="s">
        <v>1120</v>
      </c>
      <c r="B330" s="2" t="s">
        <v>1122</v>
      </c>
      <c r="C330" s="2" t="s">
        <v>3607</v>
      </c>
      <c r="D330" s="2" t="s">
        <v>3608</v>
      </c>
    </row>
    <row r="331" spans="1:4" ht="15.75" customHeight="1" x14ac:dyDescent="0.25">
      <c r="A331" s="2" t="s">
        <v>1120</v>
      </c>
      <c r="B331" s="2" t="s">
        <v>1124</v>
      </c>
      <c r="C331" s="2" t="s">
        <v>3607</v>
      </c>
      <c r="D331" s="2" t="s">
        <v>3608</v>
      </c>
    </row>
    <row r="332" spans="1:4" ht="15.75" customHeight="1" x14ac:dyDescent="0.25">
      <c r="A332" s="2" t="s">
        <v>1125</v>
      </c>
      <c r="B332" s="2" t="s">
        <v>1126</v>
      </c>
      <c r="C332" s="2" t="s">
        <v>3609</v>
      </c>
      <c r="D332" s="2" t="s">
        <v>3335</v>
      </c>
    </row>
    <row r="333" spans="1:4" ht="15.75" customHeight="1" x14ac:dyDescent="0.25">
      <c r="A333" s="2" t="s">
        <v>1128</v>
      </c>
      <c r="B333" s="2" t="s">
        <v>1130</v>
      </c>
      <c r="C333" s="2" t="s">
        <v>3610</v>
      </c>
      <c r="D333" s="2" t="s">
        <v>3611</v>
      </c>
    </row>
    <row r="334" spans="1:4" ht="15.75" customHeight="1" x14ac:dyDescent="0.25">
      <c r="A334" s="2" t="s">
        <v>1132</v>
      </c>
      <c r="B334" s="2" t="s">
        <v>1134</v>
      </c>
      <c r="C334" s="2" t="s">
        <v>3612</v>
      </c>
      <c r="D334" s="2" t="s">
        <v>3613</v>
      </c>
    </row>
    <row r="335" spans="1:4" ht="15.75" customHeight="1" x14ac:dyDescent="0.25">
      <c r="A335" s="2" t="s">
        <v>1136</v>
      </c>
      <c r="B335" s="2" t="s">
        <v>1138</v>
      </c>
      <c r="C335" s="2" t="s">
        <v>3614</v>
      </c>
      <c r="D335" s="2" t="s">
        <v>1137</v>
      </c>
    </row>
    <row r="336" spans="1:4" ht="15.75" customHeight="1" x14ac:dyDescent="0.25">
      <c r="A336" s="2" t="s">
        <v>1136</v>
      </c>
      <c r="B336" s="2" t="s">
        <v>1140</v>
      </c>
      <c r="C336" s="2" t="s">
        <v>3614</v>
      </c>
      <c r="D336" s="2" t="s">
        <v>1137</v>
      </c>
    </row>
    <row r="337" spans="1:4" ht="15.75" customHeight="1" x14ac:dyDescent="0.25">
      <c r="A337" s="2" t="s">
        <v>1141</v>
      </c>
      <c r="B337" s="2" t="s">
        <v>1143</v>
      </c>
      <c r="C337" s="2" t="s">
        <v>3615</v>
      </c>
      <c r="D337" s="2" t="s">
        <v>3616</v>
      </c>
    </row>
    <row r="338" spans="1:4" ht="15.75" customHeight="1" x14ac:dyDescent="0.25">
      <c r="A338" s="2" t="s">
        <v>1145</v>
      </c>
      <c r="B338" s="2" t="s">
        <v>1147</v>
      </c>
      <c r="C338" s="2" t="s">
        <v>3617</v>
      </c>
      <c r="D338" s="2" t="s">
        <v>3618</v>
      </c>
    </row>
    <row r="339" spans="1:4" ht="15.75" customHeight="1" x14ac:dyDescent="0.25">
      <c r="A339" s="2" t="s">
        <v>1149</v>
      </c>
      <c r="B339" s="2" t="s">
        <v>1151</v>
      </c>
      <c r="C339" s="2" t="s">
        <v>3619</v>
      </c>
      <c r="D339" s="2" t="s">
        <v>3620</v>
      </c>
    </row>
    <row r="340" spans="1:4" ht="15.75" customHeight="1" x14ac:dyDescent="0.25">
      <c r="A340" s="2" t="s">
        <v>1153</v>
      </c>
      <c r="B340" s="2" t="s">
        <v>1155</v>
      </c>
      <c r="C340" s="2" t="s">
        <v>3621</v>
      </c>
      <c r="D340" s="2" t="s">
        <v>3622</v>
      </c>
    </row>
    <row r="341" spans="1:4" ht="15.75" customHeight="1" x14ac:dyDescent="0.25">
      <c r="A341" s="2" t="s">
        <v>1157</v>
      </c>
      <c r="B341" s="2" t="s">
        <v>1159</v>
      </c>
      <c r="C341" s="2" t="s">
        <v>3623</v>
      </c>
      <c r="D341" s="2" t="s">
        <v>3624</v>
      </c>
    </row>
    <row r="342" spans="1:4" ht="15.75" customHeight="1" x14ac:dyDescent="0.25">
      <c r="A342" s="2" t="s">
        <v>1161</v>
      </c>
      <c r="B342" s="2" t="s">
        <v>1163</v>
      </c>
      <c r="C342" s="2" t="s">
        <v>3625</v>
      </c>
      <c r="D342" s="2" t="s">
        <v>3626</v>
      </c>
    </row>
    <row r="343" spans="1:4" ht="15.75" customHeight="1" x14ac:dyDescent="0.25">
      <c r="A343" s="2" t="s">
        <v>1165</v>
      </c>
      <c r="B343" s="2" t="s">
        <v>1167</v>
      </c>
      <c r="C343" s="2" t="s">
        <v>3627</v>
      </c>
      <c r="D343" s="2" t="s">
        <v>3628</v>
      </c>
    </row>
    <row r="344" spans="1:4" ht="15.75" customHeight="1" x14ac:dyDescent="0.25">
      <c r="A344" s="2" t="s">
        <v>1169</v>
      </c>
      <c r="B344" s="2" t="s">
        <v>1171</v>
      </c>
      <c r="C344" s="2" t="s">
        <v>3629</v>
      </c>
      <c r="D344" s="2" t="s">
        <v>1170</v>
      </c>
    </row>
    <row r="345" spans="1:4" ht="15.75" customHeight="1" x14ac:dyDescent="0.25">
      <c r="A345" s="2" t="s">
        <v>1169</v>
      </c>
      <c r="B345" s="2" t="s">
        <v>1173</v>
      </c>
      <c r="C345" s="2" t="s">
        <v>3629</v>
      </c>
      <c r="D345" s="2" t="s">
        <v>1170</v>
      </c>
    </row>
    <row r="346" spans="1:4" ht="15.75" customHeight="1" x14ac:dyDescent="0.25">
      <c r="A346" s="2" t="s">
        <v>1174</v>
      </c>
      <c r="B346" s="2" t="s">
        <v>1176</v>
      </c>
      <c r="C346" s="2" t="s">
        <v>3630</v>
      </c>
      <c r="D346" s="2" t="s">
        <v>3631</v>
      </c>
    </row>
    <row r="347" spans="1:4" ht="15.75" customHeight="1" x14ac:dyDescent="0.25">
      <c r="A347" s="2" t="s">
        <v>1178</v>
      </c>
      <c r="B347" s="2" t="s">
        <v>1180</v>
      </c>
      <c r="C347" s="2" t="s">
        <v>3632</v>
      </c>
      <c r="D347" s="2" t="s">
        <v>3633</v>
      </c>
    </row>
    <row r="348" spans="1:4" ht="15.75" customHeight="1" x14ac:dyDescent="0.25">
      <c r="A348" s="2" t="s">
        <v>1182</v>
      </c>
      <c r="B348" s="2" t="s">
        <v>1184</v>
      </c>
      <c r="C348" s="2" t="s">
        <v>3634</v>
      </c>
      <c r="D348" s="2" t="s">
        <v>3635</v>
      </c>
    </row>
    <row r="349" spans="1:4" ht="15.75" customHeight="1" x14ac:dyDescent="0.25">
      <c r="A349" s="2" t="s">
        <v>1186</v>
      </c>
      <c r="B349" s="2" t="s">
        <v>1187</v>
      </c>
      <c r="C349" s="2" t="s">
        <v>3636</v>
      </c>
      <c r="D349" s="2" t="s">
        <v>3167</v>
      </c>
    </row>
    <row r="350" spans="1:4" ht="15.75" customHeight="1" x14ac:dyDescent="0.25">
      <c r="A350" s="2" t="s">
        <v>1186</v>
      </c>
      <c r="B350" s="2" t="s">
        <v>1189</v>
      </c>
      <c r="C350" s="2" t="s">
        <v>3636</v>
      </c>
      <c r="D350" s="2" t="s">
        <v>3167</v>
      </c>
    </row>
    <row r="351" spans="1:4" ht="15.75" customHeight="1" x14ac:dyDescent="0.25">
      <c r="A351" s="2" t="s">
        <v>1190</v>
      </c>
      <c r="B351" s="2" t="s">
        <v>1192</v>
      </c>
      <c r="C351" s="2" t="s">
        <v>3637</v>
      </c>
      <c r="D351" s="2" t="s">
        <v>3638</v>
      </c>
    </row>
    <row r="352" spans="1:4" ht="15.75" customHeight="1" x14ac:dyDescent="0.25">
      <c r="A352" s="2" t="s">
        <v>1194</v>
      </c>
      <c r="B352" s="2" t="s">
        <v>1196</v>
      </c>
      <c r="C352" s="2" t="s">
        <v>3639</v>
      </c>
      <c r="D352" s="2" t="s">
        <v>3640</v>
      </c>
    </row>
    <row r="353" spans="1:4" ht="15.75" customHeight="1" x14ac:dyDescent="0.25">
      <c r="A353" s="2" t="s">
        <v>1198</v>
      </c>
      <c r="B353" s="2" t="s">
        <v>1200</v>
      </c>
      <c r="C353" s="2" t="s">
        <v>3641</v>
      </c>
      <c r="D353" s="2" t="s">
        <v>3642</v>
      </c>
    </row>
    <row r="354" spans="1:4" ht="15.75" customHeight="1" x14ac:dyDescent="0.25">
      <c r="A354" s="2" t="s">
        <v>1198</v>
      </c>
      <c r="B354" s="2" t="s">
        <v>1202</v>
      </c>
      <c r="C354" s="2" t="s">
        <v>3641</v>
      </c>
      <c r="D354" s="2" t="s">
        <v>3642</v>
      </c>
    </row>
    <row r="355" spans="1:4" ht="15.75" customHeight="1" x14ac:dyDescent="0.25">
      <c r="A355" s="2" t="s">
        <v>1203</v>
      </c>
      <c r="B355" s="2" t="s">
        <v>1205</v>
      </c>
      <c r="C355" s="2" t="s">
        <v>3643</v>
      </c>
      <c r="D355" s="2" t="s">
        <v>3644</v>
      </c>
    </row>
    <row r="356" spans="1:4" ht="15.75" customHeight="1" x14ac:dyDescent="0.25">
      <c r="A356" s="2" t="s">
        <v>1207</v>
      </c>
      <c r="B356" s="2" t="s">
        <v>1209</v>
      </c>
      <c r="C356" s="2" t="s">
        <v>3645</v>
      </c>
      <c r="D356" s="2" t="s">
        <v>1208</v>
      </c>
    </row>
    <row r="357" spans="1:4" ht="15.75" customHeight="1" x14ac:dyDescent="0.25">
      <c r="A357" s="2" t="s">
        <v>1211</v>
      </c>
      <c r="B357" s="2" t="s">
        <v>1213</v>
      </c>
      <c r="C357" s="2" t="s">
        <v>3646</v>
      </c>
      <c r="D357" s="2" t="s">
        <v>3647</v>
      </c>
    </row>
    <row r="358" spans="1:4" ht="15.75" customHeight="1" x14ac:dyDescent="0.25">
      <c r="A358" s="2" t="s">
        <v>1215</v>
      </c>
      <c r="B358" s="2" t="s">
        <v>1216</v>
      </c>
      <c r="C358" s="2" t="s">
        <v>3648</v>
      </c>
      <c r="D358" s="2" t="s">
        <v>1170</v>
      </c>
    </row>
    <row r="359" spans="1:4" ht="15.75" customHeight="1" x14ac:dyDescent="0.25">
      <c r="A359" s="2" t="s">
        <v>1215</v>
      </c>
      <c r="B359" s="2" t="s">
        <v>1218</v>
      </c>
      <c r="C359" s="2" t="s">
        <v>3648</v>
      </c>
      <c r="D359" s="2" t="s">
        <v>1170</v>
      </c>
    </row>
    <row r="360" spans="1:4" ht="15.75" customHeight="1" x14ac:dyDescent="0.25">
      <c r="A360" s="2" t="s">
        <v>1219</v>
      </c>
      <c r="B360" s="2" t="s">
        <v>1221</v>
      </c>
      <c r="C360" s="2" t="s">
        <v>3649</v>
      </c>
      <c r="D360" s="2" t="s">
        <v>1220</v>
      </c>
    </row>
    <row r="361" spans="1:4" ht="15.75" customHeight="1" x14ac:dyDescent="0.25">
      <c r="A361" s="2" t="s">
        <v>1219</v>
      </c>
      <c r="B361" s="2" t="s">
        <v>1223</v>
      </c>
      <c r="C361" s="2" t="s">
        <v>3649</v>
      </c>
      <c r="D361" s="2" t="s">
        <v>1220</v>
      </c>
    </row>
    <row r="362" spans="1:4" ht="15.75" customHeight="1" x14ac:dyDescent="0.25">
      <c r="A362" s="2" t="s">
        <v>1224</v>
      </c>
      <c r="B362" s="2" t="s">
        <v>1225</v>
      </c>
      <c r="C362" s="2" t="s">
        <v>3650</v>
      </c>
      <c r="D362" s="2" t="s">
        <v>1220</v>
      </c>
    </row>
    <row r="363" spans="1:4" ht="15.75" customHeight="1" x14ac:dyDescent="0.25">
      <c r="A363" s="2" t="s">
        <v>1224</v>
      </c>
      <c r="B363" s="2" t="s">
        <v>1227</v>
      </c>
      <c r="C363" s="2" t="s">
        <v>3650</v>
      </c>
      <c r="D363" s="2" t="s">
        <v>1220</v>
      </c>
    </row>
    <row r="364" spans="1:4" ht="15.75" customHeight="1" x14ac:dyDescent="0.25">
      <c r="A364" s="2" t="s">
        <v>1228</v>
      </c>
      <c r="B364" s="2" t="s">
        <v>1230</v>
      </c>
      <c r="C364" s="2" t="s">
        <v>3651</v>
      </c>
      <c r="D364" s="2" t="s">
        <v>3652</v>
      </c>
    </row>
    <row r="365" spans="1:4" ht="15.75" customHeight="1" x14ac:dyDescent="0.25">
      <c r="A365" s="2" t="s">
        <v>1228</v>
      </c>
      <c r="B365" s="2" t="s">
        <v>1232</v>
      </c>
      <c r="C365" s="2" t="s">
        <v>3651</v>
      </c>
      <c r="D365" s="2" t="s">
        <v>3652</v>
      </c>
    </row>
    <row r="366" spans="1:4" ht="15.75" customHeight="1" x14ac:dyDescent="0.25">
      <c r="A366" s="2" t="s">
        <v>1233</v>
      </c>
      <c r="B366" s="2" t="s">
        <v>1235</v>
      </c>
      <c r="C366" s="2" t="s">
        <v>3653</v>
      </c>
      <c r="D366" s="2" t="s">
        <v>3654</v>
      </c>
    </row>
    <row r="367" spans="1:4" ht="15.75" customHeight="1" x14ac:dyDescent="0.25">
      <c r="A367" s="2" t="s">
        <v>1233</v>
      </c>
      <c r="B367" s="2" t="s">
        <v>1237</v>
      </c>
      <c r="C367" s="2" t="s">
        <v>3653</v>
      </c>
      <c r="D367" s="2" t="s">
        <v>3654</v>
      </c>
    </row>
    <row r="368" spans="1:4" ht="15.75" customHeight="1" x14ac:dyDescent="0.25">
      <c r="A368" s="2" t="s">
        <v>1238</v>
      </c>
      <c r="B368" s="2" t="s">
        <v>1240</v>
      </c>
      <c r="C368" s="2" t="s">
        <v>3655</v>
      </c>
      <c r="D368" s="2" t="s">
        <v>1239</v>
      </c>
    </row>
    <row r="369" spans="1:4" ht="15.75" customHeight="1" x14ac:dyDescent="0.25">
      <c r="A369" s="2" t="s">
        <v>1238</v>
      </c>
      <c r="B369" s="2" t="s">
        <v>1242</v>
      </c>
      <c r="C369" s="2" t="s">
        <v>3655</v>
      </c>
      <c r="D369" s="2" t="s">
        <v>1239</v>
      </c>
    </row>
    <row r="370" spans="1:4" ht="15.75" customHeight="1" x14ac:dyDescent="0.25">
      <c r="A370" s="2" t="s">
        <v>1243</v>
      </c>
      <c r="B370" s="2" t="s">
        <v>1245</v>
      </c>
      <c r="C370" s="2" t="s">
        <v>3656</v>
      </c>
      <c r="D370" s="2" t="s">
        <v>3657</v>
      </c>
    </row>
    <row r="371" spans="1:4" ht="15.75" customHeight="1" x14ac:dyDescent="0.25">
      <c r="A371" s="2" t="s">
        <v>1247</v>
      </c>
      <c r="B371" s="2" t="s">
        <v>1249</v>
      </c>
      <c r="C371" s="2" t="s">
        <v>3658</v>
      </c>
      <c r="D371" s="2" t="s">
        <v>3659</v>
      </c>
    </row>
    <row r="372" spans="1:4" ht="15.75" customHeight="1" x14ac:dyDescent="0.25">
      <c r="A372" s="2" t="s">
        <v>1247</v>
      </c>
      <c r="B372" s="2" t="s">
        <v>1251</v>
      </c>
      <c r="C372" s="2" t="s">
        <v>3658</v>
      </c>
      <c r="D372" s="2" t="s">
        <v>3659</v>
      </c>
    </row>
    <row r="373" spans="1:4" ht="15.75" customHeight="1" x14ac:dyDescent="0.25">
      <c r="A373" s="2" t="s">
        <v>1247</v>
      </c>
      <c r="B373" s="2" t="s">
        <v>1252</v>
      </c>
      <c r="C373" s="2" t="s">
        <v>3658</v>
      </c>
      <c r="D373" s="2" t="s">
        <v>3659</v>
      </c>
    </row>
    <row r="374" spans="1:4" ht="15.75" customHeight="1" x14ac:dyDescent="0.25">
      <c r="A374" s="2" t="s">
        <v>1247</v>
      </c>
      <c r="B374" s="2" t="s">
        <v>1253</v>
      </c>
      <c r="C374" s="2" t="s">
        <v>3658</v>
      </c>
      <c r="D374" s="2" t="s">
        <v>3659</v>
      </c>
    </row>
    <row r="375" spans="1:4" ht="15.75" customHeight="1" x14ac:dyDescent="0.25">
      <c r="A375" s="2" t="s">
        <v>1254</v>
      </c>
      <c r="B375" s="2" t="s">
        <v>1256</v>
      </c>
      <c r="C375" s="2" t="s">
        <v>3660</v>
      </c>
      <c r="D375" s="2" t="s">
        <v>3661</v>
      </c>
    </row>
    <row r="376" spans="1:4" ht="15.75" customHeight="1" x14ac:dyDescent="0.25">
      <c r="A376" s="2" t="s">
        <v>1258</v>
      </c>
      <c r="B376" s="2" t="s">
        <v>1260</v>
      </c>
      <c r="C376" s="2" t="s">
        <v>3662</v>
      </c>
      <c r="D376" s="2" t="s">
        <v>1259</v>
      </c>
    </row>
    <row r="377" spans="1:4" ht="15.75" customHeight="1" x14ac:dyDescent="0.25">
      <c r="A377" s="2" t="s">
        <v>1262</v>
      </c>
      <c r="B377" s="2" t="s">
        <v>1263</v>
      </c>
      <c r="C377" s="2" t="s">
        <v>3663</v>
      </c>
      <c r="D377" s="2" t="s">
        <v>3654</v>
      </c>
    </row>
    <row r="378" spans="1:4" ht="15.75" customHeight="1" x14ac:dyDescent="0.25">
      <c r="A378" s="2" t="s">
        <v>1265</v>
      </c>
      <c r="B378" s="2" t="s">
        <v>1266</v>
      </c>
      <c r="C378" s="2" t="s">
        <v>3664</v>
      </c>
      <c r="D378" s="2" t="s">
        <v>3272</v>
      </c>
    </row>
    <row r="379" spans="1:4" ht="15.75" customHeight="1" x14ac:dyDescent="0.25">
      <c r="A379" s="2" t="s">
        <v>1268</v>
      </c>
      <c r="B379" s="2" t="s">
        <v>1270</v>
      </c>
      <c r="C379" s="2" t="s">
        <v>3665</v>
      </c>
      <c r="D379" s="2" t="s">
        <v>1269</v>
      </c>
    </row>
    <row r="380" spans="1:4" ht="15.75" customHeight="1" x14ac:dyDescent="0.25">
      <c r="A380" s="2" t="s">
        <v>1272</v>
      </c>
      <c r="B380" s="2" t="s">
        <v>1274</v>
      </c>
      <c r="C380" s="2" t="s">
        <v>3666</v>
      </c>
      <c r="D380" s="2" t="s">
        <v>3667</v>
      </c>
    </row>
    <row r="381" spans="1:4" ht="15.75" customHeight="1" x14ac:dyDescent="0.25">
      <c r="A381" s="2" t="s">
        <v>1276</v>
      </c>
      <c r="B381" s="2" t="s">
        <v>1277</v>
      </c>
      <c r="C381" s="2" t="s">
        <v>3668</v>
      </c>
      <c r="D381" s="2" t="s">
        <v>3206</v>
      </c>
    </row>
    <row r="382" spans="1:4" ht="15.75" customHeight="1" x14ac:dyDescent="0.25">
      <c r="A382" s="2" t="s">
        <v>1279</v>
      </c>
      <c r="B382" s="2" t="s">
        <v>1281</v>
      </c>
      <c r="C382" s="2" t="s">
        <v>3669</v>
      </c>
      <c r="D382" s="2" t="s">
        <v>3670</v>
      </c>
    </row>
    <row r="383" spans="1:4" ht="15.75" customHeight="1" x14ac:dyDescent="0.25">
      <c r="A383" s="2" t="s">
        <v>1283</v>
      </c>
      <c r="B383" s="2" t="s">
        <v>1284</v>
      </c>
      <c r="C383" s="2" t="s">
        <v>3671</v>
      </c>
      <c r="D383" s="2" t="s">
        <v>3670</v>
      </c>
    </row>
    <row r="384" spans="1:4" ht="15.75" customHeight="1" x14ac:dyDescent="0.25">
      <c r="A384" s="2" t="s">
        <v>1286</v>
      </c>
      <c r="B384" s="2" t="s">
        <v>1288</v>
      </c>
      <c r="C384" s="2" t="s">
        <v>3672</v>
      </c>
      <c r="D384" s="2" t="s">
        <v>3673</v>
      </c>
    </row>
    <row r="385" spans="1:4" ht="15.75" customHeight="1" x14ac:dyDescent="0.25">
      <c r="A385" s="2" t="s">
        <v>1290</v>
      </c>
      <c r="B385" s="2" t="s">
        <v>1292</v>
      </c>
      <c r="C385" s="2" t="s">
        <v>3674</v>
      </c>
      <c r="D385" s="2" t="s">
        <v>3675</v>
      </c>
    </row>
    <row r="386" spans="1:4" ht="15.75" customHeight="1" x14ac:dyDescent="0.25">
      <c r="A386" s="2" t="s">
        <v>1294</v>
      </c>
      <c r="B386" s="2" t="s">
        <v>1295</v>
      </c>
      <c r="C386" s="2" t="s">
        <v>3676</v>
      </c>
      <c r="D386" s="2" t="s">
        <v>3675</v>
      </c>
    </row>
    <row r="387" spans="1:4" ht="15.75" customHeight="1" x14ac:dyDescent="0.25">
      <c r="A387" s="2" t="s">
        <v>1297</v>
      </c>
      <c r="B387" s="2" t="s">
        <v>1299</v>
      </c>
      <c r="C387" s="2" t="s">
        <v>3677</v>
      </c>
      <c r="D387" s="2" t="s">
        <v>3678</v>
      </c>
    </row>
    <row r="388" spans="1:4" ht="15.75" customHeight="1" x14ac:dyDescent="0.25">
      <c r="A388" s="2" t="s">
        <v>1301</v>
      </c>
      <c r="B388" s="2" t="s">
        <v>1303</v>
      </c>
      <c r="C388" s="2" t="s">
        <v>3679</v>
      </c>
      <c r="D388" s="2" t="s">
        <v>3680</v>
      </c>
    </row>
    <row r="389" spans="1:4" ht="15.75" customHeight="1" x14ac:dyDescent="0.25">
      <c r="A389" s="2" t="s">
        <v>1305</v>
      </c>
      <c r="B389" s="2" t="s">
        <v>1307</v>
      </c>
      <c r="C389" s="2" t="s">
        <v>3681</v>
      </c>
      <c r="D389" s="2" t="s">
        <v>3682</v>
      </c>
    </row>
    <row r="390" spans="1:4" ht="15.75" customHeight="1" x14ac:dyDescent="0.25">
      <c r="A390" s="2" t="s">
        <v>1309</v>
      </c>
      <c r="B390" s="2" t="s">
        <v>1310</v>
      </c>
      <c r="C390" s="2" t="s">
        <v>3683</v>
      </c>
      <c r="D390" s="2" t="s">
        <v>3272</v>
      </c>
    </row>
    <row r="391" spans="1:4" ht="15.75" customHeight="1" x14ac:dyDescent="0.25">
      <c r="A391" s="2" t="s">
        <v>1312</v>
      </c>
      <c r="B391" s="2" t="s">
        <v>1314</v>
      </c>
      <c r="C391" s="2" t="s">
        <v>3684</v>
      </c>
      <c r="D391" s="2" t="s">
        <v>3685</v>
      </c>
    </row>
    <row r="392" spans="1:4" ht="15.75" customHeight="1" x14ac:dyDescent="0.25">
      <c r="A392" s="2" t="s">
        <v>1316</v>
      </c>
      <c r="B392" s="2" t="s">
        <v>1318</v>
      </c>
      <c r="C392" s="2" t="s">
        <v>3686</v>
      </c>
      <c r="D392" s="2" t="s">
        <v>3687</v>
      </c>
    </row>
    <row r="393" spans="1:4" ht="15.75" customHeight="1" x14ac:dyDescent="0.25">
      <c r="A393" s="2" t="s">
        <v>1320</v>
      </c>
      <c r="B393" s="2" t="s">
        <v>1321</v>
      </c>
      <c r="C393" s="2" t="s">
        <v>3688</v>
      </c>
      <c r="D393" s="2" t="s">
        <v>3687</v>
      </c>
    </row>
    <row r="394" spans="1:4" ht="15.75" customHeight="1" x14ac:dyDescent="0.25">
      <c r="A394" s="2" t="s">
        <v>1323</v>
      </c>
      <c r="B394" s="2" t="s">
        <v>1325</v>
      </c>
      <c r="C394" s="2" t="s">
        <v>3689</v>
      </c>
      <c r="D394" s="2" t="s">
        <v>3690</v>
      </c>
    </row>
    <row r="395" spans="1:4" ht="15.75" customHeight="1" x14ac:dyDescent="0.25">
      <c r="A395" s="2" t="s">
        <v>1327</v>
      </c>
      <c r="B395" s="2" t="s">
        <v>1329</v>
      </c>
      <c r="C395" s="2" t="s">
        <v>3691</v>
      </c>
      <c r="D395" s="2" t="s">
        <v>1328</v>
      </c>
    </row>
    <row r="396" spans="1:4" ht="15.75" customHeight="1" x14ac:dyDescent="0.25">
      <c r="A396" s="2" t="s">
        <v>1331</v>
      </c>
      <c r="B396" s="2" t="s">
        <v>1333</v>
      </c>
      <c r="C396" s="2" t="s">
        <v>3692</v>
      </c>
      <c r="D396" s="2" t="s">
        <v>3693</v>
      </c>
    </row>
    <row r="397" spans="1:4" ht="15.75" customHeight="1" x14ac:dyDescent="0.25">
      <c r="A397" s="2" t="s">
        <v>1335</v>
      </c>
      <c r="B397" s="2" t="s">
        <v>1337</v>
      </c>
      <c r="C397" s="2" t="s">
        <v>3694</v>
      </c>
      <c r="D397" s="2" t="s">
        <v>1336</v>
      </c>
    </row>
    <row r="398" spans="1:4" ht="15.75" customHeight="1" x14ac:dyDescent="0.25">
      <c r="A398" s="2" t="s">
        <v>1339</v>
      </c>
      <c r="B398" s="2" t="s">
        <v>1341</v>
      </c>
      <c r="C398" s="2" t="s">
        <v>3695</v>
      </c>
      <c r="D398" s="2" t="s">
        <v>1340</v>
      </c>
    </row>
    <row r="399" spans="1:4" ht="15.75" customHeight="1" x14ac:dyDescent="0.25">
      <c r="A399" s="2" t="s">
        <v>1343</v>
      </c>
      <c r="B399" s="2" t="s">
        <v>1345</v>
      </c>
      <c r="C399" s="2" t="s">
        <v>3696</v>
      </c>
      <c r="D399" s="2" t="s">
        <v>3697</v>
      </c>
    </row>
    <row r="400" spans="1:4" ht="15.75" customHeight="1" x14ac:dyDescent="0.25">
      <c r="A400" s="2" t="s">
        <v>1347</v>
      </c>
      <c r="B400" s="2" t="s">
        <v>1348</v>
      </c>
      <c r="C400" s="2" t="s">
        <v>3698</v>
      </c>
      <c r="D400" s="2" t="s">
        <v>3697</v>
      </c>
    </row>
    <row r="401" spans="1:4" ht="15.75" customHeight="1" x14ac:dyDescent="0.25">
      <c r="A401" s="2" t="s">
        <v>1350</v>
      </c>
      <c r="B401" s="2" t="s">
        <v>1351</v>
      </c>
      <c r="C401" s="2" t="s">
        <v>3699</v>
      </c>
      <c r="D401" s="2" t="s">
        <v>3261</v>
      </c>
    </row>
    <row r="402" spans="1:4" ht="15.75" customHeight="1" x14ac:dyDescent="0.25">
      <c r="A402" s="2" t="s">
        <v>1353</v>
      </c>
      <c r="B402" s="2" t="s">
        <v>1355</v>
      </c>
      <c r="C402" s="2" t="s">
        <v>3700</v>
      </c>
      <c r="D402" s="2" t="s">
        <v>3701</v>
      </c>
    </row>
    <row r="403" spans="1:4" ht="15.75" customHeight="1" x14ac:dyDescent="0.25">
      <c r="A403" s="2" t="s">
        <v>1357</v>
      </c>
      <c r="B403" s="2" t="s">
        <v>1358</v>
      </c>
      <c r="C403" s="2" t="s">
        <v>3702</v>
      </c>
      <c r="D403" s="2" t="s">
        <v>3701</v>
      </c>
    </row>
    <row r="404" spans="1:4" ht="15.75" customHeight="1" x14ac:dyDescent="0.25">
      <c r="A404" s="2" t="s">
        <v>1360</v>
      </c>
      <c r="B404" s="2" t="s">
        <v>1361</v>
      </c>
      <c r="C404" s="2" t="s">
        <v>3703</v>
      </c>
      <c r="D404" s="2" t="s">
        <v>3326</v>
      </c>
    </row>
    <row r="405" spans="1:4" ht="15.75" customHeight="1" x14ac:dyDescent="0.25">
      <c r="A405" s="2" t="s">
        <v>1363</v>
      </c>
      <c r="B405" s="2" t="s">
        <v>1364</v>
      </c>
      <c r="C405" s="2" t="s">
        <v>3704</v>
      </c>
      <c r="D405" s="2" t="s">
        <v>3326</v>
      </c>
    </row>
    <row r="406" spans="1:4" ht="15.75" customHeight="1" x14ac:dyDescent="0.25">
      <c r="A406" s="2" t="s">
        <v>1363</v>
      </c>
      <c r="B406" s="2" t="s">
        <v>1366</v>
      </c>
      <c r="C406" s="2" t="s">
        <v>3704</v>
      </c>
      <c r="D406" s="2" t="s">
        <v>3326</v>
      </c>
    </row>
    <row r="407" spans="1:4" ht="15.75" customHeight="1" x14ac:dyDescent="0.25">
      <c r="A407" s="2" t="s">
        <v>1363</v>
      </c>
      <c r="B407" s="2" t="s">
        <v>1367</v>
      </c>
      <c r="C407" s="2" t="s">
        <v>3704</v>
      </c>
      <c r="D407" s="2" t="s">
        <v>3326</v>
      </c>
    </row>
    <row r="408" spans="1:4" ht="15.75" customHeight="1" x14ac:dyDescent="0.25">
      <c r="A408" s="2" t="s">
        <v>1368</v>
      </c>
      <c r="B408" s="2" t="s">
        <v>1370</v>
      </c>
      <c r="C408" s="2" t="s">
        <v>3705</v>
      </c>
      <c r="D408" s="2" t="s">
        <v>3706</v>
      </c>
    </row>
    <row r="409" spans="1:4" ht="15.75" customHeight="1" x14ac:dyDescent="0.25">
      <c r="A409" s="2" t="s">
        <v>1372</v>
      </c>
      <c r="B409" s="2" t="s">
        <v>1374</v>
      </c>
      <c r="C409" s="2" t="s">
        <v>3707</v>
      </c>
      <c r="D409" s="2" t="s">
        <v>3708</v>
      </c>
    </row>
    <row r="410" spans="1:4" ht="15.75" customHeight="1" x14ac:dyDescent="0.25">
      <c r="A410" s="2" t="s">
        <v>1376</v>
      </c>
      <c r="B410" s="2" t="s">
        <v>1378</v>
      </c>
      <c r="C410" s="2" t="s">
        <v>3709</v>
      </c>
      <c r="D410" s="2" t="s">
        <v>3710</v>
      </c>
    </row>
    <row r="411" spans="1:4" ht="15.75" customHeight="1" x14ac:dyDescent="0.25">
      <c r="A411" s="2" t="s">
        <v>1380</v>
      </c>
      <c r="B411" s="2" t="s">
        <v>1382</v>
      </c>
      <c r="C411" s="2" t="s">
        <v>3711</v>
      </c>
      <c r="D411" s="2" t="s">
        <v>3712</v>
      </c>
    </row>
    <row r="412" spans="1:4" ht="15.75" customHeight="1" x14ac:dyDescent="0.25">
      <c r="A412" s="2" t="s">
        <v>1384</v>
      </c>
      <c r="B412" s="2" t="s">
        <v>1386</v>
      </c>
      <c r="C412" s="2" t="s">
        <v>3713</v>
      </c>
      <c r="D412" s="2" t="s">
        <v>3714</v>
      </c>
    </row>
    <row r="413" spans="1:4" ht="15.75" customHeight="1" x14ac:dyDescent="0.25">
      <c r="A413" s="2" t="s">
        <v>1388</v>
      </c>
      <c r="B413" s="2" t="s">
        <v>1389</v>
      </c>
      <c r="C413" s="2" t="s">
        <v>3715</v>
      </c>
      <c r="D413" s="2" t="s">
        <v>3714</v>
      </c>
    </row>
    <row r="414" spans="1:4" ht="15.75" customHeight="1" x14ac:dyDescent="0.25">
      <c r="A414" s="2" t="s">
        <v>1391</v>
      </c>
      <c r="B414" s="2" t="s">
        <v>1392</v>
      </c>
      <c r="C414" s="2" t="s">
        <v>3716</v>
      </c>
      <c r="D414" s="2" t="s">
        <v>3261</v>
      </c>
    </row>
    <row r="415" spans="1:4" ht="15.75" customHeight="1" x14ac:dyDescent="0.25">
      <c r="A415" s="2" t="s">
        <v>1394</v>
      </c>
      <c r="B415" s="2" t="s">
        <v>1396</v>
      </c>
      <c r="C415" s="2" t="s">
        <v>3717</v>
      </c>
      <c r="D415" s="2" t="s">
        <v>3718</v>
      </c>
    </row>
    <row r="416" spans="1:4" ht="15.75" customHeight="1" x14ac:dyDescent="0.25">
      <c r="A416" s="2" t="s">
        <v>1398</v>
      </c>
      <c r="B416" s="2" t="s">
        <v>1400</v>
      </c>
      <c r="C416" s="2" t="s">
        <v>3719</v>
      </c>
      <c r="D416" s="2" t="s">
        <v>1399</v>
      </c>
    </row>
    <row r="417" spans="1:4" ht="15.75" customHeight="1" x14ac:dyDescent="0.25">
      <c r="A417" s="2" t="s">
        <v>1402</v>
      </c>
      <c r="B417" s="2" t="s">
        <v>1404</v>
      </c>
      <c r="C417" s="2" t="s">
        <v>3720</v>
      </c>
      <c r="D417" s="2" t="s">
        <v>3721</v>
      </c>
    </row>
    <row r="418" spans="1:4" ht="15.75" customHeight="1" x14ac:dyDescent="0.25">
      <c r="A418" s="2" t="s">
        <v>1406</v>
      </c>
      <c r="B418" s="2" t="s">
        <v>1407</v>
      </c>
      <c r="C418" s="2" t="s">
        <v>3722</v>
      </c>
      <c r="D418" s="2" t="s">
        <v>3721</v>
      </c>
    </row>
    <row r="419" spans="1:4" ht="15.75" customHeight="1" x14ac:dyDescent="0.25">
      <c r="A419" s="2" t="s">
        <v>1409</v>
      </c>
      <c r="B419" s="2" t="s">
        <v>1410</v>
      </c>
      <c r="C419" s="2" t="s">
        <v>3723</v>
      </c>
      <c r="D419" s="2" t="s">
        <v>3299</v>
      </c>
    </row>
    <row r="420" spans="1:4" ht="15.75" customHeight="1" x14ac:dyDescent="0.25">
      <c r="A420" s="2" t="s">
        <v>1412</v>
      </c>
      <c r="B420" s="2" t="s">
        <v>1413</v>
      </c>
      <c r="C420" s="2" t="s">
        <v>3724</v>
      </c>
      <c r="D420" s="2" t="s">
        <v>3272</v>
      </c>
    </row>
    <row r="421" spans="1:4" ht="15.75" customHeight="1" x14ac:dyDescent="0.25">
      <c r="A421" s="2" t="s">
        <v>1415</v>
      </c>
      <c r="B421" s="2" t="s">
        <v>1417</v>
      </c>
      <c r="C421" s="2" t="s">
        <v>3725</v>
      </c>
      <c r="D421" s="2" t="s">
        <v>3726</v>
      </c>
    </row>
    <row r="422" spans="1:4" ht="15.75" customHeight="1" x14ac:dyDescent="0.25">
      <c r="A422" s="2" t="s">
        <v>1419</v>
      </c>
      <c r="B422" s="2" t="s">
        <v>1421</v>
      </c>
      <c r="C422" s="2" t="s">
        <v>3727</v>
      </c>
      <c r="D422" s="2" t="s">
        <v>3728</v>
      </c>
    </row>
    <row r="423" spans="1:4" ht="15.75" customHeight="1" x14ac:dyDescent="0.25">
      <c r="A423" s="2" t="s">
        <v>1423</v>
      </c>
      <c r="B423" s="2" t="s">
        <v>1424</v>
      </c>
      <c r="C423" s="2" t="s">
        <v>3729</v>
      </c>
      <c r="D423" s="2" t="s">
        <v>3728</v>
      </c>
    </row>
    <row r="424" spans="1:4" ht="15.75" customHeight="1" x14ac:dyDescent="0.25">
      <c r="A424" s="2" t="s">
        <v>1423</v>
      </c>
      <c r="B424" s="2" t="s">
        <v>1426</v>
      </c>
      <c r="C424" s="2" t="s">
        <v>3729</v>
      </c>
      <c r="D424" s="2" t="s">
        <v>3728</v>
      </c>
    </row>
    <row r="425" spans="1:4" ht="15.75" customHeight="1" x14ac:dyDescent="0.25">
      <c r="A425" s="2" t="s">
        <v>1427</v>
      </c>
      <c r="B425" s="2" t="s">
        <v>1429</v>
      </c>
      <c r="C425" s="2" t="s">
        <v>3730</v>
      </c>
      <c r="D425" s="2" t="s">
        <v>3731</v>
      </c>
    </row>
    <row r="426" spans="1:4" ht="15.75" customHeight="1" x14ac:dyDescent="0.25">
      <c r="A426" s="2" t="s">
        <v>1431</v>
      </c>
      <c r="B426" s="2" t="s">
        <v>1433</v>
      </c>
      <c r="C426" s="2" t="s">
        <v>3732</v>
      </c>
      <c r="D426" s="2" t="s">
        <v>3733</v>
      </c>
    </row>
    <row r="427" spans="1:4" ht="15.75" customHeight="1" x14ac:dyDescent="0.25">
      <c r="A427" s="2" t="s">
        <v>1435</v>
      </c>
      <c r="B427" s="2" t="s">
        <v>1437</v>
      </c>
      <c r="C427" s="2" t="s">
        <v>3734</v>
      </c>
      <c r="D427" s="2" t="s">
        <v>1436</v>
      </c>
    </row>
    <row r="428" spans="1:4" ht="15.75" customHeight="1" x14ac:dyDescent="0.25">
      <c r="A428" s="2" t="s">
        <v>1439</v>
      </c>
      <c r="B428" s="2" t="s">
        <v>1441</v>
      </c>
      <c r="C428" s="2" t="s">
        <v>3735</v>
      </c>
      <c r="D428" s="2" t="s">
        <v>3736</v>
      </c>
    </row>
    <row r="429" spans="1:4" ht="15.75" customHeight="1" x14ac:dyDescent="0.25">
      <c r="A429" s="2" t="s">
        <v>1443</v>
      </c>
      <c r="B429" s="2" t="s">
        <v>1445</v>
      </c>
      <c r="C429" s="2" t="s">
        <v>3737</v>
      </c>
      <c r="D429" s="2" t="s">
        <v>3738</v>
      </c>
    </row>
    <row r="430" spans="1:4" ht="15.75" customHeight="1" x14ac:dyDescent="0.25">
      <c r="A430" s="2" t="s">
        <v>1447</v>
      </c>
      <c r="B430" s="2" t="s">
        <v>1449</v>
      </c>
      <c r="C430" s="2" t="s">
        <v>3739</v>
      </c>
      <c r="D430" s="2" t="s">
        <v>1448</v>
      </c>
    </row>
    <row r="431" spans="1:4" ht="15.75" customHeight="1" x14ac:dyDescent="0.25">
      <c r="A431" s="2" t="s">
        <v>1451</v>
      </c>
      <c r="B431" s="2" t="s">
        <v>1453</v>
      </c>
      <c r="C431" s="2" t="s">
        <v>3740</v>
      </c>
      <c r="D431" s="2" t="s">
        <v>3741</v>
      </c>
    </row>
    <row r="432" spans="1:4" ht="15.75" customHeight="1" x14ac:dyDescent="0.25">
      <c r="A432" s="2" t="s">
        <v>1455</v>
      </c>
      <c r="B432" s="2" t="s">
        <v>1456</v>
      </c>
      <c r="C432" s="2" t="s">
        <v>3742</v>
      </c>
      <c r="D432" s="2" t="s">
        <v>3741</v>
      </c>
    </row>
    <row r="433" spans="1:4" ht="15.75" customHeight="1" x14ac:dyDescent="0.25">
      <c r="A433" s="2" t="s">
        <v>1458</v>
      </c>
      <c r="B433" s="2" t="s">
        <v>1460</v>
      </c>
      <c r="C433" s="2" t="s">
        <v>3743</v>
      </c>
      <c r="D433" s="2" t="s">
        <v>3744</v>
      </c>
    </row>
    <row r="434" spans="1:4" ht="15.75" customHeight="1" x14ac:dyDescent="0.25">
      <c r="A434" s="2" t="s">
        <v>1462</v>
      </c>
      <c r="B434" s="2" t="s">
        <v>1464</v>
      </c>
      <c r="C434" s="2" t="s">
        <v>3745</v>
      </c>
      <c r="D434" s="2" t="s">
        <v>3746</v>
      </c>
    </row>
    <row r="435" spans="1:4" ht="15.75" customHeight="1" x14ac:dyDescent="0.25">
      <c r="A435" s="2" t="s">
        <v>1466</v>
      </c>
      <c r="B435" s="2" t="s">
        <v>1468</v>
      </c>
      <c r="C435" s="2" t="s">
        <v>3747</v>
      </c>
      <c r="D435" s="2" t="s">
        <v>3748</v>
      </c>
    </row>
    <row r="436" spans="1:4" ht="15.75" customHeight="1" x14ac:dyDescent="0.25">
      <c r="A436" s="2" t="s">
        <v>1470</v>
      </c>
      <c r="B436" s="2" t="s">
        <v>1472</v>
      </c>
      <c r="C436" s="2" t="s">
        <v>3749</v>
      </c>
      <c r="D436" s="2" t="s">
        <v>3750</v>
      </c>
    </row>
    <row r="437" spans="1:4" ht="15.75" customHeight="1" x14ac:dyDescent="0.25">
      <c r="A437" s="2" t="s">
        <v>1474</v>
      </c>
      <c r="B437" s="2" t="s">
        <v>1475</v>
      </c>
      <c r="C437" s="2" t="s">
        <v>3751</v>
      </c>
      <c r="D437" s="2" t="s">
        <v>3733</v>
      </c>
    </row>
    <row r="438" spans="1:4" ht="15.75" customHeight="1" x14ac:dyDescent="0.25">
      <c r="A438" s="2" t="s">
        <v>1477</v>
      </c>
      <c r="B438" s="2" t="s">
        <v>1479</v>
      </c>
      <c r="C438" s="2" t="s">
        <v>3752</v>
      </c>
      <c r="D438" s="2" t="s">
        <v>3753</v>
      </c>
    </row>
    <row r="439" spans="1:4" ht="15.75" customHeight="1" x14ac:dyDescent="0.25">
      <c r="A439" s="2" t="s">
        <v>1481</v>
      </c>
      <c r="B439" s="2" t="s">
        <v>1483</v>
      </c>
      <c r="C439" s="2" t="s">
        <v>3754</v>
      </c>
      <c r="D439" s="2" t="s">
        <v>3755</v>
      </c>
    </row>
    <row r="440" spans="1:4" ht="15.75" customHeight="1" x14ac:dyDescent="0.25">
      <c r="A440" s="2" t="s">
        <v>1485</v>
      </c>
      <c r="B440" s="2" t="s">
        <v>1487</v>
      </c>
      <c r="C440" s="2" t="s">
        <v>3756</v>
      </c>
      <c r="D440" s="2" t="s">
        <v>3757</v>
      </c>
    </row>
    <row r="441" spans="1:4" ht="15.75" customHeight="1" x14ac:dyDescent="0.25">
      <c r="A441" s="2" t="s">
        <v>1489</v>
      </c>
      <c r="B441" s="2" t="s">
        <v>1491</v>
      </c>
      <c r="C441" s="2" t="s">
        <v>3758</v>
      </c>
      <c r="D441" s="2" t="s">
        <v>3759</v>
      </c>
    </row>
    <row r="442" spans="1:4" ht="15.75" customHeight="1" x14ac:dyDescent="0.25">
      <c r="A442" s="2" t="s">
        <v>1493</v>
      </c>
      <c r="B442" s="2" t="s">
        <v>1495</v>
      </c>
      <c r="C442" s="2" t="s">
        <v>3760</v>
      </c>
      <c r="D442" s="2" t="s">
        <v>3761</v>
      </c>
    </row>
    <row r="443" spans="1:4" ht="15.75" customHeight="1" x14ac:dyDescent="0.25">
      <c r="A443" s="2" t="s">
        <v>1497</v>
      </c>
      <c r="B443" s="2" t="s">
        <v>1499</v>
      </c>
      <c r="C443" s="2" t="s">
        <v>3762</v>
      </c>
      <c r="D443" s="2" t="s">
        <v>1498</v>
      </c>
    </row>
    <row r="444" spans="1:4" ht="15.75" customHeight="1" x14ac:dyDescent="0.25">
      <c r="A444" s="2" t="s">
        <v>1497</v>
      </c>
      <c r="B444" s="2" t="s">
        <v>1501</v>
      </c>
      <c r="C444" s="2" t="s">
        <v>3762</v>
      </c>
      <c r="D444" s="2" t="s">
        <v>1498</v>
      </c>
    </row>
    <row r="445" spans="1:4" ht="15.75" customHeight="1" x14ac:dyDescent="0.25">
      <c r="A445" s="2" t="s">
        <v>1502</v>
      </c>
      <c r="B445" s="2" t="s">
        <v>1504</v>
      </c>
      <c r="C445" s="2" t="s">
        <v>3763</v>
      </c>
      <c r="D445" s="2" t="s">
        <v>3764</v>
      </c>
    </row>
    <row r="446" spans="1:4" ht="15.75" customHeight="1" x14ac:dyDescent="0.25">
      <c r="A446" s="2" t="s">
        <v>1506</v>
      </c>
      <c r="B446" s="2" t="s">
        <v>1508</v>
      </c>
      <c r="C446" s="2" t="s">
        <v>3765</v>
      </c>
      <c r="D446" s="2" t="s">
        <v>3766</v>
      </c>
    </row>
    <row r="447" spans="1:4" ht="15.75" customHeight="1" x14ac:dyDescent="0.25">
      <c r="A447" s="2" t="s">
        <v>1510</v>
      </c>
      <c r="B447" s="2" t="s">
        <v>1512</v>
      </c>
      <c r="C447" s="2" t="s">
        <v>3767</v>
      </c>
      <c r="D447" s="2" t="s">
        <v>1511</v>
      </c>
    </row>
    <row r="448" spans="1:4" ht="15.75" customHeight="1" x14ac:dyDescent="0.25">
      <c r="A448" s="2" t="s">
        <v>1510</v>
      </c>
      <c r="B448" s="2" t="s">
        <v>1514</v>
      </c>
      <c r="C448" s="2" t="s">
        <v>3767</v>
      </c>
      <c r="D448" s="2" t="s">
        <v>1511</v>
      </c>
    </row>
    <row r="449" spans="1:4" ht="15.75" customHeight="1" x14ac:dyDescent="0.25">
      <c r="A449" s="2" t="s">
        <v>1515</v>
      </c>
      <c r="B449" s="2" t="s">
        <v>1517</v>
      </c>
      <c r="C449" s="2" t="s">
        <v>3768</v>
      </c>
      <c r="D449" s="2" t="s">
        <v>1516</v>
      </c>
    </row>
    <row r="450" spans="1:4" ht="15.75" customHeight="1" x14ac:dyDescent="0.25">
      <c r="A450" s="2" t="s">
        <v>1519</v>
      </c>
      <c r="B450" s="2" t="s">
        <v>1520</v>
      </c>
      <c r="C450" s="2" t="s">
        <v>3769</v>
      </c>
      <c r="D450" s="2" t="s">
        <v>3285</v>
      </c>
    </row>
    <row r="451" spans="1:4" ht="15.75" customHeight="1" x14ac:dyDescent="0.25">
      <c r="A451" s="2" t="s">
        <v>1522</v>
      </c>
      <c r="B451" s="2" t="s">
        <v>1524</v>
      </c>
      <c r="C451" s="2" t="s">
        <v>3770</v>
      </c>
      <c r="D451" s="2" t="s">
        <v>3771</v>
      </c>
    </row>
    <row r="452" spans="1:4" ht="15.75" customHeight="1" x14ac:dyDescent="0.25">
      <c r="A452" s="2" t="s">
        <v>1526</v>
      </c>
      <c r="B452" s="2" t="s">
        <v>1528</v>
      </c>
      <c r="C452" s="2" t="s">
        <v>3772</v>
      </c>
      <c r="D452" s="2" t="s">
        <v>3773</v>
      </c>
    </row>
    <row r="453" spans="1:4" ht="15.75" customHeight="1" x14ac:dyDescent="0.25">
      <c r="A453" s="2" t="s">
        <v>1530</v>
      </c>
      <c r="B453" s="2" t="s">
        <v>1532</v>
      </c>
      <c r="C453" s="2" t="s">
        <v>3774</v>
      </c>
      <c r="D453" s="2" t="s">
        <v>3775</v>
      </c>
    </row>
    <row r="454" spans="1:4" ht="15.75" customHeight="1" x14ac:dyDescent="0.25">
      <c r="A454" s="2" t="s">
        <v>1534</v>
      </c>
      <c r="B454" s="2" t="s">
        <v>1536</v>
      </c>
      <c r="C454" s="2" t="s">
        <v>3776</v>
      </c>
      <c r="D454" s="2" t="s">
        <v>3777</v>
      </c>
    </row>
    <row r="455" spans="1:4" ht="15.75" customHeight="1" x14ac:dyDescent="0.25">
      <c r="A455" s="2" t="s">
        <v>1538</v>
      </c>
      <c r="B455" s="2" t="s">
        <v>1539</v>
      </c>
      <c r="C455" s="2" t="s">
        <v>3778</v>
      </c>
      <c r="D455" s="2" t="s">
        <v>3777</v>
      </c>
    </row>
    <row r="456" spans="1:4" ht="15.75" customHeight="1" x14ac:dyDescent="0.25">
      <c r="A456" s="2" t="s">
        <v>1541</v>
      </c>
      <c r="B456" s="2" t="s">
        <v>1543</v>
      </c>
      <c r="C456" s="2" t="s">
        <v>3779</v>
      </c>
      <c r="D456" s="2" t="s">
        <v>3326</v>
      </c>
    </row>
    <row r="457" spans="1:4" ht="15.75" customHeight="1" x14ac:dyDescent="0.25">
      <c r="A457" s="2" t="s">
        <v>1545</v>
      </c>
      <c r="B457" s="2" t="s">
        <v>1547</v>
      </c>
      <c r="C457" s="2" t="s">
        <v>3780</v>
      </c>
      <c r="D457" s="2" t="s">
        <v>3781</v>
      </c>
    </row>
    <row r="458" spans="1:4" ht="15.75" customHeight="1" x14ac:dyDescent="0.25">
      <c r="A458" s="2" t="s">
        <v>1549</v>
      </c>
      <c r="B458" s="2" t="s">
        <v>1551</v>
      </c>
      <c r="C458" s="2" t="s">
        <v>3782</v>
      </c>
      <c r="D458" s="2" t="s">
        <v>3783</v>
      </c>
    </row>
    <row r="459" spans="1:4" ht="15.75" customHeight="1" x14ac:dyDescent="0.25">
      <c r="A459" s="2" t="s">
        <v>1553</v>
      </c>
      <c r="B459" s="2" t="s">
        <v>1554</v>
      </c>
      <c r="C459" s="2" t="s">
        <v>3784</v>
      </c>
      <c r="D459" s="2" t="s">
        <v>3367</v>
      </c>
    </row>
    <row r="460" spans="1:4" ht="15.75" customHeight="1" x14ac:dyDescent="0.25">
      <c r="A460" s="2" t="s">
        <v>1556</v>
      </c>
      <c r="B460" s="2" t="s">
        <v>1558</v>
      </c>
      <c r="C460" s="2" t="s">
        <v>3785</v>
      </c>
      <c r="D460" s="2" t="s">
        <v>3786</v>
      </c>
    </row>
    <row r="461" spans="1:4" ht="15.75" customHeight="1" x14ac:dyDescent="0.25">
      <c r="A461" s="2" t="s">
        <v>1560</v>
      </c>
      <c r="B461" s="2" t="s">
        <v>1561</v>
      </c>
      <c r="C461" s="2" t="s">
        <v>3787</v>
      </c>
      <c r="D461" s="2" t="s">
        <v>3471</v>
      </c>
    </row>
    <row r="462" spans="1:4" ht="15.75" customHeight="1" x14ac:dyDescent="0.25">
      <c r="A462" s="2" t="s">
        <v>1563</v>
      </c>
      <c r="B462" s="2" t="s">
        <v>1564</v>
      </c>
      <c r="C462" s="2" t="s">
        <v>3788</v>
      </c>
      <c r="D462" s="2" t="s">
        <v>3786</v>
      </c>
    </row>
    <row r="463" spans="1:4" ht="15.75" customHeight="1" x14ac:dyDescent="0.25">
      <c r="A463" s="2" t="s">
        <v>1563</v>
      </c>
      <c r="B463" s="2" t="s">
        <v>1566</v>
      </c>
      <c r="C463" s="2" t="s">
        <v>3788</v>
      </c>
      <c r="D463" s="2" t="s">
        <v>3786</v>
      </c>
    </row>
    <row r="464" spans="1:4" ht="15.75" customHeight="1" x14ac:dyDescent="0.25">
      <c r="A464" s="2" t="s">
        <v>1567</v>
      </c>
      <c r="B464" s="2" t="s">
        <v>1568</v>
      </c>
      <c r="C464" s="2" t="s">
        <v>3789</v>
      </c>
      <c r="D464" s="2" t="s">
        <v>3346</v>
      </c>
    </row>
    <row r="465" spans="1:4" ht="15.75" customHeight="1" x14ac:dyDescent="0.25">
      <c r="A465" s="2" t="s">
        <v>1570</v>
      </c>
      <c r="B465" s="2" t="s">
        <v>1572</v>
      </c>
      <c r="C465" s="2" t="s">
        <v>3790</v>
      </c>
      <c r="D465" s="2" t="s">
        <v>3791</v>
      </c>
    </row>
    <row r="466" spans="1:4" ht="15.75" customHeight="1" x14ac:dyDescent="0.25">
      <c r="A466" s="2" t="s">
        <v>1574</v>
      </c>
      <c r="B466" s="2" t="s">
        <v>1575</v>
      </c>
      <c r="C466" s="2" t="s">
        <v>3792</v>
      </c>
      <c r="D466" s="2" t="s">
        <v>3154</v>
      </c>
    </row>
    <row r="467" spans="1:4" ht="15.75" customHeight="1" x14ac:dyDescent="0.25">
      <c r="A467" s="2" t="s">
        <v>1577</v>
      </c>
      <c r="B467" s="2" t="s">
        <v>1578</v>
      </c>
      <c r="C467" s="2" t="s">
        <v>3793</v>
      </c>
      <c r="D467" s="2" t="s">
        <v>65</v>
      </c>
    </row>
    <row r="468" spans="1:4" ht="15.75" customHeight="1" x14ac:dyDescent="0.25">
      <c r="A468" s="2" t="s">
        <v>1580</v>
      </c>
      <c r="B468" s="2" t="s">
        <v>1581</v>
      </c>
      <c r="C468" s="2" t="s">
        <v>3794</v>
      </c>
      <c r="D468" s="2" t="s">
        <v>72</v>
      </c>
    </row>
    <row r="469" spans="1:4" ht="15.75" customHeight="1" x14ac:dyDescent="0.25">
      <c r="A469" s="2" t="s">
        <v>1583</v>
      </c>
      <c r="B469" s="2" t="s">
        <v>1585</v>
      </c>
      <c r="C469" s="2" t="s">
        <v>3795</v>
      </c>
      <c r="D469" s="2" t="s">
        <v>3796</v>
      </c>
    </row>
    <row r="470" spans="1:4" ht="15.75" customHeight="1" x14ac:dyDescent="0.25">
      <c r="A470" s="2" t="s">
        <v>1587</v>
      </c>
      <c r="B470" s="2" t="s">
        <v>1589</v>
      </c>
      <c r="C470" s="2" t="s">
        <v>3797</v>
      </c>
      <c r="D470" s="2" t="s">
        <v>3798</v>
      </c>
    </row>
    <row r="471" spans="1:4" ht="15.75" customHeight="1" x14ac:dyDescent="0.25">
      <c r="A471" s="2" t="s">
        <v>1591</v>
      </c>
      <c r="B471" s="2" t="s">
        <v>1593</v>
      </c>
      <c r="C471" s="2" t="s">
        <v>3799</v>
      </c>
      <c r="D471" s="2" t="s">
        <v>3800</v>
      </c>
    </row>
    <row r="472" spans="1:4" ht="15.75" customHeight="1" x14ac:dyDescent="0.25">
      <c r="A472" s="2" t="s">
        <v>1595</v>
      </c>
      <c r="B472" s="2" t="s">
        <v>1597</v>
      </c>
      <c r="C472" s="2" t="s">
        <v>3801</v>
      </c>
      <c r="D472" s="2" t="s">
        <v>1596</v>
      </c>
    </row>
    <row r="473" spans="1:4" ht="15.75" customHeight="1" x14ac:dyDescent="0.25">
      <c r="A473" s="2" t="s">
        <v>1599</v>
      </c>
      <c r="B473" s="2" t="s">
        <v>1600</v>
      </c>
      <c r="C473" s="2" t="s">
        <v>3802</v>
      </c>
      <c r="D473" s="2" t="s">
        <v>3471</v>
      </c>
    </row>
    <row r="474" spans="1:4" ht="15.75" customHeight="1" x14ac:dyDescent="0.25">
      <c r="A474" s="2" t="s">
        <v>1602</v>
      </c>
      <c r="B474" s="2" t="s">
        <v>1604</v>
      </c>
      <c r="C474" s="2" t="s">
        <v>3803</v>
      </c>
      <c r="D474" s="2" t="s">
        <v>3804</v>
      </c>
    </row>
    <row r="475" spans="1:4" ht="15.75" customHeight="1" x14ac:dyDescent="0.25">
      <c r="A475" s="2" t="s">
        <v>1606</v>
      </c>
      <c r="B475" s="2" t="s">
        <v>1608</v>
      </c>
      <c r="C475" s="2" t="s">
        <v>3805</v>
      </c>
      <c r="D475" s="2" t="s">
        <v>3806</v>
      </c>
    </row>
    <row r="476" spans="1:4" ht="15.75" customHeight="1" x14ac:dyDescent="0.25">
      <c r="A476" s="2" t="s">
        <v>1610</v>
      </c>
      <c r="B476" s="2" t="s">
        <v>1612</v>
      </c>
      <c r="C476" s="2" t="s">
        <v>3807</v>
      </c>
      <c r="D476" s="2" t="s">
        <v>1611</v>
      </c>
    </row>
    <row r="477" spans="1:4" ht="15.75" customHeight="1" x14ac:dyDescent="0.25">
      <c r="A477" s="2" t="s">
        <v>1614</v>
      </c>
      <c r="B477" s="2" t="s">
        <v>1616</v>
      </c>
      <c r="C477" s="2" t="s">
        <v>3808</v>
      </c>
      <c r="D477" s="2" t="s">
        <v>3809</v>
      </c>
    </row>
    <row r="478" spans="1:4" ht="15.75" customHeight="1" x14ac:dyDescent="0.25">
      <c r="A478" s="2" t="s">
        <v>1618</v>
      </c>
      <c r="B478" s="2" t="s">
        <v>1619</v>
      </c>
      <c r="C478" s="2" t="s">
        <v>3810</v>
      </c>
      <c r="D478" s="2" t="s">
        <v>3208</v>
      </c>
    </row>
    <row r="479" spans="1:4" ht="15.75" customHeight="1" x14ac:dyDescent="0.25">
      <c r="A479" s="2" t="s">
        <v>1621</v>
      </c>
      <c r="B479" s="2" t="s">
        <v>1623</v>
      </c>
      <c r="C479" s="2" t="s">
        <v>3811</v>
      </c>
      <c r="D479" s="2" t="s">
        <v>3812</v>
      </c>
    </row>
    <row r="480" spans="1:4" ht="15.75" customHeight="1" x14ac:dyDescent="0.25">
      <c r="A480" s="2" t="s">
        <v>1621</v>
      </c>
      <c r="B480" s="2" t="s">
        <v>1625</v>
      </c>
      <c r="C480" s="2" t="s">
        <v>3811</v>
      </c>
      <c r="D480" s="2" t="s">
        <v>3812</v>
      </c>
    </row>
    <row r="481" spans="1:4" ht="15.75" customHeight="1" x14ac:dyDescent="0.25">
      <c r="A481" s="2" t="s">
        <v>1626</v>
      </c>
      <c r="B481" s="2" t="s">
        <v>1627</v>
      </c>
      <c r="C481" s="2" t="s">
        <v>3813</v>
      </c>
      <c r="D481" s="2" t="s">
        <v>3499</v>
      </c>
    </row>
    <row r="482" spans="1:4" ht="15.75" customHeight="1" x14ac:dyDescent="0.25">
      <c r="A482" s="2" t="s">
        <v>1629</v>
      </c>
      <c r="B482" s="2" t="s">
        <v>1631</v>
      </c>
      <c r="C482" s="2" t="s">
        <v>3814</v>
      </c>
      <c r="D482" s="2" t="s">
        <v>3340</v>
      </c>
    </row>
    <row r="483" spans="1:4" ht="15.75" customHeight="1" x14ac:dyDescent="0.25">
      <c r="A483" s="2" t="s">
        <v>1633</v>
      </c>
      <c r="B483" s="2" t="s">
        <v>1635</v>
      </c>
      <c r="C483" s="2" t="s">
        <v>3815</v>
      </c>
      <c r="D483" s="2" t="s">
        <v>3816</v>
      </c>
    </row>
    <row r="484" spans="1:4" ht="15.75" customHeight="1" x14ac:dyDescent="0.25">
      <c r="A484" s="2" t="s">
        <v>1637</v>
      </c>
      <c r="B484" s="2" t="s">
        <v>1639</v>
      </c>
      <c r="C484" s="2" t="s">
        <v>3817</v>
      </c>
      <c r="D484" s="2" t="s">
        <v>3818</v>
      </c>
    </row>
    <row r="485" spans="1:4" ht="15.75" customHeight="1" x14ac:dyDescent="0.25">
      <c r="A485" s="2" t="s">
        <v>1637</v>
      </c>
      <c r="B485" s="2" t="s">
        <v>1641</v>
      </c>
      <c r="C485" s="2" t="s">
        <v>3817</v>
      </c>
      <c r="D485" s="2" t="s">
        <v>3818</v>
      </c>
    </row>
    <row r="486" spans="1:4" ht="15.75" customHeight="1" x14ac:dyDescent="0.25">
      <c r="A486" s="2" t="s">
        <v>1637</v>
      </c>
      <c r="B486" s="2" t="s">
        <v>1642</v>
      </c>
      <c r="C486" s="2" t="s">
        <v>3817</v>
      </c>
      <c r="D486" s="2" t="s">
        <v>3818</v>
      </c>
    </row>
    <row r="487" spans="1:4" ht="15.75" customHeight="1" x14ac:dyDescent="0.25">
      <c r="A487" s="2" t="s">
        <v>1637</v>
      </c>
      <c r="B487" s="2" t="s">
        <v>1643</v>
      </c>
      <c r="C487" s="2" t="s">
        <v>3817</v>
      </c>
      <c r="D487" s="2" t="s">
        <v>3818</v>
      </c>
    </row>
    <row r="488" spans="1:4" ht="15.75" customHeight="1" x14ac:dyDescent="0.25">
      <c r="A488" s="2" t="s">
        <v>1637</v>
      </c>
      <c r="B488" s="2" t="s">
        <v>1644</v>
      </c>
      <c r="C488" s="2" t="s">
        <v>3817</v>
      </c>
      <c r="D488" s="2" t="s">
        <v>3818</v>
      </c>
    </row>
    <row r="489" spans="1:4" ht="15.75" customHeight="1" x14ac:dyDescent="0.25">
      <c r="A489" s="2" t="s">
        <v>1637</v>
      </c>
      <c r="B489" s="2" t="s">
        <v>1645</v>
      </c>
      <c r="C489" s="2" t="s">
        <v>3817</v>
      </c>
      <c r="D489" s="2" t="s">
        <v>3818</v>
      </c>
    </row>
    <row r="490" spans="1:4" ht="15.75" customHeight="1" x14ac:dyDescent="0.25">
      <c r="A490" s="2" t="s">
        <v>1646</v>
      </c>
      <c r="B490" s="2" t="s">
        <v>1648</v>
      </c>
      <c r="C490" s="2" t="s">
        <v>3819</v>
      </c>
      <c r="D490" s="2" t="s">
        <v>3820</v>
      </c>
    </row>
    <row r="491" spans="1:4" ht="15.75" customHeight="1" x14ac:dyDescent="0.25">
      <c r="A491" s="2" t="s">
        <v>1650</v>
      </c>
      <c r="B491" s="2" t="s">
        <v>1652</v>
      </c>
      <c r="C491" s="2" t="s">
        <v>3821</v>
      </c>
      <c r="D491" s="2" t="s">
        <v>3822</v>
      </c>
    </row>
    <row r="492" spans="1:4" ht="15.75" customHeight="1" x14ac:dyDescent="0.25">
      <c r="A492" s="2" t="s">
        <v>1654</v>
      </c>
      <c r="B492" s="2" t="s">
        <v>1655</v>
      </c>
      <c r="C492" s="2" t="s">
        <v>3823</v>
      </c>
      <c r="D492" s="2" t="s">
        <v>3463</v>
      </c>
    </row>
    <row r="493" spans="1:4" ht="15.75" customHeight="1" x14ac:dyDescent="0.25">
      <c r="A493" s="2" t="s">
        <v>1657</v>
      </c>
      <c r="B493" s="2" t="s">
        <v>1659</v>
      </c>
      <c r="C493" s="2" t="s">
        <v>3824</v>
      </c>
      <c r="D493" s="2" t="s">
        <v>3825</v>
      </c>
    </row>
    <row r="494" spans="1:4" ht="15.75" customHeight="1" x14ac:dyDescent="0.25">
      <c r="A494" s="2" t="s">
        <v>1661</v>
      </c>
      <c r="B494" s="2" t="s">
        <v>1663</v>
      </c>
      <c r="C494" s="2" t="s">
        <v>3826</v>
      </c>
      <c r="D494" s="2" t="s">
        <v>3827</v>
      </c>
    </row>
    <row r="495" spans="1:4" ht="15.75" customHeight="1" x14ac:dyDescent="0.25">
      <c r="A495" s="2" t="s">
        <v>1665</v>
      </c>
      <c r="B495" s="2" t="s">
        <v>1667</v>
      </c>
      <c r="C495" s="2" t="s">
        <v>3828</v>
      </c>
      <c r="D495" s="2" t="s">
        <v>3829</v>
      </c>
    </row>
    <row r="496" spans="1:4" ht="15.75" customHeight="1" x14ac:dyDescent="0.25">
      <c r="A496" s="2" t="s">
        <v>1669</v>
      </c>
      <c r="B496" s="2" t="s">
        <v>1671</v>
      </c>
      <c r="C496" s="2" t="s">
        <v>3830</v>
      </c>
      <c r="D496" s="2" t="s">
        <v>3831</v>
      </c>
    </row>
    <row r="497" spans="1:4" ht="15.75" customHeight="1" x14ac:dyDescent="0.25">
      <c r="A497" s="2" t="s">
        <v>1673</v>
      </c>
      <c r="B497" s="2" t="s">
        <v>1675</v>
      </c>
      <c r="C497" s="2" t="s">
        <v>3832</v>
      </c>
      <c r="D497" s="2" t="s">
        <v>3833</v>
      </c>
    </row>
    <row r="498" spans="1:4" ht="15.75" customHeight="1" x14ac:dyDescent="0.25">
      <c r="A498" s="2" t="s">
        <v>1677</v>
      </c>
      <c r="B498" s="2" t="s">
        <v>1679</v>
      </c>
      <c r="C498" s="2" t="s">
        <v>3834</v>
      </c>
      <c r="D498" s="2" t="s">
        <v>3835</v>
      </c>
    </row>
    <row r="499" spans="1:4" ht="15.75" customHeight="1" x14ac:dyDescent="0.25">
      <c r="A499" s="2" t="s">
        <v>1677</v>
      </c>
      <c r="B499" s="2" t="s">
        <v>1681</v>
      </c>
      <c r="C499" s="2" t="s">
        <v>3834</v>
      </c>
      <c r="D499" s="2" t="s">
        <v>3835</v>
      </c>
    </row>
    <row r="500" spans="1:4" ht="15.75" customHeight="1" x14ac:dyDescent="0.25">
      <c r="A500" s="2" t="s">
        <v>1682</v>
      </c>
      <c r="B500" s="2" t="s">
        <v>1684</v>
      </c>
      <c r="C500" s="2" t="s">
        <v>3836</v>
      </c>
      <c r="D500" s="2" t="s">
        <v>3837</v>
      </c>
    </row>
    <row r="501" spans="1:4" ht="15.75" customHeight="1" x14ac:dyDescent="0.25">
      <c r="A501" s="2" t="s">
        <v>1686</v>
      </c>
      <c r="B501" s="2" t="s">
        <v>1688</v>
      </c>
      <c r="C501" s="2" t="s">
        <v>3838</v>
      </c>
      <c r="D501" s="2" t="s">
        <v>3839</v>
      </c>
    </row>
    <row r="502" spans="1:4" ht="15.75" customHeight="1" x14ac:dyDescent="0.25">
      <c r="A502" s="2" t="s">
        <v>1690</v>
      </c>
      <c r="B502" s="2" t="s">
        <v>1691</v>
      </c>
      <c r="C502" s="2" t="s">
        <v>3840</v>
      </c>
      <c r="D502" s="2" t="s">
        <v>3438</v>
      </c>
    </row>
    <row r="503" spans="1:4" ht="15.75" customHeight="1" x14ac:dyDescent="0.25">
      <c r="A503" s="2" t="s">
        <v>1693</v>
      </c>
      <c r="B503" s="2" t="s">
        <v>1695</v>
      </c>
      <c r="C503" s="2" t="s">
        <v>3841</v>
      </c>
      <c r="D503" s="2" t="s">
        <v>3842</v>
      </c>
    </row>
    <row r="504" spans="1:4" ht="15.75" customHeight="1" x14ac:dyDescent="0.25">
      <c r="A504" s="2" t="s">
        <v>1697</v>
      </c>
      <c r="B504" s="2" t="s">
        <v>1699</v>
      </c>
      <c r="C504" s="2" t="s">
        <v>3843</v>
      </c>
      <c r="D504" s="2" t="s">
        <v>3844</v>
      </c>
    </row>
    <row r="505" spans="1:4" ht="15.75" customHeight="1" x14ac:dyDescent="0.25">
      <c r="A505" s="2" t="s">
        <v>1701</v>
      </c>
      <c r="B505" s="2" t="s">
        <v>1703</v>
      </c>
      <c r="C505" s="2" t="s">
        <v>3845</v>
      </c>
      <c r="D505" s="2" t="s">
        <v>3846</v>
      </c>
    </row>
    <row r="506" spans="1:4" ht="15.75" customHeight="1" x14ac:dyDescent="0.25">
      <c r="A506" s="2" t="s">
        <v>1701</v>
      </c>
      <c r="B506" s="2" t="s">
        <v>1705</v>
      </c>
      <c r="C506" s="2" t="s">
        <v>3845</v>
      </c>
      <c r="D506" s="2" t="s">
        <v>3846</v>
      </c>
    </row>
    <row r="507" spans="1:4" ht="15.75" customHeight="1" x14ac:dyDescent="0.25">
      <c r="A507" s="2" t="s">
        <v>1706</v>
      </c>
      <c r="B507" s="2" t="s">
        <v>1708</v>
      </c>
      <c r="C507" s="2" t="s">
        <v>3847</v>
      </c>
      <c r="D507" s="2" t="s">
        <v>1707</v>
      </c>
    </row>
    <row r="508" spans="1:4" ht="15.75" customHeight="1" x14ac:dyDescent="0.25">
      <c r="A508" s="2" t="s">
        <v>1710</v>
      </c>
      <c r="B508" s="2" t="s">
        <v>1712</v>
      </c>
      <c r="C508" s="2" t="s">
        <v>3848</v>
      </c>
      <c r="D508" s="2" t="s">
        <v>3849</v>
      </c>
    </row>
    <row r="509" spans="1:4" ht="15.75" customHeight="1" x14ac:dyDescent="0.25">
      <c r="A509" s="2" t="s">
        <v>1714</v>
      </c>
      <c r="B509" s="2" t="s">
        <v>1716</v>
      </c>
      <c r="C509" s="2" t="s">
        <v>3850</v>
      </c>
      <c r="D509" s="2" t="s">
        <v>3851</v>
      </c>
    </row>
    <row r="510" spans="1:4" ht="15.75" customHeight="1" x14ac:dyDescent="0.25">
      <c r="A510" s="2" t="s">
        <v>1718</v>
      </c>
      <c r="B510" s="2" t="s">
        <v>1719</v>
      </c>
      <c r="C510" s="2" t="s">
        <v>3852</v>
      </c>
      <c r="D510" s="2" t="s">
        <v>3851</v>
      </c>
    </row>
    <row r="511" spans="1:4" ht="15.75" customHeight="1" x14ac:dyDescent="0.25">
      <c r="A511" s="2" t="s">
        <v>1721</v>
      </c>
      <c r="B511" s="2" t="s">
        <v>1723</v>
      </c>
      <c r="C511" s="2" t="s">
        <v>3853</v>
      </c>
      <c r="D511" s="2" t="s">
        <v>3314</v>
      </c>
    </row>
    <row r="512" spans="1:4" ht="15.75" customHeight="1" x14ac:dyDescent="0.25">
      <c r="A512" s="2" t="s">
        <v>1725</v>
      </c>
      <c r="B512" s="2" t="s">
        <v>1727</v>
      </c>
      <c r="C512" s="2" t="s">
        <v>3854</v>
      </c>
      <c r="D512" s="2" t="s">
        <v>3855</v>
      </c>
    </row>
    <row r="513" spans="1:4" ht="15.75" customHeight="1" x14ac:dyDescent="0.25">
      <c r="A513" s="2" t="s">
        <v>1729</v>
      </c>
      <c r="B513" s="2" t="s">
        <v>1730</v>
      </c>
      <c r="C513" s="2" t="s">
        <v>3856</v>
      </c>
      <c r="D513" s="2" t="s">
        <v>3855</v>
      </c>
    </row>
    <row r="514" spans="1:4" ht="15.75" customHeight="1" x14ac:dyDescent="0.25">
      <c r="A514" s="2" t="s">
        <v>1732</v>
      </c>
      <c r="B514" s="2" t="s">
        <v>1733</v>
      </c>
      <c r="C514" s="2" t="s">
        <v>3857</v>
      </c>
      <c r="D514" s="2" t="s">
        <v>3206</v>
      </c>
    </row>
    <row r="515" spans="1:4" ht="15.75" customHeight="1" x14ac:dyDescent="0.25">
      <c r="A515" s="2" t="s">
        <v>1735</v>
      </c>
      <c r="B515" s="2" t="s">
        <v>1737</v>
      </c>
      <c r="C515" s="2" t="s">
        <v>3858</v>
      </c>
      <c r="D515" s="2" t="s">
        <v>1736</v>
      </c>
    </row>
    <row r="516" spans="1:4" ht="15.75" customHeight="1" x14ac:dyDescent="0.25">
      <c r="A516" s="2" t="s">
        <v>1735</v>
      </c>
      <c r="B516" s="2" t="s">
        <v>1739</v>
      </c>
      <c r="C516" s="2" t="s">
        <v>3858</v>
      </c>
      <c r="D516" s="2" t="s">
        <v>1736</v>
      </c>
    </row>
    <row r="517" spans="1:4" ht="15.75" customHeight="1" x14ac:dyDescent="0.25">
      <c r="A517" s="2" t="s">
        <v>1740</v>
      </c>
      <c r="B517" s="2" t="s">
        <v>1742</v>
      </c>
      <c r="C517" s="2" t="s">
        <v>3859</v>
      </c>
      <c r="D517" s="2" t="s">
        <v>3860</v>
      </c>
    </row>
    <row r="518" spans="1:4" ht="15.75" customHeight="1" x14ac:dyDescent="0.25">
      <c r="A518" s="2" t="s">
        <v>1744</v>
      </c>
      <c r="B518" s="2" t="s">
        <v>1746</v>
      </c>
      <c r="C518" s="2" t="s">
        <v>3861</v>
      </c>
      <c r="D518" s="2" t="s">
        <v>3862</v>
      </c>
    </row>
    <row r="519" spans="1:4" ht="15.75" customHeight="1" x14ac:dyDescent="0.25">
      <c r="A519" s="2" t="s">
        <v>1748</v>
      </c>
      <c r="B519" s="2" t="s">
        <v>1750</v>
      </c>
      <c r="C519" s="2" t="s">
        <v>3863</v>
      </c>
      <c r="D519" s="2" t="s">
        <v>3864</v>
      </c>
    </row>
    <row r="520" spans="1:4" ht="15.75" customHeight="1" x14ac:dyDescent="0.25">
      <c r="A520" s="2" t="s">
        <v>1752</v>
      </c>
      <c r="B520" s="2" t="s">
        <v>1754</v>
      </c>
      <c r="C520" s="2" t="s">
        <v>3865</v>
      </c>
      <c r="D520" s="2" t="s">
        <v>3866</v>
      </c>
    </row>
    <row r="521" spans="1:4" ht="15.75" customHeight="1" x14ac:dyDescent="0.25">
      <c r="A521" s="2" t="s">
        <v>1756</v>
      </c>
      <c r="B521" s="2" t="s">
        <v>1757</v>
      </c>
      <c r="C521" s="2" t="s">
        <v>3867</v>
      </c>
      <c r="D521" s="2" t="s">
        <v>274</v>
      </c>
    </row>
    <row r="522" spans="1:4" ht="15.75" customHeight="1" x14ac:dyDescent="0.25">
      <c r="A522" s="2" t="s">
        <v>1759</v>
      </c>
      <c r="B522" s="2" t="s">
        <v>1761</v>
      </c>
      <c r="C522" s="2" t="s">
        <v>3868</v>
      </c>
      <c r="D522" s="2" t="s">
        <v>1760</v>
      </c>
    </row>
    <row r="523" spans="1:4" ht="15.75" customHeight="1" x14ac:dyDescent="0.25">
      <c r="A523" s="2" t="s">
        <v>1763</v>
      </c>
      <c r="B523" s="2" t="s">
        <v>1765</v>
      </c>
      <c r="C523" s="2" t="s">
        <v>3869</v>
      </c>
      <c r="D523" s="2" t="s">
        <v>3870</v>
      </c>
    </row>
    <row r="524" spans="1:4" ht="15.75" customHeight="1" x14ac:dyDescent="0.25">
      <c r="A524" s="2" t="s">
        <v>1767</v>
      </c>
      <c r="B524" s="2" t="s">
        <v>1769</v>
      </c>
      <c r="C524" s="2" t="s">
        <v>3871</v>
      </c>
      <c r="D524" s="2" t="s">
        <v>3872</v>
      </c>
    </row>
    <row r="525" spans="1:4" ht="15.75" customHeight="1" x14ac:dyDescent="0.25">
      <c r="A525" s="2" t="s">
        <v>1771</v>
      </c>
      <c r="B525" s="2" t="s">
        <v>1773</v>
      </c>
      <c r="C525" s="2" t="s">
        <v>3873</v>
      </c>
      <c r="D525" s="2" t="s">
        <v>3874</v>
      </c>
    </row>
    <row r="526" spans="1:4" ht="15.75" customHeight="1" x14ac:dyDescent="0.25">
      <c r="A526" s="2" t="s">
        <v>1775</v>
      </c>
      <c r="B526" s="2" t="s">
        <v>1777</v>
      </c>
      <c r="C526" s="2" t="s">
        <v>3875</v>
      </c>
      <c r="D526" s="2" t="s">
        <v>3577</v>
      </c>
    </row>
    <row r="527" spans="1:4" ht="15.75" customHeight="1" x14ac:dyDescent="0.25">
      <c r="A527" s="2" t="s">
        <v>1779</v>
      </c>
      <c r="B527" s="2" t="s">
        <v>1780</v>
      </c>
      <c r="C527" s="2" t="s">
        <v>3876</v>
      </c>
      <c r="D527" s="2" t="s">
        <v>1736</v>
      </c>
    </row>
    <row r="528" spans="1:4" ht="15.75" customHeight="1" x14ac:dyDescent="0.25">
      <c r="A528" s="2" t="s">
        <v>1779</v>
      </c>
      <c r="B528" s="2" t="s">
        <v>1782</v>
      </c>
      <c r="C528" s="2" t="s">
        <v>3876</v>
      </c>
      <c r="D528" s="2" t="s">
        <v>1736</v>
      </c>
    </row>
    <row r="529" spans="1:4" ht="15.75" customHeight="1" x14ac:dyDescent="0.25">
      <c r="A529" s="2" t="s">
        <v>1783</v>
      </c>
      <c r="B529" s="2" t="s">
        <v>1785</v>
      </c>
      <c r="C529" s="2" t="s">
        <v>3877</v>
      </c>
      <c r="D529" s="2" t="s">
        <v>3878</v>
      </c>
    </row>
    <row r="530" spans="1:4" ht="15.75" customHeight="1" x14ac:dyDescent="0.25">
      <c r="A530" s="2" t="s">
        <v>1787</v>
      </c>
      <c r="B530" s="2" t="s">
        <v>1789</v>
      </c>
      <c r="C530" s="2" t="s">
        <v>3879</v>
      </c>
      <c r="D530" s="2" t="s">
        <v>3880</v>
      </c>
    </row>
    <row r="531" spans="1:4" ht="15.75" customHeight="1" x14ac:dyDescent="0.25">
      <c r="A531" s="2" t="s">
        <v>1791</v>
      </c>
      <c r="B531" s="2" t="s">
        <v>1793</v>
      </c>
      <c r="C531" s="2" t="s">
        <v>3881</v>
      </c>
      <c r="D531" s="2" t="s">
        <v>3882</v>
      </c>
    </row>
    <row r="532" spans="1:4" ht="15.75" customHeight="1" x14ac:dyDescent="0.25">
      <c r="A532" s="2" t="s">
        <v>1795</v>
      </c>
      <c r="B532" s="2" t="s">
        <v>1797</v>
      </c>
      <c r="C532" s="2" t="s">
        <v>3883</v>
      </c>
      <c r="D532" s="2" t="s">
        <v>3884</v>
      </c>
    </row>
    <row r="533" spans="1:4" ht="15.75" customHeight="1" x14ac:dyDescent="0.25">
      <c r="A533" s="2" t="s">
        <v>1799</v>
      </c>
      <c r="B533" s="2" t="s">
        <v>1801</v>
      </c>
      <c r="C533" s="2" t="s">
        <v>3885</v>
      </c>
      <c r="D533" s="2" t="s">
        <v>3886</v>
      </c>
    </row>
    <row r="534" spans="1:4" ht="15.75" customHeight="1" x14ac:dyDescent="0.25">
      <c r="A534" s="2" t="s">
        <v>1803</v>
      </c>
      <c r="B534" s="2" t="s">
        <v>1805</v>
      </c>
      <c r="C534" s="2" t="s">
        <v>3887</v>
      </c>
      <c r="D534" s="2" t="s">
        <v>1804</v>
      </c>
    </row>
    <row r="535" spans="1:4" ht="15.75" customHeight="1" x14ac:dyDescent="0.25">
      <c r="A535" s="2" t="s">
        <v>1807</v>
      </c>
      <c r="B535" s="2" t="s">
        <v>1809</v>
      </c>
      <c r="C535" s="2" t="s">
        <v>3888</v>
      </c>
      <c r="D535" s="2" t="s">
        <v>1808</v>
      </c>
    </row>
    <row r="536" spans="1:4" ht="15.75" customHeight="1" x14ac:dyDescent="0.25">
      <c r="A536" s="2" t="s">
        <v>1811</v>
      </c>
      <c r="B536" s="2" t="s">
        <v>1813</v>
      </c>
      <c r="C536" s="2" t="s">
        <v>3889</v>
      </c>
      <c r="D536" s="2" t="s">
        <v>1812</v>
      </c>
    </row>
    <row r="537" spans="1:4" ht="15.75" customHeight="1" x14ac:dyDescent="0.25">
      <c r="A537" s="2" t="s">
        <v>1815</v>
      </c>
      <c r="B537" s="2" t="s">
        <v>1817</v>
      </c>
      <c r="C537" s="2" t="s">
        <v>3890</v>
      </c>
      <c r="D537" s="2" t="s">
        <v>3891</v>
      </c>
    </row>
    <row r="538" spans="1:4" ht="15.75" customHeight="1" x14ac:dyDescent="0.25">
      <c r="A538" s="2" t="s">
        <v>1819</v>
      </c>
      <c r="B538" s="2" t="s">
        <v>1821</v>
      </c>
      <c r="C538" s="2" t="s">
        <v>3892</v>
      </c>
      <c r="D538" s="2" t="s">
        <v>3893</v>
      </c>
    </row>
    <row r="539" spans="1:4" ht="15.75" customHeight="1" x14ac:dyDescent="0.25">
      <c r="A539" s="2" t="s">
        <v>1823</v>
      </c>
      <c r="B539" s="2" t="s">
        <v>1825</v>
      </c>
      <c r="C539" s="2" t="s">
        <v>3894</v>
      </c>
      <c r="D539" s="2" t="s">
        <v>1824</v>
      </c>
    </row>
    <row r="540" spans="1:4" ht="15.75" customHeight="1" x14ac:dyDescent="0.25">
      <c r="A540" s="2" t="s">
        <v>1823</v>
      </c>
      <c r="B540" s="2" t="s">
        <v>1827</v>
      </c>
      <c r="C540" s="2" t="s">
        <v>3894</v>
      </c>
      <c r="D540" s="2" t="s">
        <v>1824</v>
      </c>
    </row>
    <row r="541" spans="1:4" ht="15.75" customHeight="1" x14ac:dyDescent="0.25">
      <c r="A541" s="2" t="s">
        <v>1828</v>
      </c>
      <c r="B541" s="2" t="s">
        <v>1830</v>
      </c>
      <c r="C541" s="2" t="s">
        <v>3895</v>
      </c>
      <c r="D541" s="2" t="s">
        <v>3896</v>
      </c>
    </row>
    <row r="542" spans="1:4" ht="15.75" customHeight="1" x14ac:dyDescent="0.25">
      <c r="A542" s="2" t="s">
        <v>1832</v>
      </c>
      <c r="B542" s="2" t="s">
        <v>1834</v>
      </c>
      <c r="C542" s="2" t="s">
        <v>3897</v>
      </c>
      <c r="D542" s="2" t="s">
        <v>3898</v>
      </c>
    </row>
    <row r="543" spans="1:4" ht="15.75" customHeight="1" x14ac:dyDescent="0.25">
      <c r="A543" s="2" t="s">
        <v>1836</v>
      </c>
      <c r="B543" s="2" t="s">
        <v>1838</v>
      </c>
      <c r="C543" s="2" t="s">
        <v>3899</v>
      </c>
      <c r="D543" s="2" t="s">
        <v>3900</v>
      </c>
    </row>
    <row r="544" spans="1:4" ht="15.75" customHeight="1" x14ac:dyDescent="0.25">
      <c r="A544" s="2" t="s">
        <v>1840</v>
      </c>
      <c r="B544" s="2" t="s">
        <v>1841</v>
      </c>
      <c r="C544" s="2" t="s">
        <v>3901</v>
      </c>
      <c r="D544" s="2" t="s">
        <v>3796</v>
      </c>
    </row>
    <row r="545" spans="1:4" ht="15.75" customHeight="1" x14ac:dyDescent="0.25">
      <c r="A545" s="2" t="s">
        <v>1843</v>
      </c>
      <c r="B545" s="2" t="s">
        <v>1845</v>
      </c>
      <c r="C545" s="2" t="s">
        <v>3902</v>
      </c>
      <c r="D545" s="2" t="s">
        <v>1844</v>
      </c>
    </row>
    <row r="546" spans="1:4" ht="15.75" customHeight="1" x14ac:dyDescent="0.25">
      <c r="A546" s="2" t="s">
        <v>1847</v>
      </c>
      <c r="B546" s="2" t="s">
        <v>1849</v>
      </c>
      <c r="C546" s="2" t="s">
        <v>3903</v>
      </c>
      <c r="D546" s="2" t="s">
        <v>3904</v>
      </c>
    </row>
    <row r="547" spans="1:4" ht="15.75" customHeight="1" x14ac:dyDescent="0.25">
      <c r="A547" s="2" t="s">
        <v>1851</v>
      </c>
      <c r="B547" s="2" t="s">
        <v>1853</v>
      </c>
      <c r="C547" s="2" t="s">
        <v>3905</v>
      </c>
      <c r="D547" s="2" t="s">
        <v>3906</v>
      </c>
    </row>
    <row r="548" spans="1:4" ht="15.75" customHeight="1" x14ac:dyDescent="0.25">
      <c r="A548" s="2" t="s">
        <v>1855</v>
      </c>
      <c r="B548" s="2" t="s">
        <v>1856</v>
      </c>
      <c r="C548" s="2" t="s">
        <v>3907</v>
      </c>
      <c r="D548" s="2" t="s">
        <v>3261</v>
      </c>
    </row>
    <row r="549" spans="1:4" ht="15.75" customHeight="1" x14ac:dyDescent="0.25">
      <c r="A549" s="2" t="s">
        <v>1858</v>
      </c>
      <c r="B549" s="2" t="s">
        <v>1860</v>
      </c>
      <c r="C549" s="2" t="s">
        <v>3908</v>
      </c>
      <c r="D549" s="2" t="s">
        <v>3909</v>
      </c>
    </row>
    <row r="550" spans="1:4" ht="15.75" customHeight="1" x14ac:dyDescent="0.25">
      <c r="A550" s="2" t="s">
        <v>1862</v>
      </c>
      <c r="B550" s="2" t="s">
        <v>1863</v>
      </c>
      <c r="C550" s="2" t="s">
        <v>3910</v>
      </c>
      <c r="D550" s="2" t="s">
        <v>1736</v>
      </c>
    </row>
    <row r="551" spans="1:4" ht="15.75" customHeight="1" x14ac:dyDescent="0.25">
      <c r="A551" s="2" t="s">
        <v>1865</v>
      </c>
      <c r="B551" s="2" t="s">
        <v>1867</v>
      </c>
      <c r="C551" s="2" t="s">
        <v>3911</v>
      </c>
      <c r="D551" s="2" t="s">
        <v>3912</v>
      </c>
    </row>
    <row r="552" spans="1:4" ht="15.75" customHeight="1" x14ac:dyDescent="0.25">
      <c r="A552" s="2" t="s">
        <v>1865</v>
      </c>
      <c r="B552" s="2" t="s">
        <v>1869</v>
      </c>
      <c r="C552" s="2" t="s">
        <v>3911</v>
      </c>
      <c r="D552" s="2" t="s">
        <v>3912</v>
      </c>
    </row>
    <row r="553" spans="1:4" ht="15.75" customHeight="1" x14ac:dyDescent="0.25">
      <c r="A553" s="2" t="s">
        <v>1870</v>
      </c>
      <c r="B553" s="2" t="s">
        <v>1872</v>
      </c>
      <c r="C553" s="2" t="s">
        <v>3913</v>
      </c>
      <c r="D553" s="2" t="s">
        <v>3914</v>
      </c>
    </row>
    <row r="554" spans="1:4" ht="15.75" customHeight="1" x14ac:dyDescent="0.25">
      <c r="A554" s="2" t="s">
        <v>1874</v>
      </c>
      <c r="B554" s="2" t="s">
        <v>1876</v>
      </c>
      <c r="C554" s="2" t="s">
        <v>3915</v>
      </c>
      <c r="D554" s="2" t="s">
        <v>3916</v>
      </c>
    </row>
    <row r="555" spans="1:4" ht="15.75" customHeight="1" x14ac:dyDescent="0.25">
      <c r="A555" s="2" t="s">
        <v>1874</v>
      </c>
      <c r="B555" s="2" t="s">
        <v>1878</v>
      </c>
      <c r="C555" s="2" t="s">
        <v>3915</v>
      </c>
      <c r="D555" s="2" t="s">
        <v>3916</v>
      </c>
    </row>
    <row r="556" spans="1:4" ht="15.75" customHeight="1" x14ac:dyDescent="0.25">
      <c r="A556" s="2" t="s">
        <v>1879</v>
      </c>
      <c r="B556" s="2" t="s">
        <v>1881</v>
      </c>
      <c r="C556" s="2" t="s">
        <v>3917</v>
      </c>
      <c r="D556" s="2" t="s">
        <v>3918</v>
      </c>
    </row>
    <row r="557" spans="1:4" ht="15.75" customHeight="1" x14ac:dyDescent="0.25">
      <c r="A557" s="2" t="s">
        <v>1883</v>
      </c>
      <c r="B557" s="2" t="s">
        <v>1884</v>
      </c>
      <c r="C557" s="2" t="s">
        <v>3919</v>
      </c>
      <c r="D557" s="2" t="s">
        <v>3918</v>
      </c>
    </row>
    <row r="558" spans="1:4" ht="15.75" customHeight="1" x14ac:dyDescent="0.25">
      <c r="A558" s="2" t="s">
        <v>1886</v>
      </c>
      <c r="B558" s="2" t="s">
        <v>1887</v>
      </c>
      <c r="C558" s="2" t="s">
        <v>3920</v>
      </c>
      <c r="D558" s="2" t="s">
        <v>3918</v>
      </c>
    </row>
    <row r="559" spans="1:4" ht="15.75" customHeight="1" x14ac:dyDescent="0.25">
      <c r="A559" s="2" t="s">
        <v>1889</v>
      </c>
      <c r="B559" s="2" t="s">
        <v>1891</v>
      </c>
      <c r="C559" s="2" t="s">
        <v>3921</v>
      </c>
      <c r="D559" s="2" t="s">
        <v>3922</v>
      </c>
    </row>
    <row r="560" spans="1:4" ht="15.75" customHeight="1" x14ac:dyDescent="0.25">
      <c r="A560" s="2" t="s">
        <v>1893</v>
      </c>
      <c r="B560" s="2" t="s">
        <v>1894</v>
      </c>
      <c r="C560" s="2" t="s">
        <v>3923</v>
      </c>
      <c r="D560" s="2" t="s">
        <v>3555</v>
      </c>
    </row>
    <row r="561" spans="1:4" ht="15.75" customHeight="1" x14ac:dyDescent="0.25">
      <c r="A561" s="2" t="s">
        <v>1896</v>
      </c>
      <c r="B561" s="2" t="s">
        <v>1897</v>
      </c>
      <c r="C561" s="2" t="s">
        <v>3924</v>
      </c>
      <c r="D561" s="2" t="s">
        <v>3555</v>
      </c>
    </row>
    <row r="562" spans="1:4" ht="15.75" customHeight="1" x14ac:dyDescent="0.25">
      <c r="A562" s="2" t="s">
        <v>1899</v>
      </c>
      <c r="B562" s="2" t="s">
        <v>1901</v>
      </c>
      <c r="C562" s="2" t="s">
        <v>3925</v>
      </c>
      <c r="D562" s="2" t="s">
        <v>3926</v>
      </c>
    </row>
    <row r="563" spans="1:4" ht="15.75" customHeight="1" x14ac:dyDescent="0.25">
      <c r="A563" s="2" t="s">
        <v>1903</v>
      </c>
      <c r="B563" s="2" t="s">
        <v>1905</v>
      </c>
      <c r="C563" s="2" t="s">
        <v>3927</v>
      </c>
      <c r="D563" s="2" t="s">
        <v>3928</v>
      </c>
    </row>
    <row r="564" spans="1:4" ht="15.75" customHeight="1" x14ac:dyDescent="0.25">
      <c r="A564" s="2" t="s">
        <v>1907</v>
      </c>
      <c r="B564" s="2" t="s">
        <v>1909</v>
      </c>
      <c r="C564" s="2" t="s">
        <v>3929</v>
      </c>
      <c r="D564" s="2" t="s">
        <v>3930</v>
      </c>
    </row>
    <row r="565" spans="1:4" ht="15.75" customHeight="1" x14ac:dyDescent="0.25">
      <c r="A565" s="2" t="s">
        <v>1911</v>
      </c>
      <c r="B565" s="2" t="s">
        <v>1913</v>
      </c>
      <c r="C565" s="2" t="s">
        <v>3931</v>
      </c>
      <c r="D565" s="2" t="s">
        <v>3932</v>
      </c>
    </row>
    <row r="566" spans="1:4" ht="15.75" customHeight="1" x14ac:dyDescent="0.25">
      <c r="A566" s="2" t="s">
        <v>1915</v>
      </c>
      <c r="B566" s="2" t="s">
        <v>1917</v>
      </c>
      <c r="C566" s="2" t="s">
        <v>3933</v>
      </c>
      <c r="D566" s="2" t="s">
        <v>3934</v>
      </c>
    </row>
    <row r="567" spans="1:4" ht="15.75" customHeight="1" x14ac:dyDescent="0.25">
      <c r="A567" s="2" t="s">
        <v>1919</v>
      </c>
      <c r="B567" s="2" t="s">
        <v>1921</v>
      </c>
      <c r="C567" s="2" t="s">
        <v>3935</v>
      </c>
      <c r="D567" s="2" t="s">
        <v>3936</v>
      </c>
    </row>
    <row r="568" spans="1:4" ht="15.75" customHeight="1" x14ac:dyDescent="0.25">
      <c r="A568" s="2" t="s">
        <v>1923</v>
      </c>
      <c r="B568" s="2" t="s">
        <v>1925</v>
      </c>
      <c r="C568" s="2" t="s">
        <v>3937</v>
      </c>
      <c r="D568" s="2" t="s">
        <v>3938</v>
      </c>
    </row>
    <row r="569" spans="1:4" ht="15.75" customHeight="1" x14ac:dyDescent="0.25">
      <c r="A569" s="2" t="s">
        <v>1927</v>
      </c>
      <c r="B569" s="2" t="s">
        <v>1929</v>
      </c>
      <c r="C569" s="2" t="s">
        <v>3939</v>
      </c>
      <c r="D569" s="2" t="s">
        <v>3940</v>
      </c>
    </row>
    <row r="570" spans="1:4" ht="15.75" customHeight="1" x14ac:dyDescent="0.25">
      <c r="A570" s="2" t="s">
        <v>1931</v>
      </c>
      <c r="B570" s="2" t="s">
        <v>1933</v>
      </c>
      <c r="C570" s="2" t="s">
        <v>3941</v>
      </c>
      <c r="D570" s="2" t="s">
        <v>1932</v>
      </c>
    </row>
    <row r="571" spans="1:4" ht="15.75" customHeight="1" x14ac:dyDescent="0.25">
      <c r="A571" s="2" t="s">
        <v>1935</v>
      </c>
      <c r="B571" s="2" t="s">
        <v>1937</v>
      </c>
      <c r="C571" s="2" t="s">
        <v>3942</v>
      </c>
      <c r="D571" s="2" t="s">
        <v>3943</v>
      </c>
    </row>
    <row r="572" spans="1:4" ht="15.75" customHeight="1" x14ac:dyDescent="0.25">
      <c r="A572" s="2" t="s">
        <v>1939</v>
      </c>
      <c r="B572" s="2" t="s">
        <v>1941</v>
      </c>
      <c r="C572" s="2" t="s">
        <v>3944</v>
      </c>
      <c r="D572" s="2" t="s">
        <v>3945</v>
      </c>
    </row>
    <row r="573" spans="1:4" ht="15.75" customHeight="1" x14ac:dyDescent="0.25">
      <c r="A573" s="2" t="s">
        <v>1943</v>
      </c>
      <c r="B573" s="2" t="s">
        <v>1945</v>
      </c>
      <c r="C573" s="2" t="s">
        <v>3946</v>
      </c>
      <c r="D573" s="2" t="s">
        <v>3947</v>
      </c>
    </row>
    <row r="574" spans="1:4" ht="15.75" customHeight="1" x14ac:dyDescent="0.25">
      <c r="A574" s="2" t="s">
        <v>1947</v>
      </c>
      <c r="B574" s="2" t="s">
        <v>1949</v>
      </c>
      <c r="C574" s="2" t="s">
        <v>3948</v>
      </c>
      <c r="D574" s="2" t="s">
        <v>3949</v>
      </c>
    </row>
    <row r="575" spans="1:4" ht="15.75" customHeight="1" x14ac:dyDescent="0.25">
      <c r="A575" s="2" t="s">
        <v>1951</v>
      </c>
      <c r="B575" s="2" t="s">
        <v>1952</v>
      </c>
      <c r="C575" s="2" t="s">
        <v>3950</v>
      </c>
      <c r="D575" s="2" t="s">
        <v>3930</v>
      </c>
    </row>
    <row r="576" spans="1:4" ht="15.75" customHeight="1" x14ac:dyDescent="0.25">
      <c r="A576" s="2" t="s">
        <v>1954</v>
      </c>
      <c r="B576" s="2" t="s">
        <v>1956</v>
      </c>
      <c r="C576" s="2" t="s">
        <v>3951</v>
      </c>
      <c r="D576" s="2" t="s">
        <v>3952</v>
      </c>
    </row>
    <row r="577" spans="1:4" ht="15.75" customHeight="1" x14ac:dyDescent="0.25">
      <c r="A577" s="2" t="s">
        <v>1954</v>
      </c>
      <c r="B577" s="2" t="s">
        <v>1958</v>
      </c>
      <c r="C577" s="2" t="s">
        <v>3951</v>
      </c>
      <c r="D577" s="2" t="s">
        <v>3952</v>
      </c>
    </row>
    <row r="578" spans="1:4" ht="15.75" customHeight="1" x14ac:dyDescent="0.25">
      <c r="A578" s="2" t="s">
        <v>1959</v>
      </c>
      <c r="B578" s="2" t="s">
        <v>1961</v>
      </c>
      <c r="C578" s="2" t="s">
        <v>3953</v>
      </c>
      <c r="D578" s="2" t="s">
        <v>1960</v>
      </c>
    </row>
    <row r="579" spans="1:4" ht="15.75" customHeight="1" x14ac:dyDescent="0.25">
      <c r="A579" s="2" t="s">
        <v>1963</v>
      </c>
      <c r="B579" s="2" t="s">
        <v>1964</v>
      </c>
      <c r="C579" s="2" t="s">
        <v>3954</v>
      </c>
      <c r="D579" s="2" t="s">
        <v>1960</v>
      </c>
    </row>
    <row r="580" spans="1:4" ht="15.75" customHeight="1" x14ac:dyDescent="0.25">
      <c r="A580" s="2" t="s">
        <v>1966</v>
      </c>
      <c r="B580" s="2" t="s">
        <v>1968</v>
      </c>
      <c r="C580" s="2" t="s">
        <v>3955</v>
      </c>
      <c r="D580" s="2" t="s">
        <v>3956</v>
      </c>
    </row>
    <row r="581" spans="1:4" ht="15.75" customHeight="1" x14ac:dyDescent="0.25">
      <c r="A581" s="2" t="s">
        <v>1970</v>
      </c>
      <c r="B581" s="2" t="s">
        <v>1972</v>
      </c>
      <c r="C581" s="2" t="s">
        <v>3957</v>
      </c>
      <c r="D581" s="2" t="s">
        <v>3958</v>
      </c>
    </row>
    <row r="582" spans="1:4" ht="15.75" customHeight="1" x14ac:dyDescent="0.25">
      <c r="A582" s="2" t="s">
        <v>1974</v>
      </c>
      <c r="B582" s="2" t="s">
        <v>1976</v>
      </c>
      <c r="C582" s="2" t="s">
        <v>3959</v>
      </c>
      <c r="D582" s="2" t="s">
        <v>3960</v>
      </c>
    </row>
    <row r="583" spans="1:4" ht="15.75" customHeight="1" x14ac:dyDescent="0.25">
      <c r="A583" s="2" t="s">
        <v>1974</v>
      </c>
      <c r="B583" s="2" t="s">
        <v>1978</v>
      </c>
      <c r="C583" s="2" t="s">
        <v>3959</v>
      </c>
      <c r="D583" s="2" t="s">
        <v>3960</v>
      </c>
    </row>
    <row r="584" spans="1:4" ht="15.75" customHeight="1" x14ac:dyDescent="0.25">
      <c r="A584" s="2" t="s">
        <v>1979</v>
      </c>
      <c r="B584" s="2" t="s">
        <v>1980</v>
      </c>
      <c r="C584" s="2" t="s">
        <v>3961</v>
      </c>
      <c r="D584" s="2" t="s">
        <v>1002</v>
      </c>
    </row>
    <row r="585" spans="1:4" ht="15.75" customHeight="1" x14ac:dyDescent="0.25">
      <c r="A585" s="2" t="s">
        <v>1982</v>
      </c>
      <c r="B585" s="2" t="s">
        <v>1984</v>
      </c>
      <c r="C585" s="2" t="s">
        <v>3962</v>
      </c>
      <c r="D585" s="2" t="s">
        <v>3963</v>
      </c>
    </row>
    <row r="586" spans="1:4" ht="15.75" customHeight="1" x14ac:dyDescent="0.25">
      <c r="A586" s="2" t="s">
        <v>1986</v>
      </c>
      <c r="B586" s="2" t="s">
        <v>1988</v>
      </c>
      <c r="C586" s="2" t="s">
        <v>3964</v>
      </c>
      <c r="D586" s="2" t="s">
        <v>3965</v>
      </c>
    </row>
    <row r="587" spans="1:4" ht="15.75" customHeight="1" x14ac:dyDescent="0.25">
      <c r="A587" s="2" t="s">
        <v>1990</v>
      </c>
      <c r="B587" s="2" t="s">
        <v>1992</v>
      </c>
      <c r="C587" s="2" t="s">
        <v>3966</v>
      </c>
      <c r="D587" s="2" t="s">
        <v>3967</v>
      </c>
    </row>
    <row r="588" spans="1:4" ht="15.75" customHeight="1" x14ac:dyDescent="0.25">
      <c r="A588" s="2" t="s">
        <v>1994</v>
      </c>
      <c r="B588" s="2" t="s">
        <v>1996</v>
      </c>
      <c r="C588" s="2" t="s">
        <v>3968</v>
      </c>
      <c r="D588" s="2" t="s">
        <v>3969</v>
      </c>
    </row>
    <row r="589" spans="1:4" ht="15.75" customHeight="1" x14ac:dyDescent="0.25">
      <c r="A589" s="2" t="s">
        <v>1998</v>
      </c>
      <c r="B589" s="2" t="s">
        <v>2000</v>
      </c>
      <c r="C589" s="2" t="s">
        <v>3970</v>
      </c>
      <c r="D589" s="2" t="s">
        <v>3971</v>
      </c>
    </row>
    <row r="590" spans="1:4" ht="15.75" customHeight="1" x14ac:dyDescent="0.25">
      <c r="A590" s="2" t="s">
        <v>2002</v>
      </c>
      <c r="B590" s="2" t="s">
        <v>2004</v>
      </c>
      <c r="C590" s="2" t="s">
        <v>3972</v>
      </c>
      <c r="D590" s="2" t="s">
        <v>3973</v>
      </c>
    </row>
    <row r="591" spans="1:4" ht="15.75" customHeight="1" x14ac:dyDescent="0.25">
      <c r="A591" s="2" t="s">
        <v>2006</v>
      </c>
      <c r="B591" s="2" t="s">
        <v>2008</v>
      </c>
      <c r="C591" s="2" t="s">
        <v>3974</v>
      </c>
      <c r="D591" s="2" t="s">
        <v>2007</v>
      </c>
    </row>
    <row r="592" spans="1:4" ht="15.75" customHeight="1" x14ac:dyDescent="0.25">
      <c r="A592" s="2" t="s">
        <v>2010</v>
      </c>
      <c r="B592" s="2" t="s">
        <v>2012</v>
      </c>
      <c r="C592" s="2" t="s">
        <v>3975</v>
      </c>
      <c r="D592" s="2" t="s">
        <v>3976</v>
      </c>
    </row>
    <row r="593" spans="1:4" ht="15.75" customHeight="1" x14ac:dyDescent="0.25">
      <c r="A593" s="2" t="s">
        <v>2014</v>
      </c>
      <c r="B593" s="2" t="s">
        <v>2016</v>
      </c>
      <c r="C593" s="2" t="s">
        <v>3977</v>
      </c>
      <c r="D593" s="2" t="s">
        <v>3978</v>
      </c>
    </row>
    <row r="594" spans="1:4" ht="15.75" customHeight="1" x14ac:dyDescent="0.25">
      <c r="A594" s="2" t="s">
        <v>2018</v>
      </c>
      <c r="B594" s="2" t="s">
        <v>2019</v>
      </c>
      <c r="C594" s="2" t="s">
        <v>3979</v>
      </c>
      <c r="D594" s="2" t="s">
        <v>3978</v>
      </c>
    </row>
    <row r="595" spans="1:4" ht="15.75" customHeight="1" x14ac:dyDescent="0.25">
      <c r="A595" s="2" t="s">
        <v>2021</v>
      </c>
      <c r="B595" s="2" t="s">
        <v>2023</v>
      </c>
      <c r="C595" s="2" t="s">
        <v>3980</v>
      </c>
      <c r="D595" s="2" t="s">
        <v>3981</v>
      </c>
    </row>
    <row r="596" spans="1:4" ht="15.75" customHeight="1" x14ac:dyDescent="0.25">
      <c r="A596" s="2" t="s">
        <v>2025</v>
      </c>
      <c r="B596" s="2" t="s">
        <v>2026</v>
      </c>
      <c r="C596" s="2" t="s">
        <v>3982</v>
      </c>
      <c r="D596" s="2" t="s">
        <v>3981</v>
      </c>
    </row>
    <row r="597" spans="1:4" ht="15.75" customHeight="1" x14ac:dyDescent="0.25">
      <c r="A597" s="2" t="s">
        <v>2028</v>
      </c>
      <c r="B597" s="2" t="s">
        <v>2030</v>
      </c>
      <c r="C597" s="2" t="s">
        <v>3983</v>
      </c>
      <c r="D597" s="2" t="s">
        <v>3984</v>
      </c>
    </row>
    <row r="598" spans="1:4" ht="15.75" customHeight="1" x14ac:dyDescent="0.25">
      <c r="A598" s="2" t="s">
        <v>2032</v>
      </c>
      <c r="B598" s="2" t="s">
        <v>2034</v>
      </c>
      <c r="C598" s="2" t="s">
        <v>3985</v>
      </c>
      <c r="D598" s="2" t="s">
        <v>3986</v>
      </c>
    </row>
    <row r="599" spans="1:4" ht="15.75" customHeight="1" x14ac:dyDescent="0.25">
      <c r="A599" s="2" t="s">
        <v>2036</v>
      </c>
      <c r="B599" s="2" t="s">
        <v>2037</v>
      </c>
      <c r="C599" s="2" t="s">
        <v>3987</v>
      </c>
      <c r="D599" s="2" t="s">
        <v>3969</v>
      </c>
    </row>
    <row r="600" spans="1:4" ht="15.75" customHeight="1" x14ac:dyDescent="0.25">
      <c r="A600" s="2" t="s">
        <v>2039</v>
      </c>
      <c r="B600" s="2" t="s">
        <v>2041</v>
      </c>
      <c r="C600" s="2" t="s">
        <v>3988</v>
      </c>
      <c r="D600" s="2" t="s">
        <v>3989</v>
      </c>
    </row>
    <row r="601" spans="1:4" ht="15.75" customHeight="1" x14ac:dyDescent="0.25">
      <c r="A601" s="2" t="s">
        <v>2043</v>
      </c>
      <c r="B601" s="2" t="s">
        <v>2045</v>
      </c>
      <c r="C601" s="2" t="s">
        <v>3990</v>
      </c>
      <c r="D601" s="2" t="s">
        <v>3991</v>
      </c>
    </row>
    <row r="602" spans="1:4" ht="15.75" customHeight="1" x14ac:dyDescent="0.25">
      <c r="A602" s="2" t="s">
        <v>2047</v>
      </c>
      <c r="B602" s="2" t="s">
        <v>2049</v>
      </c>
      <c r="C602" s="2" t="s">
        <v>3992</v>
      </c>
      <c r="D602" s="2" t="s">
        <v>2048</v>
      </c>
    </row>
    <row r="603" spans="1:4" ht="15.75" customHeight="1" x14ac:dyDescent="0.25">
      <c r="A603" s="2" t="s">
        <v>2051</v>
      </c>
      <c r="B603" s="2" t="s">
        <v>2053</v>
      </c>
      <c r="C603" s="2" t="s">
        <v>3993</v>
      </c>
      <c r="D603" s="2" t="s">
        <v>3994</v>
      </c>
    </row>
    <row r="604" spans="1:4" ht="15.75" customHeight="1" x14ac:dyDescent="0.25">
      <c r="A604" s="2" t="s">
        <v>2055</v>
      </c>
      <c r="B604" s="2" t="s">
        <v>2057</v>
      </c>
      <c r="C604" s="2" t="s">
        <v>3995</v>
      </c>
      <c r="D604" s="2" t="s">
        <v>3996</v>
      </c>
    </row>
    <row r="605" spans="1:4" ht="15.75" customHeight="1" x14ac:dyDescent="0.25">
      <c r="A605" s="2" t="s">
        <v>2059</v>
      </c>
      <c r="B605" s="2" t="s">
        <v>2060</v>
      </c>
      <c r="C605" s="2" t="s">
        <v>3997</v>
      </c>
      <c r="D605" s="2" t="s">
        <v>3549</v>
      </c>
    </row>
    <row r="606" spans="1:4" ht="15.75" customHeight="1" x14ac:dyDescent="0.25">
      <c r="A606" s="2" t="s">
        <v>2062</v>
      </c>
      <c r="B606" s="2" t="s">
        <v>2064</v>
      </c>
      <c r="C606" s="2" t="s">
        <v>3998</v>
      </c>
      <c r="D606" s="2" t="s">
        <v>3999</v>
      </c>
    </row>
    <row r="607" spans="1:4" ht="15.75" customHeight="1" x14ac:dyDescent="0.25">
      <c r="A607" s="2" t="s">
        <v>2066</v>
      </c>
      <c r="B607" s="2" t="s">
        <v>2068</v>
      </c>
      <c r="C607" s="2" t="s">
        <v>4000</v>
      </c>
      <c r="D607" s="2" t="s">
        <v>4001</v>
      </c>
    </row>
    <row r="608" spans="1:4" ht="15.75" customHeight="1" x14ac:dyDescent="0.25">
      <c r="A608" s="2" t="s">
        <v>2070</v>
      </c>
      <c r="B608" s="2" t="s">
        <v>2072</v>
      </c>
      <c r="C608" s="2" t="s">
        <v>4002</v>
      </c>
      <c r="D608" s="2" t="s">
        <v>4003</v>
      </c>
    </row>
    <row r="609" spans="1:4" ht="15.75" customHeight="1" x14ac:dyDescent="0.25">
      <c r="A609" s="2" t="s">
        <v>2074</v>
      </c>
      <c r="B609" s="2" t="s">
        <v>2076</v>
      </c>
      <c r="C609" s="2" t="s">
        <v>4004</v>
      </c>
      <c r="D609" s="2" t="s">
        <v>4005</v>
      </c>
    </row>
    <row r="610" spans="1:4" ht="15.75" customHeight="1" x14ac:dyDescent="0.25">
      <c r="A610" s="2" t="s">
        <v>2078</v>
      </c>
      <c r="B610" s="2" t="s">
        <v>2079</v>
      </c>
      <c r="C610" s="2" t="s">
        <v>4006</v>
      </c>
      <c r="D610" s="2" t="s">
        <v>3870</v>
      </c>
    </row>
    <row r="611" spans="1:4" ht="15.75" customHeight="1" x14ac:dyDescent="0.25">
      <c r="A611" s="2" t="s">
        <v>2081</v>
      </c>
      <c r="B611" s="2" t="s">
        <v>2082</v>
      </c>
      <c r="C611" s="2" t="s">
        <v>4007</v>
      </c>
      <c r="D611" s="2" t="s">
        <v>3458</v>
      </c>
    </row>
    <row r="612" spans="1:4" ht="15.75" customHeight="1" x14ac:dyDescent="0.25">
      <c r="A612" s="2" t="s">
        <v>2084</v>
      </c>
      <c r="B612" s="2" t="s">
        <v>2086</v>
      </c>
      <c r="C612" s="2" t="s">
        <v>4008</v>
      </c>
      <c r="D612" s="2" t="s">
        <v>4009</v>
      </c>
    </row>
    <row r="613" spans="1:4" ht="15.75" customHeight="1" x14ac:dyDescent="0.25">
      <c r="A613" s="2" t="s">
        <v>2088</v>
      </c>
      <c r="B613" s="2" t="s">
        <v>2089</v>
      </c>
      <c r="C613" s="2" t="s">
        <v>4010</v>
      </c>
      <c r="D613" s="2" t="s">
        <v>3806</v>
      </c>
    </row>
    <row r="614" spans="1:4" ht="15.75" customHeight="1" x14ac:dyDescent="0.25">
      <c r="A614" s="2" t="s">
        <v>2091</v>
      </c>
      <c r="B614" s="2" t="s">
        <v>2093</v>
      </c>
      <c r="C614" s="2" t="s">
        <v>4011</v>
      </c>
      <c r="D614" s="2" t="s">
        <v>4012</v>
      </c>
    </row>
    <row r="615" spans="1:4" ht="15.75" customHeight="1" x14ac:dyDescent="0.25">
      <c r="A615" s="2" t="s">
        <v>2095</v>
      </c>
      <c r="B615" s="2" t="s">
        <v>2097</v>
      </c>
      <c r="C615" s="2" t="s">
        <v>4013</v>
      </c>
      <c r="D615" s="2" t="s">
        <v>4014</v>
      </c>
    </row>
    <row r="616" spans="1:4" ht="15.75" customHeight="1" x14ac:dyDescent="0.25">
      <c r="A616" s="2" t="s">
        <v>2099</v>
      </c>
      <c r="B616" s="2" t="s">
        <v>2101</v>
      </c>
      <c r="C616" s="2" t="s">
        <v>4015</v>
      </c>
      <c r="D616" s="2" t="s">
        <v>4016</v>
      </c>
    </row>
    <row r="617" spans="1:4" ht="15.75" customHeight="1" x14ac:dyDescent="0.25">
      <c r="A617" s="2" t="s">
        <v>2103</v>
      </c>
      <c r="B617" s="2" t="s">
        <v>2104</v>
      </c>
      <c r="C617" s="2" t="s">
        <v>4017</v>
      </c>
      <c r="D617" s="2" t="s">
        <v>4016</v>
      </c>
    </row>
    <row r="618" spans="1:4" ht="15.75" customHeight="1" x14ac:dyDescent="0.25">
      <c r="A618" s="2" t="s">
        <v>2106</v>
      </c>
      <c r="B618" s="2" t="s">
        <v>2108</v>
      </c>
      <c r="C618" s="2" t="s">
        <v>4018</v>
      </c>
      <c r="D618" s="2" t="s">
        <v>2107</v>
      </c>
    </row>
    <row r="619" spans="1:4" ht="15.75" customHeight="1" x14ac:dyDescent="0.25">
      <c r="A619" s="2" t="s">
        <v>2110</v>
      </c>
      <c r="B619" s="2" t="s">
        <v>2112</v>
      </c>
      <c r="C619" s="2" t="s">
        <v>4019</v>
      </c>
      <c r="D619" s="2" t="s">
        <v>4020</v>
      </c>
    </row>
    <row r="620" spans="1:4" ht="15.75" customHeight="1" x14ac:dyDescent="0.25">
      <c r="A620" s="2" t="s">
        <v>2114</v>
      </c>
      <c r="B620" s="2" t="s">
        <v>2116</v>
      </c>
      <c r="C620" s="2" t="s">
        <v>4021</v>
      </c>
      <c r="D620" s="2" t="s">
        <v>4022</v>
      </c>
    </row>
    <row r="621" spans="1:4" ht="15.75" customHeight="1" x14ac:dyDescent="0.25">
      <c r="A621" s="2" t="s">
        <v>2118</v>
      </c>
      <c r="B621" s="2" t="s">
        <v>2120</v>
      </c>
      <c r="C621" s="2" t="s">
        <v>4023</v>
      </c>
      <c r="D621" s="2" t="s">
        <v>4024</v>
      </c>
    </row>
    <row r="622" spans="1:4" ht="15.75" customHeight="1" x14ac:dyDescent="0.25">
      <c r="A622" s="2" t="s">
        <v>2122</v>
      </c>
      <c r="B622" s="2" t="s">
        <v>2123</v>
      </c>
      <c r="C622" s="2" t="s">
        <v>4025</v>
      </c>
      <c r="D622" s="2" t="s">
        <v>3471</v>
      </c>
    </row>
    <row r="623" spans="1:4" ht="15.75" customHeight="1" x14ac:dyDescent="0.25">
      <c r="A623" s="2" t="s">
        <v>2125</v>
      </c>
      <c r="B623" s="2" t="s">
        <v>2126</v>
      </c>
      <c r="C623" s="2" t="s">
        <v>4026</v>
      </c>
      <c r="D623" s="2" t="s">
        <v>3471</v>
      </c>
    </row>
    <row r="624" spans="1:4" ht="15.75" customHeight="1" x14ac:dyDescent="0.25">
      <c r="A624" s="2" t="s">
        <v>2128</v>
      </c>
      <c r="B624" s="2" t="s">
        <v>2130</v>
      </c>
      <c r="C624" s="2" t="s">
        <v>4027</v>
      </c>
      <c r="D624" s="2" t="s">
        <v>4028</v>
      </c>
    </row>
    <row r="625" spans="1:4" ht="15.75" customHeight="1" x14ac:dyDescent="0.25">
      <c r="A625" s="2" t="s">
        <v>2132</v>
      </c>
      <c r="B625" s="2" t="s">
        <v>2133</v>
      </c>
      <c r="C625" s="2" t="s">
        <v>4029</v>
      </c>
      <c r="D625" s="2" t="s">
        <v>4028</v>
      </c>
    </row>
    <row r="626" spans="1:4" ht="15.75" customHeight="1" x14ac:dyDescent="0.25">
      <c r="A626" s="2" t="s">
        <v>2135</v>
      </c>
      <c r="B626" s="2" t="s">
        <v>2137</v>
      </c>
      <c r="C626" s="2" t="s">
        <v>4030</v>
      </c>
      <c r="D626" s="2" t="s">
        <v>4031</v>
      </c>
    </row>
    <row r="627" spans="1:4" ht="15.75" customHeight="1" x14ac:dyDescent="0.25">
      <c r="A627" s="2" t="s">
        <v>2139</v>
      </c>
      <c r="B627" s="2" t="s">
        <v>2141</v>
      </c>
      <c r="C627" s="2" t="s">
        <v>4032</v>
      </c>
      <c r="D627" s="2" t="s">
        <v>4033</v>
      </c>
    </row>
    <row r="628" spans="1:4" ht="15.75" customHeight="1" x14ac:dyDescent="0.25">
      <c r="A628" s="2" t="s">
        <v>2143</v>
      </c>
      <c r="B628" s="2" t="s">
        <v>2145</v>
      </c>
      <c r="C628" s="2" t="s">
        <v>4034</v>
      </c>
      <c r="D628" s="2" t="s">
        <v>4035</v>
      </c>
    </row>
    <row r="629" spans="1:4" ht="15.75" customHeight="1" x14ac:dyDescent="0.25">
      <c r="A629" s="2" t="s">
        <v>2147</v>
      </c>
      <c r="B629" s="2" t="s">
        <v>2149</v>
      </c>
      <c r="C629" s="2" t="s">
        <v>4036</v>
      </c>
      <c r="D629" s="2" t="s">
        <v>4037</v>
      </c>
    </row>
    <row r="630" spans="1:4" ht="15.75" customHeight="1" x14ac:dyDescent="0.25">
      <c r="A630" s="2" t="s">
        <v>2151</v>
      </c>
      <c r="B630" s="2" t="s">
        <v>2153</v>
      </c>
      <c r="C630" s="2" t="s">
        <v>4038</v>
      </c>
      <c r="D630" s="2" t="s">
        <v>4039</v>
      </c>
    </row>
    <row r="631" spans="1:4" ht="15.75" customHeight="1" x14ac:dyDescent="0.25">
      <c r="A631" s="2" t="s">
        <v>2155</v>
      </c>
      <c r="B631" s="2" t="s">
        <v>2157</v>
      </c>
      <c r="C631" s="2" t="s">
        <v>4040</v>
      </c>
      <c r="D631" s="2" t="s">
        <v>2156</v>
      </c>
    </row>
    <row r="632" spans="1:4" ht="15.75" customHeight="1" x14ac:dyDescent="0.25">
      <c r="A632" s="2" t="s">
        <v>2159</v>
      </c>
      <c r="B632" s="2" t="s">
        <v>2160</v>
      </c>
      <c r="C632" s="2" t="s">
        <v>4041</v>
      </c>
      <c r="D632" s="2" t="s">
        <v>3206</v>
      </c>
    </row>
    <row r="633" spans="1:4" ht="15.75" customHeight="1" x14ac:dyDescent="0.25">
      <c r="A633" s="2" t="s">
        <v>2159</v>
      </c>
      <c r="B633" s="2" t="s">
        <v>2162</v>
      </c>
      <c r="C633" s="2" t="s">
        <v>4041</v>
      </c>
      <c r="D633" s="2" t="s">
        <v>3206</v>
      </c>
    </row>
    <row r="634" spans="1:4" ht="15.75" customHeight="1" x14ac:dyDescent="0.25">
      <c r="A634" s="2" t="s">
        <v>2159</v>
      </c>
      <c r="B634" s="2" t="s">
        <v>2163</v>
      </c>
      <c r="C634" s="2" t="s">
        <v>4041</v>
      </c>
      <c r="D634" s="2" t="s">
        <v>3206</v>
      </c>
    </row>
    <row r="635" spans="1:4" ht="15.75" customHeight="1" x14ac:dyDescent="0.25">
      <c r="A635" s="2" t="s">
        <v>2164</v>
      </c>
      <c r="B635" s="2" t="s">
        <v>2165</v>
      </c>
      <c r="C635" s="2" t="s">
        <v>4042</v>
      </c>
      <c r="D635" s="2" t="s">
        <v>3922</v>
      </c>
    </row>
    <row r="636" spans="1:4" ht="15.75" customHeight="1" x14ac:dyDescent="0.25">
      <c r="A636" s="2" t="s">
        <v>2167</v>
      </c>
      <c r="B636" s="2" t="s">
        <v>2168</v>
      </c>
      <c r="C636" s="2" t="s">
        <v>4043</v>
      </c>
      <c r="D636" s="2" t="s">
        <v>2156</v>
      </c>
    </row>
    <row r="637" spans="1:4" ht="15.75" customHeight="1" x14ac:dyDescent="0.25">
      <c r="A637" s="2" t="s">
        <v>2170</v>
      </c>
      <c r="B637" s="2" t="s">
        <v>2171</v>
      </c>
      <c r="C637" s="2" t="s">
        <v>4044</v>
      </c>
      <c r="D637" s="2" t="s">
        <v>2156</v>
      </c>
    </row>
    <row r="638" spans="1:4" ht="15.75" customHeight="1" x14ac:dyDescent="0.25">
      <c r="A638" s="2" t="s">
        <v>2173</v>
      </c>
      <c r="B638" s="2" t="s">
        <v>2175</v>
      </c>
      <c r="C638" s="2" t="s">
        <v>4045</v>
      </c>
      <c r="D638" s="2" t="s">
        <v>4046</v>
      </c>
    </row>
    <row r="639" spans="1:4" ht="15.75" customHeight="1" x14ac:dyDescent="0.25">
      <c r="A639" s="2" t="s">
        <v>2177</v>
      </c>
      <c r="B639" s="2" t="s">
        <v>2178</v>
      </c>
      <c r="C639" s="2" t="s">
        <v>4047</v>
      </c>
      <c r="D639" s="2" t="s">
        <v>4046</v>
      </c>
    </row>
    <row r="640" spans="1:4" ht="15.75" customHeight="1" x14ac:dyDescent="0.25">
      <c r="A640" s="2" t="s">
        <v>2180</v>
      </c>
      <c r="B640" s="2" t="s">
        <v>2181</v>
      </c>
      <c r="C640" s="2" t="s">
        <v>4048</v>
      </c>
      <c r="D640" s="2" t="s">
        <v>4046</v>
      </c>
    </row>
    <row r="641" spans="1:4" ht="15.75" customHeight="1" x14ac:dyDescent="0.25">
      <c r="A641" s="2" t="s">
        <v>2183</v>
      </c>
      <c r="B641" s="2" t="s">
        <v>2185</v>
      </c>
      <c r="C641" s="2" t="s">
        <v>4049</v>
      </c>
      <c r="D641" s="2" t="s">
        <v>4050</v>
      </c>
    </row>
    <row r="642" spans="1:4" ht="15.75" customHeight="1" x14ac:dyDescent="0.25">
      <c r="A642" s="2" t="s">
        <v>2187</v>
      </c>
      <c r="B642" s="2" t="s">
        <v>2188</v>
      </c>
      <c r="C642" s="2" t="s">
        <v>4051</v>
      </c>
      <c r="D642" s="2" t="s">
        <v>4050</v>
      </c>
    </row>
    <row r="643" spans="1:4" ht="15.75" customHeight="1" x14ac:dyDescent="0.25">
      <c r="A643" s="2" t="s">
        <v>2190</v>
      </c>
      <c r="B643" s="2" t="s">
        <v>2192</v>
      </c>
      <c r="C643" s="2" t="s">
        <v>4052</v>
      </c>
      <c r="D643" s="2" t="s">
        <v>4053</v>
      </c>
    </row>
    <row r="644" spans="1:4" ht="15.75" customHeight="1" x14ac:dyDescent="0.25">
      <c r="A644" s="2" t="s">
        <v>2194</v>
      </c>
      <c r="B644" s="2" t="s">
        <v>2196</v>
      </c>
      <c r="C644" s="2" t="s">
        <v>4054</v>
      </c>
      <c r="D644" s="2" t="s">
        <v>4055</v>
      </c>
    </row>
    <row r="645" spans="1:4" ht="15.75" customHeight="1" x14ac:dyDescent="0.25">
      <c r="A645" s="2" t="s">
        <v>2198</v>
      </c>
      <c r="B645" s="2" t="s">
        <v>2200</v>
      </c>
      <c r="C645" s="2" t="s">
        <v>4056</v>
      </c>
      <c r="D645" s="2" t="s">
        <v>4057</v>
      </c>
    </row>
    <row r="646" spans="1:4" ht="15.75" customHeight="1" x14ac:dyDescent="0.25">
      <c r="A646" s="2" t="s">
        <v>2202</v>
      </c>
      <c r="B646" s="2" t="s">
        <v>2203</v>
      </c>
      <c r="C646" s="2" t="s">
        <v>4058</v>
      </c>
      <c r="D646" s="2" t="s">
        <v>3922</v>
      </c>
    </row>
    <row r="647" spans="1:4" ht="15.75" customHeight="1" x14ac:dyDescent="0.25">
      <c r="A647" s="2" t="s">
        <v>2205</v>
      </c>
      <c r="B647" s="2" t="s">
        <v>2207</v>
      </c>
      <c r="C647" s="2" t="s">
        <v>4059</v>
      </c>
      <c r="D647" s="2" t="s">
        <v>4060</v>
      </c>
    </row>
    <row r="648" spans="1:4" ht="15.75" customHeight="1" x14ac:dyDescent="0.25">
      <c r="A648" s="2" t="s">
        <v>2209</v>
      </c>
      <c r="B648" s="2" t="s">
        <v>2211</v>
      </c>
      <c r="C648" s="2" t="s">
        <v>4061</v>
      </c>
      <c r="D648" s="2" t="s">
        <v>4062</v>
      </c>
    </row>
    <row r="649" spans="1:4" ht="15.75" customHeight="1" x14ac:dyDescent="0.25">
      <c r="A649" s="2" t="s">
        <v>2213</v>
      </c>
      <c r="B649" s="2" t="s">
        <v>2214</v>
      </c>
      <c r="C649" s="2" t="s">
        <v>4063</v>
      </c>
      <c r="D649" s="2" t="s">
        <v>4062</v>
      </c>
    </row>
    <row r="650" spans="1:4" ht="15.75" customHeight="1" x14ac:dyDescent="0.25">
      <c r="A650" s="2" t="s">
        <v>2216</v>
      </c>
      <c r="B650" s="2" t="s">
        <v>2218</v>
      </c>
      <c r="C650" s="2" t="s">
        <v>4064</v>
      </c>
      <c r="D650" s="2" t="s">
        <v>4065</v>
      </c>
    </row>
    <row r="651" spans="1:4" ht="15.75" customHeight="1" x14ac:dyDescent="0.25">
      <c r="A651" s="2" t="s">
        <v>2220</v>
      </c>
      <c r="B651" s="2" t="s">
        <v>2222</v>
      </c>
      <c r="C651" s="2" t="s">
        <v>4066</v>
      </c>
      <c r="D651" s="2" t="s">
        <v>4067</v>
      </c>
    </row>
    <row r="652" spans="1:4" ht="15.75" customHeight="1" x14ac:dyDescent="0.25">
      <c r="A652" s="2" t="s">
        <v>2224</v>
      </c>
      <c r="B652" s="2" t="s">
        <v>2226</v>
      </c>
      <c r="C652" s="2" t="s">
        <v>4068</v>
      </c>
      <c r="D652" s="2" t="s">
        <v>4069</v>
      </c>
    </row>
    <row r="653" spans="1:4" ht="15.75" customHeight="1" x14ac:dyDescent="0.25">
      <c r="A653" s="2" t="s">
        <v>2228</v>
      </c>
      <c r="B653" s="2" t="s">
        <v>2230</v>
      </c>
      <c r="C653" s="2" t="s">
        <v>4070</v>
      </c>
      <c r="D653" s="2" t="s">
        <v>4071</v>
      </c>
    </row>
    <row r="654" spans="1:4" ht="15.75" customHeight="1" x14ac:dyDescent="0.25">
      <c r="A654" s="2" t="s">
        <v>2232</v>
      </c>
      <c r="B654" s="2" t="s">
        <v>2234</v>
      </c>
      <c r="C654" s="2" t="s">
        <v>4072</v>
      </c>
      <c r="D654" s="2" t="s">
        <v>4073</v>
      </c>
    </row>
    <row r="655" spans="1:4" ht="15.75" customHeight="1" x14ac:dyDescent="0.25">
      <c r="A655" s="2" t="s">
        <v>2236</v>
      </c>
      <c r="B655" s="2" t="s">
        <v>2238</v>
      </c>
      <c r="C655" s="2" t="s">
        <v>4074</v>
      </c>
      <c r="D655" s="2" t="s">
        <v>4075</v>
      </c>
    </row>
    <row r="656" spans="1:4" ht="15.75" customHeight="1" x14ac:dyDescent="0.25">
      <c r="A656" s="2" t="s">
        <v>2240</v>
      </c>
      <c r="B656" s="2" t="s">
        <v>2242</v>
      </c>
      <c r="C656" s="2" t="s">
        <v>4076</v>
      </c>
      <c r="D656" s="2" t="s">
        <v>4077</v>
      </c>
    </row>
    <row r="657" spans="1:4" ht="15.75" customHeight="1" x14ac:dyDescent="0.25">
      <c r="A657" s="2" t="s">
        <v>2244</v>
      </c>
      <c r="B657" s="2" t="s">
        <v>2245</v>
      </c>
      <c r="C657" s="2" t="s">
        <v>4078</v>
      </c>
      <c r="D657" s="2" t="s">
        <v>3922</v>
      </c>
    </row>
    <row r="658" spans="1:4" ht="15.75" customHeight="1" x14ac:dyDescent="0.25">
      <c r="A658" s="2" t="s">
        <v>2247</v>
      </c>
      <c r="B658" s="2" t="s">
        <v>2248</v>
      </c>
      <c r="C658" s="2" t="s">
        <v>4079</v>
      </c>
      <c r="D658" s="2" t="s">
        <v>4077</v>
      </c>
    </row>
    <row r="659" spans="1:4" ht="15.75" customHeight="1" x14ac:dyDescent="0.25">
      <c r="A659" s="2" t="s">
        <v>2250</v>
      </c>
      <c r="B659" s="2" t="s">
        <v>2251</v>
      </c>
      <c r="C659" s="2" t="s">
        <v>4080</v>
      </c>
      <c r="D659" s="2" t="s">
        <v>3761</v>
      </c>
    </row>
    <row r="660" spans="1:4" ht="15.75" customHeight="1" x14ac:dyDescent="0.25">
      <c r="A660" s="2" t="s">
        <v>2253</v>
      </c>
      <c r="B660" s="2" t="s">
        <v>2255</v>
      </c>
      <c r="C660" s="2" t="s">
        <v>4081</v>
      </c>
      <c r="D660" s="2" t="s">
        <v>4082</v>
      </c>
    </row>
    <row r="661" spans="1:4" ht="15.75" customHeight="1" x14ac:dyDescent="0.25">
      <c r="A661" s="2" t="s">
        <v>2257</v>
      </c>
      <c r="B661" s="2" t="s">
        <v>2258</v>
      </c>
      <c r="C661" s="2" t="s">
        <v>4083</v>
      </c>
      <c r="D661" s="2" t="s">
        <v>4082</v>
      </c>
    </row>
    <row r="662" spans="1:4" ht="15.75" customHeight="1" x14ac:dyDescent="0.25">
      <c r="A662" s="2" t="s">
        <v>2260</v>
      </c>
      <c r="B662" s="2" t="s">
        <v>2262</v>
      </c>
      <c r="C662" s="2" t="s">
        <v>4084</v>
      </c>
      <c r="D662" s="2" t="s">
        <v>4085</v>
      </c>
    </row>
    <row r="663" spans="1:4" ht="15.75" customHeight="1" x14ac:dyDescent="0.25">
      <c r="A663" s="2" t="s">
        <v>2264</v>
      </c>
      <c r="B663" s="2" t="s">
        <v>2266</v>
      </c>
      <c r="C663" s="2" t="s">
        <v>4086</v>
      </c>
      <c r="D663" s="2" t="s">
        <v>4087</v>
      </c>
    </row>
    <row r="664" spans="1:4" ht="15.75" customHeight="1" x14ac:dyDescent="0.25">
      <c r="A664" s="2" t="s">
        <v>2268</v>
      </c>
      <c r="B664" s="2" t="s">
        <v>2270</v>
      </c>
      <c r="C664" s="2" t="s">
        <v>4088</v>
      </c>
      <c r="D664" s="2" t="s">
        <v>2269</v>
      </c>
    </row>
    <row r="665" spans="1:4" ht="15.75" customHeight="1" x14ac:dyDescent="0.25">
      <c r="A665" s="2" t="s">
        <v>2272</v>
      </c>
      <c r="B665" s="2" t="s">
        <v>2274</v>
      </c>
      <c r="C665" s="2" t="s">
        <v>4089</v>
      </c>
      <c r="D665" s="2" t="s">
        <v>2273</v>
      </c>
    </row>
    <row r="666" spans="1:4" ht="15.75" customHeight="1" x14ac:dyDescent="0.25">
      <c r="A666" s="2" t="s">
        <v>2276</v>
      </c>
      <c r="B666" s="2" t="s">
        <v>2278</v>
      </c>
      <c r="C666" s="2" t="s">
        <v>4090</v>
      </c>
      <c r="D666" s="2" t="s">
        <v>2277</v>
      </c>
    </row>
    <row r="667" spans="1:4" ht="15.75" customHeight="1" x14ac:dyDescent="0.25">
      <c r="A667" s="2" t="s">
        <v>2280</v>
      </c>
      <c r="B667" s="2" t="s">
        <v>2282</v>
      </c>
      <c r="C667" s="2" t="s">
        <v>4091</v>
      </c>
      <c r="D667" s="2" t="s">
        <v>4092</v>
      </c>
    </row>
    <row r="668" spans="1:4" ht="15.75" customHeight="1" x14ac:dyDescent="0.25">
      <c r="A668" s="2" t="s">
        <v>2284</v>
      </c>
      <c r="B668" s="2" t="s">
        <v>2286</v>
      </c>
      <c r="C668" s="2" t="s">
        <v>4093</v>
      </c>
      <c r="D668" s="2" t="s">
        <v>2285</v>
      </c>
    </row>
    <row r="669" spans="1:4" ht="15.75" customHeight="1" x14ac:dyDescent="0.25">
      <c r="A669" s="2" t="s">
        <v>2288</v>
      </c>
      <c r="B669" s="2" t="s">
        <v>2290</v>
      </c>
      <c r="C669" s="2" t="s">
        <v>4094</v>
      </c>
      <c r="D669" s="2" t="s">
        <v>4095</v>
      </c>
    </row>
    <row r="670" spans="1:4" ht="15.75" customHeight="1" x14ac:dyDescent="0.25">
      <c r="A670" s="2" t="s">
        <v>2292</v>
      </c>
      <c r="B670" s="2" t="s">
        <v>2294</v>
      </c>
      <c r="C670" s="2" t="s">
        <v>4096</v>
      </c>
      <c r="D670" s="2" t="s">
        <v>4097</v>
      </c>
    </row>
    <row r="671" spans="1:4" ht="15.75" customHeight="1" x14ac:dyDescent="0.25">
      <c r="A671" s="2" t="s">
        <v>2296</v>
      </c>
      <c r="B671" s="2" t="s">
        <v>2298</v>
      </c>
      <c r="C671" s="2" t="s">
        <v>4098</v>
      </c>
      <c r="D671" s="2" t="s">
        <v>4099</v>
      </c>
    </row>
    <row r="672" spans="1:4" ht="15.75" customHeight="1" x14ac:dyDescent="0.25">
      <c r="A672" s="2" t="s">
        <v>2300</v>
      </c>
      <c r="B672" s="2" t="s">
        <v>2302</v>
      </c>
      <c r="C672" s="2" t="s">
        <v>4100</v>
      </c>
      <c r="D672" s="2" t="s">
        <v>4101</v>
      </c>
    </row>
    <row r="673" spans="1:4" ht="15.75" customHeight="1" x14ac:dyDescent="0.25">
      <c r="A673" s="2" t="s">
        <v>2304</v>
      </c>
      <c r="B673" s="2" t="s">
        <v>2305</v>
      </c>
      <c r="C673" s="2" t="s">
        <v>4102</v>
      </c>
      <c r="D673" s="2" t="s">
        <v>3952</v>
      </c>
    </row>
    <row r="674" spans="1:4" ht="15.75" customHeight="1" x14ac:dyDescent="0.25">
      <c r="A674" s="2" t="s">
        <v>2307</v>
      </c>
      <c r="B674" s="2" t="s">
        <v>2308</v>
      </c>
      <c r="C674" s="2" t="s">
        <v>4103</v>
      </c>
      <c r="D674" s="2" t="s">
        <v>3534</v>
      </c>
    </row>
    <row r="675" spans="1:4" ht="15.75" customHeight="1" x14ac:dyDescent="0.25">
      <c r="A675" s="2" t="s">
        <v>2310</v>
      </c>
      <c r="B675" s="2" t="s">
        <v>2312</v>
      </c>
      <c r="C675" s="2" t="s">
        <v>4104</v>
      </c>
      <c r="D675" s="2" t="s">
        <v>4105</v>
      </c>
    </row>
    <row r="676" spans="1:4" ht="15.75" customHeight="1" x14ac:dyDescent="0.25">
      <c r="A676" s="2" t="s">
        <v>2314</v>
      </c>
      <c r="B676" s="2" t="s">
        <v>2315</v>
      </c>
      <c r="C676" s="2" t="s">
        <v>4106</v>
      </c>
      <c r="D676" s="2" t="s">
        <v>3302</v>
      </c>
    </row>
    <row r="677" spans="1:4" ht="15.75" customHeight="1" x14ac:dyDescent="0.25">
      <c r="A677" s="2" t="s">
        <v>2317</v>
      </c>
      <c r="B677" s="2" t="s">
        <v>2319</v>
      </c>
      <c r="C677" s="2" t="s">
        <v>4107</v>
      </c>
      <c r="D677" s="2" t="s">
        <v>4108</v>
      </c>
    </row>
    <row r="678" spans="1:4" ht="15.75" customHeight="1" x14ac:dyDescent="0.25">
      <c r="A678" s="2" t="s">
        <v>2321</v>
      </c>
      <c r="B678" s="2" t="s">
        <v>2323</v>
      </c>
      <c r="C678" s="2" t="s">
        <v>4109</v>
      </c>
      <c r="D678" s="2" t="s">
        <v>2322</v>
      </c>
    </row>
    <row r="679" spans="1:4" ht="15.75" customHeight="1" x14ac:dyDescent="0.25">
      <c r="A679" s="2" t="s">
        <v>2325</v>
      </c>
      <c r="B679" s="2" t="s">
        <v>2326</v>
      </c>
      <c r="C679" s="2" t="s">
        <v>4110</v>
      </c>
      <c r="D679" s="2" t="s">
        <v>2285</v>
      </c>
    </row>
    <row r="680" spans="1:4" ht="15.75" customHeight="1" x14ac:dyDescent="0.25">
      <c r="A680" s="2" t="s">
        <v>2328</v>
      </c>
      <c r="B680" s="2" t="s">
        <v>2330</v>
      </c>
      <c r="C680" s="2" t="s">
        <v>4111</v>
      </c>
      <c r="D680" s="2" t="s">
        <v>4112</v>
      </c>
    </row>
    <row r="681" spans="1:4" ht="15.75" customHeight="1" x14ac:dyDescent="0.25">
      <c r="A681" s="2" t="s">
        <v>2332</v>
      </c>
      <c r="B681" s="2" t="s">
        <v>2334</v>
      </c>
      <c r="C681" s="2" t="s">
        <v>4113</v>
      </c>
      <c r="D681" s="2" t="s">
        <v>4114</v>
      </c>
    </row>
    <row r="682" spans="1:4" ht="15.75" customHeight="1" x14ac:dyDescent="0.25">
      <c r="A682" s="2" t="s">
        <v>2332</v>
      </c>
      <c r="B682" s="2" t="s">
        <v>2336</v>
      </c>
      <c r="C682" s="2" t="s">
        <v>4113</v>
      </c>
      <c r="D682" s="2" t="s">
        <v>4114</v>
      </c>
    </row>
    <row r="683" spans="1:4" ht="15.75" customHeight="1" x14ac:dyDescent="0.25">
      <c r="A683" s="2" t="s">
        <v>2337</v>
      </c>
      <c r="B683" s="2" t="s">
        <v>2334</v>
      </c>
      <c r="C683" s="2" t="s">
        <v>4115</v>
      </c>
      <c r="D683" s="2" t="s">
        <v>4116</v>
      </c>
    </row>
    <row r="684" spans="1:4" ht="15.75" customHeight="1" x14ac:dyDescent="0.25">
      <c r="A684" s="2" t="s">
        <v>2337</v>
      </c>
      <c r="B684" s="2" t="s">
        <v>2336</v>
      </c>
      <c r="C684" s="2" t="s">
        <v>4115</v>
      </c>
      <c r="D684" s="2" t="s">
        <v>4116</v>
      </c>
    </row>
    <row r="685" spans="1:4" ht="15.75" customHeight="1" x14ac:dyDescent="0.25">
      <c r="A685" s="2" t="s">
        <v>2340</v>
      </c>
      <c r="B685" s="2" t="s">
        <v>2342</v>
      </c>
      <c r="C685" s="2" t="s">
        <v>4117</v>
      </c>
      <c r="D685" s="2" t="s">
        <v>4118</v>
      </c>
    </row>
    <row r="686" spans="1:4" ht="15.75" customHeight="1" x14ac:dyDescent="0.25">
      <c r="A686" s="2" t="s">
        <v>2344</v>
      </c>
      <c r="B686" s="2" t="s">
        <v>2346</v>
      </c>
      <c r="C686" s="2" t="s">
        <v>4119</v>
      </c>
      <c r="D686" s="2" t="s">
        <v>4120</v>
      </c>
    </row>
    <row r="687" spans="1:4" ht="15.75" customHeight="1" x14ac:dyDescent="0.25">
      <c r="A687" s="2" t="s">
        <v>2348</v>
      </c>
      <c r="B687" s="2" t="s">
        <v>2334</v>
      </c>
      <c r="C687" s="2" t="s">
        <v>4121</v>
      </c>
      <c r="D687" s="2" t="s">
        <v>4122</v>
      </c>
    </row>
    <row r="688" spans="1:4" ht="15.75" customHeight="1" x14ac:dyDescent="0.25">
      <c r="A688" s="2" t="s">
        <v>2348</v>
      </c>
      <c r="B688" s="2" t="s">
        <v>2336</v>
      </c>
      <c r="C688" s="2" t="s">
        <v>4121</v>
      </c>
      <c r="D688" s="2" t="s">
        <v>4122</v>
      </c>
    </row>
    <row r="689" spans="1:4" ht="15.75" customHeight="1" x14ac:dyDescent="0.25">
      <c r="A689" s="2" t="s">
        <v>2351</v>
      </c>
      <c r="B689" s="2" t="s">
        <v>2353</v>
      </c>
      <c r="C689" s="2" t="s">
        <v>4123</v>
      </c>
      <c r="D689" s="2" t="s">
        <v>4124</v>
      </c>
    </row>
    <row r="690" spans="1:4" ht="15.75" customHeight="1" x14ac:dyDescent="0.25">
      <c r="A690" s="2" t="s">
        <v>2351</v>
      </c>
      <c r="B690" s="2" t="s">
        <v>2355</v>
      </c>
      <c r="C690" s="2" t="s">
        <v>4123</v>
      </c>
      <c r="D690" s="2" t="s">
        <v>4124</v>
      </c>
    </row>
    <row r="691" spans="1:4" ht="15.75" customHeight="1" x14ac:dyDescent="0.25">
      <c r="A691" s="2" t="s">
        <v>2351</v>
      </c>
      <c r="B691" s="2" t="s">
        <v>2356</v>
      </c>
      <c r="C691" s="2" t="s">
        <v>4123</v>
      </c>
      <c r="D691" s="2" t="s">
        <v>4124</v>
      </c>
    </row>
    <row r="692" spans="1:4" ht="15.75" customHeight="1" x14ac:dyDescent="0.25">
      <c r="A692" s="2" t="s">
        <v>2357</v>
      </c>
      <c r="B692" s="2" t="s">
        <v>2359</v>
      </c>
      <c r="C692" s="2" t="s">
        <v>4125</v>
      </c>
      <c r="D692" s="2" t="s">
        <v>2358</v>
      </c>
    </row>
    <row r="693" spans="1:4" ht="15.75" customHeight="1" x14ac:dyDescent="0.25">
      <c r="A693" s="2" t="s">
        <v>2357</v>
      </c>
      <c r="B693" s="2" t="s">
        <v>2361</v>
      </c>
      <c r="C693" s="2" t="s">
        <v>4125</v>
      </c>
      <c r="D693" s="2" t="s">
        <v>2358</v>
      </c>
    </row>
    <row r="694" spans="1:4" ht="15.75" customHeight="1" x14ac:dyDescent="0.25">
      <c r="A694" s="2" t="s">
        <v>2362</v>
      </c>
      <c r="B694" s="2" t="s">
        <v>2364</v>
      </c>
      <c r="C694" s="2" t="s">
        <v>4126</v>
      </c>
      <c r="D694" s="2" t="s">
        <v>2363</v>
      </c>
    </row>
    <row r="695" spans="1:4" ht="15.75" customHeight="1" x14ac:dyDescent="0.25">
      <c r="A695" s="2" t="s">
        <v>2362</v>
      </c>
      <c r="B695" s="2" t="s">
        <v>2366</v>
      </c>
      <c r="C695" s="2" t="s">
        <v>4126</v>
      </c>
      <c r="D695" s="2" t="s">
        <v>2363</v>
      </c>
    </row>
    <row r="696" spans="1:4" ht="15.75" customHeight="1" x14ac:dyDescent="0.25">
      <c r="A696" s="2" t="s">
        <v>2367</v>
      </c>
      <c r="B696" s="2" t="s">
        <v>2369</v>
      </c>
      <c r="C696" s="2" t="s">
        <v>4127</v>
      </c>
      <c r="D696" s="2" t="s">
        <v>4128</v>
      </c>
    </row>
    <row r="697" spans="1:4" ht="15.75" customHeight="1" x14ac:dyDescent="0.25">
      <c r="A697" s="2" t="s">
        <v>2371</v>
      </c>
      <c r="B697" s="2" t="s">
        <v>2372</v>
      </c>
      <c r="C697" s="2" t="s">
        <v>4129</v>
      </c>
      <c r="D697" s="2" t="s">
        <v>2285</v>
      </c>
    </row>
    <row r="698" spans="1:4" ht="15.75" customHeight="1" x14ac:dyDescent="0.25">
      <c r="A698" s="2" t="s">
        <v>2371</v>
      </c>
      <c r="B698" s="2" t="s">
        <v>2374</v>
      </c>
      <c r="C698" s="2" t="s">
        <v>4129</v>
      </c>
      <c r="D698" s="2" t="s">
        <v>2285</v>
      </c>
    </row>
    <row r="699" spans="1:4" ht="15.75" customHeight="1" x14ac:dyDescent="0.25">
      <c r="A699" s="2" t="s">
        <v>2375</v>
      </c>
      <c r="B699" s="2" t="s">
        <v>2377</v>
      </c>
      <c r="C699" s="2" t="s">
        <v>4130</v>
      </c>
      <c r="D699" s="2" t="s">
        <v>4131</v>
      </c>
    </row>
    <row r="700" spans="1:4" ht="15.75" customHeight="1" x14ac:dyDescent="0.25">
      <c r="A700" s="2" t="s">
        <v>2379</v>
      </c>
      <c r="B700" s="2" t="s">
        <v>2381</v>
      </c>
      <c r="C700" s="2" t="s">
        <v>4132</v>
      </c>
      <c r="D700" s="2" t="s">
        <v>4133</v>
      </c>
    </row>
    <row r="701" spans="1:4" ht="15.75" customHeight="1" x14ac:dyDescent="0.25">
      <c r="A701" s="2" t="s">
        <v>2383</v>
      </c>
      <c r="B701" s="2" t="s">
        <v>2384</v>
      </c>
      <c r="C701" s="2" t="s">
        <v>4134</v>
      </c>
      <c r="D701" s="2" t="s">
        <v>4133</v>
      </c>
    </row>
    <row r="702" spans="1:4" ht="15.75" customHeight="1" x14ac:dyDescent="0.25">
      <c r="A702" s="2" t="s">
        <v>2386</v>
      </c>
      <c r="B702" s="2" t="s">
        <v>2387</v>
      </c>
      <c r="C702" s="2" t="s">
        <v>4135</v>
      </c>
      <c r="D702" s="2" t="s">
        <v>1170</v>
      </c>
    </row>
    <row r="703" spans="1:4" ht="15.75" customHeight="1" x14ac:dyDescent="0.25">
      <c r="A703" s="2" t="s">
        <v>2389</v>
      </c>
      <c r="B703" s="2" t="s">
        <v>2390</v>
      </c>
      <c r="C703" s="2" t="s">
        <v>4136</v>
      </c>
      <c r="D703" s="2" t="s">
        <v>1170</v>
      </c>
    </row>
    <row r="704" spans="1:4" ht="15.75" customHeight="1" x14ac:dyDescent="0.25">
      <c r="A704" s="2" t="s">
        <v>2392</v>
      </c>
      <c r="B704" s="2" t="s">
        <v>2393</v>
      </c>
      <c r="C704" s="2" t="s">
        <v>4137</v>
      </c>
      <c r="D704" s="2" t="s">
        <v>1170</v>
      </c>
    </row>
    <row r="705" spans="1:4" ht="15.75" customHeight="1" x14ac:dyDescent="0.25">
      <c r="A705" s="2" t="s">
        <v>2395</v>
      </c>
      <c r="B705" s="2" t="s">
        <v>2397</v>
      </c>
      <c r="C705" s="2" t="s">
        <v>4138</v>
      </c>
      <c r="D705" s="2" t="s">
        <v>4139</v>
      </c>
    </row>
    <row r="706" spans="1:4" ht="15.75" customHeight="1" x14ac:dyDescent="0.25">
      <c r="A706" s="2" t="s">
        <v>2399</v>
      </c>
      <c r="B706" s="2" t="s">
        <v>2400</v>
      </c>
      <c r="C706" s="2" t="s">
        <v>4140</v>
      </c>
      <c r="D706" s="2" t="s">
        <v>4139</v>
      </c>
    </row>
    <row r="707" spans="1:4" ht="15.75" customHeight="1" x14ac:dyDescent="0.25">
      <c r="A707" s="2" t="s">
        <v>2402</v>
      </c>
      <c r="B707" s="2" t="s">
        <v>2403</v>
      </c>
      <c r="C707" s="2" t="s">
        <v>4141</v>
      </c>
      <c r="D707" s="2" t="s">
        <v>3483</v>
      </c>
    </row>
    <row r="708" spans="1:4" ht="15.75" customHeight="1" x14ac:dyDescent="0.25">
      <c r="A708" s="2" t="s">
        <v>2402</v>
      </c>
      <c r="B708" s="2" t="s">
        <v>2405</v>
      </c>
      <c r="C708" s="2" t="s">
        <v>4141</v>
      </c>
      <c r="D708" s="2" t="s">
        <v>3483</v>
      </c>
    </row>
    <row r="709" spans="1:4" ht="15.75" customHeight="1" x14ac:dyDescent="0.25">
      <c r="A709" s="2" t="s">
        <v>2406</v>
      </c>
      <c r="B709" s="2" t="s">
        <v>2408</v>
      </c>
      <c r="C709" s="2" t="s">
        <v>4142</v>
      </c>
      <c r="D709" s="2" t="s">
        <v>4143</v>
      </c>
    </row>
    <row r="710" spans="1:4" ht="15.75" customHeight="1" x14ac:dyDescent="0.25">
      <c r="A710" s="2" t="s">
        <v>2410</v>
      </c>
      <c r="B710" s="2" t="s">
        <v>2412</v>
      </c>
      <c r="C710" s="2" t="s">
        <v>4144</v>
      </c>
      <c r="D710" s="2" t="s">
        <v>4145</v>
      </c>
    </row>
    <row r="711" spans="1:4" ht="15.75" customHeight="1" x14ac:dyDescent="0.25">
      <c r="A711" s="2" t="s">
        <v>2414</v>
      </c>
      <c r="B711" s="2" t="s">
        <v>2415</v>
      </c>
      <c r="C711" s="2" t="s">
        <v>4146</v>
      </c>
      <c r="D711" s="2" t="s">
        <v>4143</v>
      </c>
    </row>
    <row r="712" spans="1:4" ht="15.75" customHeight="1" x14ac:dyDescent="0.25">
      <c r="A712" s="2" t="s">
        <v>2417</v>
      </c>
      <c r="B712" s="2" t="s">
        <v>2419</v>
      </c>
      <c r="C712" s="2" t="s">
        <v>4147</v>
      </c>
      <c r="D712" s="2" t="s">
        <v>2418</v>
      </c>
    </row>
    <row r="713" spans="1:4" ht="15.75" customHeight="1" x14ac:dyDescent="0.25">
      <c r="A713" s="2" t="s">
        <v>2421</v>
      </c>
      <c r="B713" s="2" t="s">
        <v>2422</v>
      </c>
      <c r="C713" s="2" t="s">
        <v>4148</v>
      </c>
      <c r="D713" s="2" t="s">
        <v>3886</v>
      </c>
    </row>
    <row r="714" spans="1:4" ht="15.75" customHeight="1" x14ac:dyDescent="0.25">
      <c r="A714" s="2" t="s">
        <v>2424</v>
      </c>
      <c r="B714" s="2" t="s">
        <v>2426</v>
      </c>
      <c r="C714" s="2" t="s">
        <v>4149</v>
      </c>
      <c r="D714" s="2" t="s">
        <v>4150</v>
      </c>
    </row>
    <row r="715" spans="1:4" ht="15.75" customHeight="1" x14ac:dyDescent="0.25">
      <c r="A715" s="2" t="s">
        <v>2428</v>
      </c>
      <c r="B715" s="2" t="s">
        <v>2430</v>
      </c>
      <c r="C715" s="2" t="s">
        <v>4151</v>
      </c>
      <c r="D715" s="2" t="s">
        <v>4152</v>
      </c>
    </row>
    <row r="716" spans="1:4" ht="15.75" customHeight="1" x14ac:dyDescent="0.25">
      <c r="A716" s="2" t="s">
        <v>2432</v>
      </c>
      <c r="B716" s="2" t="s">
        <v>2433</v>
      </c>
      <c r="C716" s="2" t="s">
        <v>4153</v>
      </c>
      <c r="D716" s="2" t="s">
        <v>4152</v>
      </c>
    </row>
    <row r="717" spans="1:4" ht="15.75" customHeight="1" x14ac:dyDescent="0.25">
      <c r="A717" s="2" t="s">
        <v>2435</v>
      </c>
      <c r="B717" s="2" t="s">
        <v>2437</v>
      </c>
      <c r="C717" s="2" t="s">
        <v>4154</v>
      </c>
      <c r="D717" s="2" t="s">
        <v>4155</v>
      </c>
    </row>
    <row r="718" spans="1:4" ht="15.75" customHeight="1" x14ac:dyDescent="0.25">
      <c r="A718" s="2" t="s">
        <v>2439</v>
      </c>
      <c r="B718" s="2" t="s">
        <v>2441</v>
      </c>
      <c r="C718" s="2" t="s">
        <v>4156</v>
      </c>
      <c r="D718" s="2" t="s">
        <v>4157</v>
      </c>
    </row>
    <row r="719" spans="1:4" ht="15.75" customHeight="1" x14ac:dyDescent="0.25">
      <c r="A719" s="2" t="s">
        <v>2443</v>
      </c>
      <c r="B719" s="2" t="s">
        <v>2444</v>
      </c>
      <c r="C719" s="2" t="s">
        <v>4158</v>
      </c>
      <c r="D719" s="2" t="s">
        <v>3314</v>
      </c>
    </row>
    <row r="720" spans="1:4" ht="15.75" customHeight="1" x14ac:dyDescent="0.25">
      <c r="A720" s="2" t="s">
        <v>2446</v>
      </c>
      <c r="B720" s="2" t="s">
        <v>2448</v>
      </c>
      <c r="C720" s="2" t="s">
        <v>4159</v>
      </c>
      <c r="D720" s="2" t="s">
        <v>4160</v>
      </c>
    </row>
    <row r="721" spans="1:4" ht="15.75" customHeight="1" x14ac:dyDescent="0.25">
      <c r="A721" s="2" t="s">
        <v>2450</v>
      </c>
      <c r="B721" s="2" t="s">
        <v>2451</v>
      </c>
      <c r="C721" s="2" t="s">
        <v>4161</v>
      </c>
      <c r="D721" s="2" t="s">
        <v>4145</v>
      </c>
    </row>
    <row r="722" spans="1:4" ht="15.75" customHeight="1" x14ac:dyDescent="0.25">
      <c r="A722" s="2" t="s">
        <v>2453</v>
      </c>
      <c r="B722" s="2" t="s">
        <v>2454</v>
      </c>
      <c r="C722" s="2" t="s">
        <v>4162</v>
      </c>
      <c r="D722" s="2" t="s">
        <v>4160</v>
      </c>
    </row>
    <row r="723" spans="1:4" ht="15.75" customHeight="1" x14ac:dyDescent="0.25">
      <c r="A723" s="2" t="s">
        <v>2456</v>
      </c>
      <c r="B723" s="2" t="s">
        <v>2458</v>
      </c>
      <c r="C723" s="2" t="s">
        <v>4163</v>
      </c>
      <c r="D723" s="2" t="s">
        <v>4164</v>
      </c>
    </row>
    <row r="724" spans="1:4" ht="15.75" customHeight="1" x14ac:dyDescent="0.25">
      <c r="A724" s="2" t="s">
        <v>2460</v>
      </c>
      <c r="B724" s="2" t="s">
        <v>2462</v>
      </c>
      <c r="C724" s="2" t="s">
        <v>4165</v>
      </c>
      <c r="D724" s="2" t="s">
        <v>2461</v>
      </c>
    </row>
    <row r="725" spans="1:4" ht="15.75" customHeight="1" x14ac:dyDescent="0.25">
      <c r="A725" s="2" t="s">
        <v>2464</v>
      </c>
      <c r="B725" s="2" t="s">
        <v>2465</v>
      </c>
      <c r="C725" s="2" t="s">
        <v>4166</v>
      </c>
      <c r="D725" s="2" t="s">
        <v>2461</v>
      </c>
    </row>
    <row r="726" spans="1:4" ht="15.75" customHeight="1" x14ac:dyDescent="0.25">
      <c r="A726" s="2" t="s">
        <v>2467</v>
      </c>
      <c r="B726" s="2" t="s">
        <v>2468</v>
      </c>
      <c r="C726" s="2" t="s">
        <v>4167</v>
      </c>
      <c r="D726" s="2" t="s">
        <v>3667</v>
      </c>
    </row>
    <row r="727" spans="1:4" ht="15.75" customHeight="1" x14ac:dyDescent="0.25">
      <c r="A727" s="2" t="s">
        <v>2470</v>
      </c>
      <c r="B727" s="2" t="s">
        <v>2472</v>
      </c>
      <c r="C727" s="2" t="s">
        <v>4168</v>
      </c>
      <c r="D727" s="2" t="s">
        <v>4169</v>
      </c>
    </row>
    <row r="728" spans="1:4" ht="15.75" customHeight="1" x14ac:dyDescent="0.25">
      <c r="A728" s="2" t="s">
        <v>2474</v>
      </c>
      <c r="B728" s="2" t="s">
        <v>2476</v>
      </c>
      <c r="C728" s="2" t="s">
        <v>4170</v>
      </c>
      <c r="D728" s="2" t="s">
        <v>4171</v>
      </c>
    </row>
    <row r="729" spans="1:4" ht="15.75" customHeight="1" x14ac:dyDescent="0.25">
      <c r="A729" s="2" t="s">
        <v>2478</v>
      </c>
      <c r="B729" s="2" t="s">
        <v>2480</v>
      </c>
      <c r="C729" s="2" t="s">
        <v>4172</v>
      </c>
      <c r="D729" s="2" t="s">
        <v>4173</v>
      </c>
    </row>
    <row r="730" spans="1:4" ht="15.75" customHeight="1" x14ac:dyDescent="0.25">
      <c r="A730" s="2" t="s">
        <v>2482</v>
      </c>
      <c r="B730" s="2" t="s">
        <v>2484</v>
      </c>
      <c r="C730" s="2" t="s">
        <v>4174</v>
      </c>
      <c r="D730" s="2" t="s">
        <v>4173</v>
      </c>
    </row>
    <row r="731" spans="1:4" ht="15.75" customHeight="1" x14ac:dyDescent="0.25">
      <c r="A731" s="2" t="s">
        <v>2482</v>
      </c>
      <c r="B731" s="2" t="s">
        <v>2486</v>
      </c>
      <c r="C731" s="2" t="s">
        <v>4174</v>
      </c>
      <c r="D731" s="2" t="s">
        <v>4173</v>
      </c>
    </row>
    <row r="732" spans="1:4" ht="15.75" customHeight="1" x14ac:dyDescent="0.25">
      <c r="A732" s="2" t="s">
        <v>2487</v>
      </c>
      <c r="B732" s="2" t="s">
        <v>2489</v>
      </c>
      <c r="C732" s="2" t="s">
        <v>4175</v>
      </c>
      <c r="D732" s="2" t="s">
        <v>4176</v>
      </c>
    </row>
    <row r="733" spans="1:4" ht="15.75" customHeight="1" x14ac:dyDescent="0.25">
      <c r="A733" s="2" t="s">
        <v>2491</v>
      </c>
      <c r="B733" s="2" t="s">
        <v>2492</v>
      </c>
      <c r="C733" s="2" t="s">
        <v>4177</v>
      </c>
      <c r="D733" s="2" t="s">
        <v>4145</v>
      </c>
    </row>
    <row r="734" spans="1:4" ht="15.75" customHeight="1" x14ac:dyDescent="0.25">
      <c r="A734" s="2" t="s">
        <v>2494</v>
      </c>
      <c r="B734" s="2" t="s">
        <v>2495</v>
      </c>
      <c r="C734" s="2" t="s">
        <v>4178</v>
      </c>
      <c r="D734" s="2" t="s">
        <v>4176</v>
      </c>
    </row>
    <row r="735" spans="1:4" ht="15.75" customHeight="1" x14ac:dyDescent="0.25">
      <c r="A735" s="2" t="s">
        <v>2497</v>
      </c>
      <c r="B735" s="2" t="s">
        <v>2499</v>
      </c>
      <c r="C735" s="2" t="s">
        <v>4179</v>
      </c>
      <c r="D735" s="2" t="s">
        <v>4180</v>
      </c>
    </row>
    <row r="736" spans="1:4" ht="15.75" customHeight="1" x14ac:dyDescent="0.25">
      <c r="A736" s="2" t="s">
        <v>2497</v>
      </c>
      <c r="B736" s="2" t="s">
        <v>2501</v>
      </c>
      <c r="C736" s="2" t="s">
        <v>4179</v>
      </c>
      <c r="D736" s="2" t="s">
        <v>4180</v>
      </c>
    </row>
    <row r="737" spans="1:4" ht="15.75" customHeight="1" x14ac:dyDescent="0.25">
      <c r="A737" s="2" t="s">
        <v>2502</v>
      </c>
      <c r="B737" s="2" t="s">
        <v>2504</v>
      </c>
      <c r="C737" s="2" t="s">
        <v>4181</v>
      </c>
      <c r="D737" s="2" t="s">
        <v>4182</v>
      </c>
    </row>
    <row r="738" spans="1:4" ht="15.75" customHeight="1" x14ac:dyDescent="0.25">
      <c r="A738" s="2" t="s">
        <v>2506</v>
      </c>
      <c r="B738" s="2" t="s">
        <v>2508</v>
      </c>
      <c r="C738" s="2" t="s">
        <v>4183</v>
      </c>
      <c r="D738" s="2" t="s">
        <v>4184</v>
      </c>
    </row>
    <row r="739" spans="1:4" ht="15.75" customHeight="1" x14ac:dyDescent="0.25">
      <c r="A739" s="2" t="s">
        <v>2510</v>
      </c>
      <c r="B739" s="2" t="s">
        <v>2512</v>
      </c>
      <c r="C739" s="2" t="s">
        <v>4185</v>
      </c>
      <c r="D739" s="2" t="s">
        <v>4186</v>
      </c>
    </row>
    <row r="740" spans="1:4" ht="15.75" customHeight="1" x14ac:dyDescent="0.25">
      <c r="A740" s="2" t="s">
        <v>2514</v>
      </c>
      <c r="B740" s="2" t="s">
        <v>2516</v>
      </c>
      <c r="C740" s="2" t="s">
        <v>4187</v>
      </c>
      <c r="D740" s="2" t="s">
        <v>4188</v>
      </c>
    </row>
    <row r="741" spans="1:4" ht="15.75" customHeight="1" x14ac:dyDescent="0.25">
      <c r="A741" s="2" t="s">
        <v>2518</v>
      </c>
      <c r="B741" s="2" t="s">
        <v>2520</v>
      </c>
      <c r="C741" s="2" t="s">
        <v>4189</v>
      </c>
      <c r="D741" s="2" t="s">
        <v>4190</v>
      </c>
    </row>
    <row r="742" spans="1:4" ht="15.75" customHeight="1" x14ac:dyDescent="0.25">
      <c r="A742" s="2" t="s">
        <v>2522</v>
      </c>
      <c r="B742" s="2" t="s">
        <v>2524</v>
      </c>
      <c r="C742" s="2" t="s">
        <v>4191</v>
      </c>
      <c r="D742" s="2" t="s">
        <v>4192</v>
      </c>
    </row>
    <row r="743" spans="1:4" ht="15.75" customHeight="1" x14ac:dyDescent="0.25">
      <c r="A743" s="2" t="s">
        <v>2526</v>
      </c>
      <c r="B743" s="2" t="s">
        <v>2528</v>
      </c>
      <c r="C743" s="2" t="s">
        <v>4193</v>
      </c>
      <c r="D743" s="2" t="s">
        <v>4194</v>
      </c>
    </row>
    <row r="744" spans="1:4" ht="15.75" customHeight="1" x14ac:dyDescent="0.25">
      <c r="A744" s="2" t="s">
        <v>2530</v>
      </c>
      <c r="B744" s="2" t="s">
        <v>2532</v>
      </c>
      <c r="C744" s="2" t="s">
        <v>4195</v>
      </c>
      <c r="D744" s="2" t="s">
        <v>4196</v>
      </c>
    </row>
    <row r="745" spans="1:4" ht="15.75" customHeight="1" x14ac:dyDescent="0.25">
      <c r="A745" s="2" t="s">
        <v>2534</v>
      </c>
      <c r="B745" s="2" t="s">
        <v>2535</v>
      </c>
      <c r="C745" s="2" t="s">
        <v>4197</v>
      </c>
      <c r="D745" s="2" t="s">
        <v>3285</v>
      </c>
    </row>
    <row r="746" spans="1:4" ht="15.75" customHeight="1" x14ac:dyDescent="0.25">
      <c r="A746" s="2" t="s">
        <v>2537</v>
      </c>
      <c r="B746" s="2" t="s">
        <v>2539</v>
      </c>
      <c r="C746" s="2" t="s">
        <v>4198</v>
      </c>
      <c r="D746" s="2" t="s">
        <v>2538</v>
      </c>
    </row>
    <row r="747" spans="1:4" ht="15.75" customHeight="1" x14ac:dyDescent="0.25">
      <c r="A747" s="2" t="s">
        <v>2541</v>
      </c>
      <c r="B747" s="2" t="s">
        <v>2542</v>
      </c>
      <c r="C747" s="2" t="s">
        <v>4199</v>
      </c>
      <c r="D747" s="2" t="s">
        <v>2538</v>
      </c>
    </row>
    <row r="748" spans="1:4" ht="15.75" customHeight="1" x14ac:dyDescent="0.25">
      <c r="A748" s="2" t="s">
        <v>2544</v>
      </c>
      <c r="B748" s="2" t="s">
        <v>2546</v>
      </c>
      <c r="C748" s="2" t="s">
        <v>4200</v>
      </c>
      <c r="D748" s="2" t="s">
        <v>4201</v>
      </c>
    </row>
    <row r="749" spans="1:4" ht="15.75" customHeight="1" x14ac:dyDescent="0.25">
      <c r="A749" s="2" t="s">
        <v>2548</v>
      </c>
      <c r="B749" s="2" t="s">
        <v>2550</v>
      </c>
      <c r="C749" s="2" t="s">
        <v>4202</v>
      </c>
      <c r="D749" s="2" t="s">
        <v>4203</v>
      </c>
    </row>
    <row r="750" spans="1:4" ht="15.75" customHeight="1" x14ac:dyDescent="0.25">
      <c r="A750" s="2" t="s">
        <v>2552</v>
      </c>
      <c r="B750" s="2" t="s">
        <v>2554</v>
      </c>
      <c r="C750" s="2" t="s">
        <v>4204</v>
      </c>
      <c r="D750" s="2" t="s">
        <v>4205</v>
      </c>
    </row>
    <row r="751" spans="1:4" ht="15.75" customHeight="1" x14ac:dyDescent="0.25">
      <c r="A751" s="2" t="s">
        <v>2556</v>
      </c>
      <c r="B751" s="2" t="s">
        <v>2557</v>
      </c>
      <c r="C751" s="2" t="s">
        <v>4206</v>
      </c>
      <c r="D751" s="2" t="s">
        <v>4205</v>
      </c>
    </row>
    <row r="752" spans="1:4" ht="15.75" customHeight="1" x14ac:dyDescent="0.25">
      <c r="A752" s="2" t="s">
        <v>2559</v>
      </c>
      <c r="B752" s="2" t="s">
        <v>2561</v>
      </c>
      <c r="C752" s="2" t="s">
        <v>4207</v>
      </c>
      <c r="D752" s="2" t="s">
        <v>4208</v>
      </c>
    </row>
    <row r="753" spans="1:4" ht="15.75" customHeight="1" x14ac:dyDescent="0.25">
      <c r="A753" s="2" t="s">
        <v>2563</v>
      </c>
      <c r="B753" s="2" t="s">
        <v>2565</v>
      </c>
      <c r="C753" s="2" t="s">
        <v>4209</v>
      </c>
      <c r="D753" s="2" t="s">
        <v>4210</v>
      </c>
    </row>
    <row r="754" spans="1:4" ht="15.75" customHeight="1" x14ac:dyDescent="0.25">
      <c r="A754" s="2" t="s">
        <v>2567</v>
      </c>
      <c r="B754" s="2" t="s">
        <v>2569</v>
      </c>
      <c r="C754" s="2" t="s">
        <v>4211</v>
      </c>
      <c r="D754" s="2" t="s">
        <v>2568</v>
      </c>
    </row>
    <row r="755" spans="1:4" ht="15.75" customHeight="1" x14ac:dyDescent="0.25">
      <c r="A755" s="2" t="s">
        <v>2571</v>
      </c>
      <c r="B755" s="2" t="s">
        <v>2572</v>
      </c>
      <c r="C755" s="2" t="s">
        <v>4212</v>
      </c>
      <c r="D755" s="2" t="s">
        <v>2568</v>
      </c>
    </row>
    <row r="756" spans="1:4" ht="15.75" customHeight="1" x14ac:dyDescent="0.25">
      <c r="A756" s="2" t="s">
        <v>2574</v>
      </c>
      <c r="B756" s="2" t="s">
        <v>2576</v>
      </c>
      <c r="C756" s="2" t="s">
        <v>4213</v>
      </c>
      <c r="D756" s="2" t="s">
        <v>4214</v>
      </c>
    </row>
    <row r="757" spans="1:4" ht="15.75" customHeight="1" x14ac:dyDescent="0.25">
      <c r="A757" s="2" t="s">
        <v>2578</v>
      </c>
      <c r="B757" s="2" t="s">
        <v>2580</v>
      </c>
      <c r="C757" s="2" t="s">
        <v>4215</v>
      </c>
      <c r="D757" s="2" t="s">
        <v>4216</v>
      </c>
    </row>
    <row r="758" spans="1:4" ht="15.75" customHeight="1" x14ac:dyDescent="0.25">
      <c r="A758" s="2" t="s">
        <v>2582</v>
      </c>
      <c r="B758" s="2" t="s">
        <v>2584</v>
      </c>
      <c r="C758" s="2" t="s">
        <v>4217</v>
      </c>
      <c r="D758" s="2" t="s">
        <v>4218</v>
      </c>
    </row>
    <row r="759" spans="1:4" ht="15.75" customHeight="1" x14ac:dyDescent="0.25">
      <c r="A759" s="2" t="s">
        <v>2586</v>
      </c>
      <c r="B759" s="2" t="s">
        <v>2588</v>
      </c>
      <c r="C759" s="2" t="s">
        <v>4219</v>
      </c>
      <c r="D759" s="2" t="s">
        <v>4220</v>
      </c>
    </row>
    <row r="760" spans="1:4" ht="15.75" customHeight="1" x14ac:dyDescent="0.25">
      <c r="A760" s="2" t="s">
        <v>2590</v>
      </c>
      <c r="B760" s="2" t="s">
        <v>2592</v>
      </c>
      <c r="C760" s="2" t="s">
        <v>4221</v>
      </c>
      <c r="D760" s="2" t="s">
        <v>4222</v>
      </c>
    </row>
    <row r="761" spans="1:4" ht="15.75" customHeight="1" x14ac:dyDescent="0.25">
      <c r="A761" s="2" t="s">
        <v>2594</v>
      </c>
      <c r="B761" s="2" t="s">
        <v>2596</v>
      </c>
      <c r="C761" s="2" t="s">
        <v>4223</v>
      </c>
      <c r="D761" s="2" t="s">
        <v>4224</v>
      </c>
    </row>
    <row r="762" spans="1:4" ht="15.75" customHeight="1" x14ac:dyDescent="0.25">
      <c r="A762" s="2" t="s">
        <v>2598</v>
      </c>
      <c r="B762" s="2" t="s">
        <v>2600</v>
      </c>
      <c r="C762" s="2" t="s">
        <v>4225</v>
      </c>
      <c r="D762" s="2" t="s">
        <v>4226</v>
      </c>
    </row>
    <row r="763" spans="1:4" ht="15.75" customHeight="1" x14ac:dyDescent="0.25">
      <c r="A763" s="2" t="s">
        <v>2602</v>
      </c>
      <c r="B763" s="2" t="s">
        <v>2603</v>
      </c>
      <c r="C763" s="2" t="s">
        <v>4227</v>
      </c>
      <c r="D763" s="2" t="s">
        <v>4226</v>
      </c>
    </row>
    <row r="764" spans="1:4" ht="15.75" customHeight="1" x14ac:dyDescent="0.25">
      <c r="A764" s="2" t="s">
        <v>2605</v>
      </c>
      <c r="B764" s="2" t="s">
        <v>2606</v>
      </c>
      <c r="C764" s="2" t="s">
        <v>4228</v>
      </c>
      <c r="D764" s="2" t="s">
        <v>3167</v>
      </c>
    </row>
    <row r="765" spans="1:4" ht="15.75" customHeight="1" x14ac:dyDescent="0.25">
      <c r="A765" s="2" t="s">
        <v>2608</v>
      </c>
      <c r="B765" s="2" t="s">
        <v>2610</v>
      </c>
      <c r="C765" s="2" t="s">
        <v>4229</v>
      </c>
      <c r="D765" s="2" t="s">
        <v>4230</v>
      </c>
    </row>
    <row r="766" spans="1:4" ht="15.75" customHeight="1" x14ac:dyDescent="0.25">
      <c r="A766" s="2" t="s">
        <v>2612</v>
      </c>
      <c r="B766" s="2" t="s">
        <v>2614</v>
      </c>
      <c r="C766" s="2" t="s">
        <v>4231</v>
      </c>
      <c r="D766" s="2" t="s">
        <v>4232</v>
      </c>
    </row>
    <row r="767" spans="1:4" ht="15.75" customHeight="1" x14ac:dyDescent="0.25">
      <c r="A767" s="2" t="s">
        <v>2616</v>
      </c>
      <c r="B767" s="2" t="s">
        <v>2618</v>
      </c>
      <c r="C767" s="2" t="s">
        <v>4233</v>
      </c>
      <c r="D767" s="2" t="s">
        <v>4234</v>
      </c>
    </row>
    <row r="768" spans="1:4" ht="15.75" customHeight="1" x14ac:dyDescent="0.25">
      <c r="A768" s="2" t="s">
        <v>2620</v>
      </c>
      <c r="B768" s="2" t="s">
        <v>2621</v>
      </c>
      <c r="C768" s="2" t="s">
        <v>4235</v>
      </c>
      <c r="D768" s="2" t="s">
        <v>4216</v>
      </c>
    </row>
    <row r="769" spans="1:4" ht="15.75" customHeight="1" x14ac:dyDescent="0.25">
      <c r="A769" s="2" t="s">
        <v>2623</v>
      </c>
      <c r="B769" s="2" t="s">
        <v>2625</v>
      </c>
      <c r="C769" s="2" t="s">
        <v>4236</v>
      </c>
      <c r="D769" s="2" t="s">
        <v>4237</v>
      </c>
    </row>
    <row r="770" spans="1:4" ht="15.75" customHeight="1" x14ac:dyDescent="0.25">
      <c r="A770" s="2" t="s">
        <v>2623</v>
      </c>
      <c r="B770" s="2" t="s">
        <v>2627</v>
      </c>
      <c r="C770" s="2" t="s">
        <v>4236</v>
      </c>
      <c r="D770" s="2" t="s">
        <v>4237</v>
      </c>
    </row>
    <row r="771" spans="1:4" ht="15.75" customHeight="1" x14ac:dyDescent="0.25">
      <c r="A771" s="2" t="s">
        <v>2623</v>
      </c>
      <c r="B771" s="2" t="s">
        <v>2628</v>
      </c>
      <c r="C771" s="2" t="s">
        <v>4236</v>
      </c>
      <c r="D771" s="2" t="s">
        <v>4237</v>
      </c>
    </row>
    <row r="772" spans="1:4" ht="15.75" customHeight="1" x14ac:dyDescent="0.25">
      <c r="A772" s="2" t="s">
        <v>2623</v>
      </c>
      <c r="B772" s="2" t="s">
        <v>2629</v>
      </c>
      <c r="C772" s="2" t="s">
        <v>4236</v>
      </c>
      <c r="D772" s="2" t="s">
        <v>4237</v>
      </c>
    </row>
    <row r="773" spans="1:4" ht="15.75" customHeight="1" x14ac:dyDescent="0.25">
      <c r="A773" s="2" t="s">
        <v>2630</v>
      </c>
      <c r="B773" s="2" t="s">
        <v>2625</v>
      </c>
      <c r="C773" s="2" t="s">
        <v>4238</v>
      </c>
      <c r="D773" s="2" t="s">
        <v>4237</v>
      </c>
    </row>
    <row r="774" spans="1:4" ht="15.75" customHeight="1" x14ac:dyDescent="0.25">
      <c r="A774" s="2" t="s">
        <v>2630</v>
      </c>
      <c r="B774" s="2" t="s">
        <v>2627</v>
      </c>
      <c r="C774" s="2" t="s">
        <v>4238</v>
      </c>
      <c r="D774" s="2" t="s">
        <v>4237</v>
      </c>
    </row>
    <row r="775" spans="1:4" ht="15.75" customHeight="1" x14ac:dyDescent="0.25">
      <c r="A775" s="2" t="s">
        <v>2630</v>
      </c>
      <c r="B775" s="2" t="s">
        <v>2628</v>
      </c>
      <c r="C775" s="2" t="s">
        <v>4238</v>
      </c>
      <c r="D775" s="2" t="s">
        <v>4237</v>
      </c>
    </row>
    <row r="776" spans="1:4" ht="15.75" customHeight="1" x14ac:dyDescent="0.25">
      <c r="A776" s="2" t="s">
        <v>2630</v>
      </c>
      <c r="B776" s="2" t="s">
        <v>2629</v>
      </c>
      <c r="C776" s="2" t="s">
        <v>4238</v>
      </c>
      <c r="D776" s="2" t="s">
        <v>4237</v>
      </c>
    </row>
    <row r="777" spans="1:4" ht="15.75" customHeight="1" x14ac:dyDescent="0.25">
      <c r="A777" s="2" t="s">
        <v>2632</v>
      </c>
      <c r="B777" s="2" t="s">
        <v>2634</v>
      </c>
      <c r="C777" s="2" t="s">
        <v>4239</v>
      </c>
      <c r="D777" s="2" t="s">
        <v>4240</v>
      </c>
    </row>
    <row r="778" spans="1:4" ht="15.75" customHeight="1" x14ac:dyDescent="0.25">
      <c r="A778" s="2" t="s">
        <v>2636</v>
      </c>
      <c r="B778" s="2" t="s">
        <v>2637</v>
      </c>
      <c r="C778" s="2" t="s">
        <v>4241</v>
      </c>
      <c r="D778" s="2" t="s">
        <v>1208</v>
      </c>
    </row>
    <row r="779" spans="1:4" ht="15.75" customHeight="1" x14ac:dyDescent="0.25">
      <c r="A779" s="2" t="s">
        <v>2639</v>
      </c>
      <c r="B779" s="2" t="s">
        <v>2641</v>
      </c>
      <c r="C779" s="2" t="s">
        <v>4242</v>
      </c>
      <c r="D779" s="2" t="s">
        <v>4243</v>
      </c>
    </row>
    <row r="780" spans="1:4" ht="15.75" customHeight="1" x14ac:dyDescent="0.25">
      <c r="A780" s="2" t="s">
        <v>2643</v>
      </c>
      <c r="B780" s="2" t="s">
        <v>2644</v>
      </c>
      <c r="C780" s="2" t="s">
        <v>4244</v>
      </c>
      <c r="D780" s="2" t="s">
        <v>4243</v>
      </c>
    </row>
    <row r="781" spans="1:4" ht="15.75" customHeight="1" x14ac:dyDescent="0.25">
      <c r="A781" s="2" t="s">
        <v>2646</v>
      </c>
      <c r="B781" s="2" t="s">
        <v>2648</v>
      </c>
      <c r="C781" s="2" t="s">
        <v>4245</v>
      </c>
      <c r="D781" s="2" t="s">
        <v>4246</v>
      </c>
    </row>
    <row r="782" spans="1:4" ht="15.75" customHeight="1" x14ac:dyDescent="0.25">
      <c r="A782" s="2" t="s">
        <v>2650</v>
      </c>
      <c r="B782" s="2" t="s">
        <v>2652</v>
      </c>
      <c r="C782" s="2" t="s">
        <v>4247</v>
      </c>
      <c r="D782" s="2" t="s">
        <v>4248</v>
      </c>
    </row>
    <row r="783" spans="1:4" ht="15.75" customHeight="1" x14ac:dyDescent="0.25">
      <c r="A783" s="2" t="s">
        <v>2654</v>
      </c>
      <c r="B783" s="2" t="s">
        <v>2656</v>
      </c>
      <c r="C783" s="2" t="s">
        <v>4249</v>
      </c>
      <c r="D783" s="2" t="s">
        <v>4250</v>
      </c>
    </row>
    <row r="784" spans="1:4" ht="15.75" customHeight="1" x14ac:dyDescent="0.25">
      <c r="A784" s="2" t="s">
        <v>2654</v>
      </c>
      <c r="B784" s="2" t="s">
        <v>2658</v>
      </c>
      <c r="C784" s="2" t="s">
        <v>4249</v>
      </c>
      <c r="D784" s="2" t="s">
        <v>4250</v>
      </c>
    </row>
    <row r="785" spans="1:4" ht="15.75" customHeight="1" x14ac:dyDescent="0.25">
      <c r="A785" s="2" t="s">
        <v>2654</v>
      </c>
      <c r="B785" s="2" t="s">
        <v>2659</v>
      </c>
      <c r="C785" s="2" t="s">
        <v>4249</v>
      </c>
      <c r="D785" s="2" t="s">
        <v>4250</v>
      </c>
    </row>
    <row r="786" spans="1:4" ht="15.75" customHeight="1" x14ac:dyDescent="0.25">
      <c r="A786" s="2" t="s">
        <v>2660</v>
      </c>
      <c r="B786" s="2" t="s">
        <v>2661</v>
      </c>
      <c r="C786" s="2" t="s">
        <v>4251</v>
      </c>
      <c r="D786" s="2" t="s">
        <v>4224</v>
      </c>
    </row>
    <row r="787" spans="1:4" ht="15.75" customHeight="1" x14ac:dyDescent="0.25">
      <c r="A787" s="2" t="s">
        <v>2660</v>
      </c>
      <c r="B787" s="2" t="s">
        <v>2663</v>
      </c>
      <c r="C787" s="2" t="s">
        <v>4251</v>
      </c>
      <c r="D787" s="2" t="s">
        <v>4224</v>
      </c>
    </row>
    <row r="788" spans="1:4" ht="15.75" customHeight="1" x14ac:dyDescent="0.25">
      <c r="A788" s="2" t="s">
        <v>2664</v>
      </c>
      <c r="B788" s="2" t="s">
        <v>2666</v>
      </c>
      <c r="C788" s="2" t="s">
        <v>4252</v>
      </c>
      <c r="D788" s="2" t="s">
        <v>4253</v>
      </c>
    </row>
    <row r="789" spans="1:4" ht="15.75" customHeight="1" x14ac:dyDescent="0.25">
      <c r="A789" s="2" t="s">
        <v>2668</v>
      </c>
      <c r="B789" s="2" t="s">
        <v>2670</v>
      </c>
      <c r="C789" s="2" t="s">
        <v>4254</v>
      </c>
      <c r="D789" s="2" t="s">
        <v>2669</v>
      </c>
    </row>
    <row r="790" spans="1:4" ht="15.75" customHeight="1" x14ac:dyDescent="0.25">
      <c r="A790" s="2" t="s">
        <v>2668</v>
      </c>
      <c r="B790" s="2" t="s">
        <v>2673</v>
      </c>
      <c r="C790" s="2" t="s">
        <v>4254</v>
      </c>
      <c r="D790" s="2" t="s">
        <v>4255</v>
      </c>
    </row>
    <row r="791" spans="1:4" ht="15.75" customHeight="1" x14ac:dyDescent="0.25">
      <c r="A791" s="2" t="s">
        <v>2674</v>
      </c>
      <c r="B791" s="2" t="s">
        <v>2676</v>
      </c>
      <c r="C791" s="2" t="s">
        <v>4256</v>
      </c>
      <c r="D791" s="2" t="s">
        <v>4257</v>
      </c>
    </row>
    <row r="792" spans="1:4" ht="15.75" customHeight="1" x14ac:dyDescent="0.25">
      <c r="A792" s="2" t="s">
        <v>2678</v>
      </c>
      <c r="B792" s="2" t="s">
        <v>2680</v>
      </c>
      <c r="C792" s="2" t="s">
        <v>4258</v>
      </c>
      <c r="D792" s="2" t="s">
        <v>4259</v>
      </c>
    </row>
    <row r="793" spans="1:4" ht="15.75" customHeight="1" x14ac:dyDescent="0.25">
      <c r="A793" s="2" t="s">
        <v>2682</v>
      </c>
      <c r="B793" s="2" t="s">
        <v>2684</v>
      </c>
      <c r="C793" s="2" t="s">
        <v>4260</v>
      </c>
      <c r="D793" s="2" t="s">
        <v>4261</v>
      </c>
    </row>
    <row r="794" spans="1:4" ht="15.75" customHeight="1" x14ac:dyDescent="0.25">
      <c r="A794" s="2" t="s">
        <v>2686</v>
      </c>
      <c r="B794" s="2" t="s">
        <v>2688</v>
      </c>
      <c r="C794" s="2" t="s">
        <v>4262</v>
      </c>
      <c r="D794" s="2" t="s">
        <v>4263</v>
      </c>
    </row>
    <row r="795" spans="1:4" ht="15.75" customHeight="1" x14ac:dyDescent="0.25">
      <c r="A795" s="2" t="s">
        <v>2690</v>
      </c>
      <c r="B795" s="2" t="s">
        <v>2692</v>
      </c>
      <c r="C795" s="2" t="s">
        <v>4264</v>
      </c>
      <c r="D795" s="2" t="s">
        <v>4265</v>
      </c>
    </row>
    <row r="796" spans="1:4" ht="15.75" customHeight="1" x14ac:dyDescent="0.25">
      <c r="A796" s="2" t="s">
        <v>2694</v>
      </c>
      <c r="B796" s="2" t="s">
        <v>2695</v>
      </c>
      <c r="C796" s="2" t="s">
        <v>4266</v>
      </c>
      <c r="D796" s="2" t="s">
        <v>4265</v>
      </c>
    </row>
    <row r="797" spans="1:4" ht="15.75" customHeight="1" x14ac:dyDescent="0.25">
      <c r="A797" s="2" t="s">
        <v>2697</v>
      </c>
      <c r="B797" s="2" t="s">
        <v>2699</v>
      </c>
      <c r="C797" s="2" t="s">
        <v>4267</v>
      </c>
      <c r="D797" s="2" t="s">
        <v>4268</v>
      </c>
    </row>
    <row r="798" spans="1:4" ht="15.75" customHeight="1" x14ac:dyDescent="0.25">
      <c r="A798" s="2" t="s">
        <v>2701</v>
      </c>
      <c r="B798" s="2" t="s">
        <v>2703</v>
      </c>
      <c r="C798" s="2" t="s">
        <v>4269</v>
      </c>
      <c r="D798" s="2" t="s">
        <v>4270</v>
      </c>
    </row>
    <row r="799" spans="1:4" ht="15.75" customHeight="1" x14ac:dyDescent="0.25">
      <c r="A799" s="2" t="s">
        <v>2705</v>
      </c>
      <c r="B799" s="2" t="s">
        <v>2707</v>
      </c>
      <c r="C799" s="2" t="s">
        <v>4271</v>
      </c>
      <c r="D799" s="2" t="s">
        <v>4272</v>
      </c>
    </row>
    <row r="800" spans="1:4" ht="15.75" customHeight="1" x14ac:dyDescent="0.25">
      <c r="A800" s="2" t="s">
        <v>2709</v>
      </c>
      <c r="B800" s="2" t="s">
        <v>2710</v>
      </c>
      <c r="C800" s="2" t="s">
        <v>4273</v>
      </c>
      <c r="D800" s="2" t="s">
        <v>4253</v>
      </c>
    </row>
    <row r="801" spans="1:4" ht="15.75" customHeight="1" x14ac:dyDescent="0.25">
      <c r="A801" s="2" t="s">
        <v>2712</v>
      </c>
      <c r="B801" s="2" t="s">
        <v>2714</v>
      </c>
      <c r="C801" s="2" t="s">
        <v>4274</v>
      </c>
      <c r="D801" s="2" t="s">
        <v>4275</v>
      </c>
    </row>
    <row r="802" spans="1:4" ht="15.75" customHeight="1" x14ac:dyDescent="0.25">
      <c r="A802" s="2" t="s">
        <v>2716</v>
      </c>
      <c r="B802" s="2" t="s">
        <v>2718</v>
      </c>
      <c r="C802" s="2" t="s">
        <v>4276</v>
      </c>
      <c r="D802" s="2" t="s">
        <v>4277</v>
      </c>
    </row>
    <row r="803" spans="1:4" ht="15.75" customHeight="1" x14ac:dyDescent="0.25">
      <c r="A803" s="2" t="s">
        <v>2720</v>
      </c>
      <c r="B803" s="2" t="s">
        <v>2722</v>
      </c>
      <c r="C803" s="2" t="s">
        <v>4278</v>
      </c>
      <c r="D803" s="2" t="s">
        <v>4279</v>
      </c>
    </row>
    <row r="804" spans="1:4" ht="15.75" customHeight="1" x14ac:dyDescent="0.25">
      <c r="A804" s="2" t="s">
        <v>2724</v>
      </c>
      <c r="B804" s="2" t="s">
        <v>2726</v>
      </c>
      <c r="C804" s="2" t="s">
        <v>4280</v>
      </c>
      <c r="D804" s="2" t="s">
        <v>4281</v>
      </c>
    </row>
    <row r="805" spans="1:4" ht="15.75" customHeight="1" x14ac:dyDescent="0.25">
      <c r="A805" s="2" t="s">
        <v>2728</v>
      </c>
      <c r="B805" s="2" t="s">
        <v>2730</v>
      </c>
      <c r="C805" s="2" t="s">
        <v>4282</v>
      </c>
      <c r="D805" s="2" t="s">
        <v>4283</v>
      </c>
    </row>
    <row r="806" spans="1:4" ht="15.75" customHeight="1" x14ac:dyDescent="0.25">
      <c r="A806" s="2" t="s">
        <v>2732</v>
      </c>
      <c r="B806" s="2" t="s">
        <v>2734</v>
      </c>
      <c r="C806" s="2" t="s">
        <v>4284</v>
      </c>
      <c r="D806" s="2" t="s">
        <v>4285</v>
      </c>
    </row>
    <row r="807" spans="1:4" ht="15.75" customHeight="1" x14ac:dyDescent="0.25">
      <c r="A807" s="2" t="s">
        <v>2736</v>
      </c>
      <c r="B807" s="2" t="s">
        <v>2738</v>
      </c>
      <c r="C807" s="2" t="s">
        <v>4286</v>
      </c>
      <c r="D807" s="2" t="s">
        <v>2737</v>
      </c>
    </row>
    <row r="808" spans="1:4" ht="15.75" customHeight="1" x14ac:dyDescent="0.25">
      <c r="A808" s="2" t="s">
        <v>2740</v>
      </c>
      <c r="B808" s="2" t="s">
        <v>2742</v>
      </c>
      <c r="C808" s="2" t="s">
        <v>4287</v>
      </c>
      <c r="D808" s="2" t="s">
        <v>4288</v>
      </c>
    </row>
    <row r="809" spans="1:4" ht="15.75" customHeight="1" x14ac:dyDescent="0.25">
      <c r="A809" s="2" t="s">
        <v>2744</v>
      </c>
      <c r="B809" s="2" t="s">
        <v>2745</v>
      </c>
      <c r="C809" s="2" t="s">
        <v>4289</v>
      </c>
      <c r="D809" s="2" t="s">
        <v>3187</v>
      </c>
    </row>
    <row r="810" spans="1:4" ht="15.75" customHeight="1" x14ac:dyDescent="0.25">
      <c r="A810" s="2" t="s">
        <v>2747</v>
      </c>
      <c r="B810" s="2" t="s">
        <v>2749</v>
      </c>
      <c r="C810" s="2" t="s">
        <v>4290</v>
      </c>
      <c r="D810" s="2" t="s">
        <v>4291</v>
      </c>
    </row>
    <row r="811" spans="1:4" ht="15.75" customHeight="1" x14ac:dyDescent="0.25">
      <c r="A811" s="2" t="s">
        <v>2751</v>
      </c>
      <c r="B811" s="2" t="s">
        <v>2753</v>
      </c>
      <c r="C811" s="2" t="s">
        <v>4292</v>
      </c>
      <c r="D811" s="2" t="s">
        <v>4293</v>
      </c>
    </row>
    <row r="812" spans="1:4" ht="15.75" customHeight="1" x14ac:dyDescent="0.25">
      <c r="A812" s="2" t="s">
        <v>2751</v>
      </c>
      <c r="B812" s="2" t="s">
        <v>2755</v>
      </c>
      <c r="C812" s="2" t="s">
        <v>4292</v>
      </c>
      <c r="D812" s="2" t="s">
        <v>4293</v>
      </c>
    </row>
    <row r="813" spans="1:4" ht="15.75" customHeight="1" x14ac:dyDescent="0.25">
      <c r="A813" s="2" t="s">
        <v>2756</v>
      </c>
      <c r="B813" s="2" t="s">
        <v>2758</v>
      </c>
      <c r="C813" s="2" t="s">
        <v>4294</v>
      </c>
      <c r="D813" s="2" t="s">
        <v>4295</v>
      </c>
    </row>
    <row r="814" spans="1:4" ht="15.75" customHeight="1" x14ac:dyDescent="0.25">
      <c r="A814" s="2" t="s">
        <v>2760</v>
      </c>
      <c r="B814" s="2" t="s">
        <v>2762</v>
      </c>
      <c r="C814" s="2" t="s">
        <v>4296</v>
      </c>
      <c r="D814" s="2" t="s">
        <v>4297</v>
      </c>
    </row>
    <row r="815" spans="1:4" ht="15.75" customHeight="1" x14ac:dyDescent="0.25">
      <c r="A815" s="2" t="s">
        <v>2760</v>
      </c>
      <c r="B815" s="2" t="s">
        <v>2764</v>
      </c>
      <c r="C815" s="2" t="s">
        <v>4296</v>
      </c>
      <c r="D815" s="2" t="s">
        <v>4297</v>
      </c>
    </row>
    <row r="816" spans="1:4" ht="15.75" customHeight="1" x14ac:dyDescent="0.25">
      <c r="A816" s="2" t="s">
        <v>2760</v>
      </c>
      <c r="B816" s="2" t="s">
        <v>2765</v>
      </c>
      <c r="C816" s="2" t="s">
        <v>4296</v>
      </c>
      <c r="D816" s="2" t="s">
        <v>4297</v>
      </c>
    </row>
    <row r="817" spans="1:4" ht="15.75" customHeight="1" x14ac:dyDescent="0.25">
      <c r="A817" s="2" t="s">
        <v>2760</v>
      </c>
      <c r="B817" s="2" t="s">
        <v>2766</v>
      </c>
      <c r="C817" s="2" t="s">
        <v>4296</v>
      </c>
      <c r="D817" s="2" t="s">
        <v>4297</v>
      </c>
    </row>
    <row r="818" spans="1:4" ht="15.75" customHeight="1" x14ac:dyDescent="0.25">
      <c r="A818" s="2" t="s">
        <v>2767</v>
      </c>
      <c r="B818" s="2" t="s">
        <v>2769</v>
      </c>
      <c r="C818" s="2" t="s">
        <v>4298</v>
      </c>
      <c r="D818" s="2" t="s">
        <v>4299</v>
      </c>
    </row>
    <row r="819" spans="1:4" ht="15.75" customHeight="1" x14ac:dyDescent="0.25">
      <c r="A819" s="2" t="s">
        <v>2771</v>
      </c>
      <c r="B819" s="2" t="s">
        <v>2772</v>
      </c>
      <c r="C819" s="2" t="s">
        <v>4300</v>
      </c>
      <c r="D819" s="2" t="s">
        <v>4299</v>
      </c>
    </row>
    <row r="820" spans="1:4" ht="15.75" customHeight="1" x14ac:dyDescent="0.25">
      <c r="A820" s="2" t="s">
        <v>2774</v>
      </c>
      <c r="B820" s="2" t="s">
        <v>2775</v>
      </c>
      <c r="C820" s="2" t="s">
        <v>4301</v>
      </c>
      <c r="D820" s="2" t="s">
        <v>3870</v>
      </c>
    </row>
    <row r="821" spans="1:4" ht="15.75" customHeight="1" x14ac:dyDescent="0.25">
      <c r="A821" s="2" t="s">
        <v>2774</v>
      </c>
      <c r="B821" s="2" t="s">
        <v>2777</v>
      </c>
      <c r="C821" s="2" t="s">
        <v>4301</v>
      </c>
      <c r="D821" s="2" t="s">
        <v>3870</v>
      </c>
    </row>
    <row r="822" spans="1:4" ht="15.75" customHeight="1" x14ac:dyDescent="0.25">
      <c r="A822" s="2" t="s">
        <v>2778</v>
      </c>
      <c r="B822" s="2" t="s">
        <v>2780</v>
      </c>
      <c r="C822" s="2" t="s">
        <v>4302</v>
      </c>
      <c r="D822" s="2" t="s">
        <v>4303</v>
      </c>
    </row>
    <row r="823" spans="1:4" ht="15.75" customHeight="1" x14ac:dyDescent="0.25">
      <c r="A823" s="2" t="s">
        <v>2778</v>
      </c>
      <c r="B823" s="2" t="s">
        <v>2782</v>
      </c>
      <c r="C823" s="2" t="s">
        <v>4302</v>
      </c>
      <c r="D823" s="2" t="s">
        <v>4303</v>
      </c>
    </row>
    <row r="824" spans="1:4" ht="15.75" customHeight="1" x14ac:dyDescent="0.25">
      <c r="A824" s="2" t="s">
        <v>2778</v>
      </c>
      <c r="B824" s="2" t="s">
        <v>2783</v>
      </c>
      <c r="C824" s="2" t="s">
        <v>4302</v>
      </c>
      <c r="D824" s="2" t="s">
        <v>4303</v>
      </c>
    </row>
    <row r="825" spans="1:4" ht="15.75" customHeight="1" x14ac:dyDescent="0.25">
      <c r="A825" s="2" t="s">
        <v>2784</v>
      </c>
      <c r="B825" s="2" t="s">
        <v>2786</v>
      </c>
      <c r="C825" s="2" t="s">
        <v>4304</v>
      </c>
      <c r="D825" s="2" t="s">
        <v>4305</v>
      </c>
    </row>
    <row r="826" spans="1:4" ht="15.75" customHeight="1" x14ac:dyDescent="0.25">
      <c r="A826" s="2" t="s">
        <v>2784</v>
      </c>
      <c r="B826" s="2" t="s">
        <v>2788</v>
      </c>
      <c r="C826" s="2" t="s">
        <v>4304</v>
      </c>
      <c r="D826" s="2" t="s">
        <v>4305</v>
      </c>
    </row>
    <row r="827" spans="1:4" ht="15.75" customHeight="1" x14ac:dyDescent="0.25">
      <c r="A827" s="2" t="s">
        <v>2789</v>
      </c>
      <c r="B827" s="2" t="s">
        <v>2791</v>
      </c>
      <c r="C827" s="2" t="s">
        <v>4306</v>
      </c>
      <c r="D827" s="2" t="s">
        <v>4307</v>
      </c>
    </row>
    <row r="828" spans="1:4" ht="15.75" customHeight="1" x14ac:dyDescent="0.25">
      <c r="A828" s="2" t="s">
        <v>2793</v>
      </c>
      <c r="B828" s="2" t="s">
        <v>2794</v>
      </c>
      <c r="C828" s="2" t="s">
        <v>4308</v>
      </c>
      <c r="D828" s="2" t="s">
        <v>4307</v>
      </c>
    </row>
    <row r="829" spans="1:4" ht="15.75" customHeight="1" x14ac:dyDescent="0.25">
      <c r="A829" s="2" t="s">
        <v>2796</v>
      </c>
      <c r="B829" s="2" t="s">
        <v>2798</v>
      </c>
      <c r="C829" s="2" t="s">
        <v>4309</v>
      </c>
      <c r="D829" s="2" t="s">
        <v>2797</v>
      </c>
    </row>
    <row r="830" spans="1:4" ht="15.75" customHeight="1" x14ac:dyDescent="0.25">
      <c r="A830" s="2" t="s">
        <v>2800</v>
      </c>
      <c r="B830" s="2" t="s">
        <v>2801</v>
      </c>
      <c r="C830" s="2" t="s">
        <v>4310</v>
      </c>
      <c r="D830" s="2" t="s">
        <v>4293</v>
      </c>
    </row>
    <row r="831" spans="1:4" ht="15.75" customHeight="1" x14ac:dyDescent="0.25">
      <c r="A831" s="2" t="s">
        <v>2800</v>
      </c>
      <c r="B831" s="2" t="s">
        <v>2803</v>
      </c>
      <c r="C831" s="2" t="s">
        <v>4310</v>
      </c>
      <c r="D831" s="2" t="s">
        <v>4293</v>
      </c>
    </row>
    <row r="832" spans="1:4" ht="15.75" customHeight="1" x14ac:dyDescent="0.25">
      <c r="A832" s="2" t="s">
        <v>2804</v>
      </c>
      <c r="B832" s="2" t="s">
        <v>2806</v>
      </c>
      <c r="C832" s="2" t="s">
        <v>4311</v>
      </c>
      <c r="D832" s="2" t="s">
        <v>4312</v>
      </c>
    </row>
    <row r="833" spans="1:4" ht="15.75" customHeight="1" x14ac:dyDescent="0.25">
      <c r="A833" s="2" t="s">
        <v>2808</v>
      </c>
      <c r="B833" s="2" t="s">
        <v>2810</v>
      </c>
      <c r="C833" s="2" t="s">
        <v>4313</v>
      </c>
      <c r="D833" s="2" t="s">
        <v>4314</v>
      </c>
    </row>
    <row r="834" spans="1:4" ht="15.75" customHeight="1" x14ac:dyDescent="0.25">
      <c r="A834" s="2" t="s">
        <v>2812</v>
      </c>
      <c r="B834" s="2" t="s">
        <v>2813</v>
      </c>
      <c r="C834" s="2" t="s">
        <v>4315</v>
      </c>
      <c r="D834" s="2" t="s">
        <v>4314</v>
      </c>
    </row>
    <row r="835" spans="1:4" ht="15.75" customHeight="1" x14ac:dyDescent="0.25">
      <c r="A835" s="2" t="s">
        <v>2815</v>
      </c>
      <c r="B835" s="2" t="s">
        <v>2817</v>
      </c>
      <c r="C835" s="2" t="s">
        <v>4316</v>
      </c>
      <c r="D835" s="2" t="s">
        <v>4317</v>
      </c>
    </row>
    <row r="836" spans="1:4" ht="15.75" customHeight="1" x14ac:dyDescent="0.25">
      <c r="A836" s="2" t="s">
        <v>2819</v>
      </c>
      <c r="B836" s="2" t="s">
        <v>2821</v>
      </c>
      <c r="C836" s="2" t="s">
        <v>4318</v>
      </c>
      <c r="D836" s="2" t="s">
        <v>2820</v>
      </c>
    </row>
    <row r="837" spans="1:4" ht="15.75" customHeight="1" x14ac:dyDescent="0.25">
      <c r="A837" s="2" t="s">
        <v>2823</v>
      </c>
      <c r="B837" s="2" t="s">
        <v>2825</v>
      </c>
      <c r="C837" s="2" t="s">
        <v>4319</v>
      </c>
      <c r="D837" s="2" t="s">
        <v>4320</v>
      </c>
    </row>
    <row r="838" spans="1:4" ht="15.75" customHeight="1" x14ac:dyDescent="0.25">
      <c r="A838" s="2" t="s">
        <v>2827</v>
      </c>
      <c r="B838" s="2" t="s">
        <v>2828</v>
      </c>
      <c r="C838" s="2" t="s">
        <v>4321</v>
      </c>
      <c r="D838" s="2" t="s">
        <v>4320</v>
      </c>
    </row>
    <row r="839" spans="1:4" ht="15.75" customHeight="1" x14ac:dyDescent="0.25">
      <c r="A839" s="2" t="s">
        <v>2830</v>
      </c>
      <c r="B839" s="2" t="s">
        <v>2832</v>
      </c>
      <c r="C839" s="2" t="s">
        <v>4322</v>
      </c>
      <c r="D839" s="2" t="s">
        <v>4323</v>
      </c>
    </row>
    <row r="840" spans="1:4" ht="15.75" customHeight="1" x14ac:dyDescent="0.25">
      <c r="A840" s="2" t="s">
        <v>2834</v>
      </c>
      <c r="B840" s="2" t="s">
        <v>2835</v>
      </c>
      <c r="C840" s="2" t="s">
        <v>4324</v>
      </c>
      <c r="D840" s="2" t="s">
        <v>4323</v>
      </c>
    </row>
    <row r="841" spans="1:4" ht="15.75" customHeight="1" x14ac:dyDescent="0.25">
      <c r="A841" s="2" t="s">
        <v>2837</v>
      </c>
      <c r="B841" s="2" t="s">
        <v>2839</v>
      </c>
      <c r="C841" s="2" t="s">
        <v>4325</v>
      </c>
      <c r="D841" s="2" t="s">
        <v>4326</v>
      </c>
    </row>
    <row r="842" spans="1:4" ht="15.75" customHeight="1" x14ac:dyDescent="0.25">
      <c r="A842" s="2" t="s">
        <v>2841</v>
      </c>
      <c r="B842" s="2" t="s">
        <v>2843</v>
      </c>
      <c r="C842" s="2" t="s">
        <v>4327</v>
      </c>
      <c r="D842" s="2" t="s">
        <v>2842</v>
      </c>
    </row>
    <row r="843" spans="1:4" ht="15.75" customHeight="1" x14ac:dyDescent="0.25">
      <c r="A843" s="2" t="s">
        <v>2841</v>
      </c>
      <c r="B843" s="2" t="s">
        <v>2845</v>
      </c>
      <c r="C843" s="2" t="s">
        <v>4327</v>
      </c>
      <c r="D843" s="2" t="s">
        <v>2842</v>
      </c>
    </row>
    <row r="844" spans="1:4" ht="15.75" customHeight="1" x14ac:dyDescent="0.25">
      <c r="A844" s="2" t="s">
        <v>2846</v>
      </c>
      <c r="B844" s="2" t="s">
        <v>2848</v>
      </c>
      <c r="C844" s="2" t="s">
        <v>4328</v>
      </c>
      <c r="D844" s="2" t="s">
        <v>4329</v>
      </c>
    </row>
    <row r="845" spans="1:4" ht="15.75" customHeight="1" x14ac:dyDescent="0.25">
      <c r="A845" s="2" t="s">
        <v>2850</v>
      </c>
      <c r="B845" s="2" t="s">
        <v>2851</v>
      </c>
      <c r="C845" s="2" t="s">
        <v>4330</v>
      </c>
      <c r="D845" s="2" t="s">
        <v>3604</v>
      </c>
    </row>
    <row r="846" spans="1:4" ht="15.75" customHeight="1" x14ac:dyDescent="0.25">
      <c r="A846" s="2" t="s">
        <v>2853</v>
      </c>
      <c r="B846" s="2" t="s">
        <v>2854</v>
      </c>
      <c r="C846" s="2" t="s">
        <v>4331</v>
      </c>
      <c r="D846" s="2" t="s">
        <v>3604</v>
      </c>
    </row>
    <row r="847" spans="1:4" ht="15.75" customHeight="1" x14ac:dyDescent="0.25">
      <c r="A847" s="2" t="s">
        <v>2856</v>
      </c>
      <c r="B847" s="2" t="s">
        <v>2857</v>
      </c>
      <c r="C847" s="2" t="s">
        <v>4332</v>
      </c>
      <c r="D847" s="2" t="s">
        <v>3604</v>
      </c>
    </row>
    <row r="848" spans="1:4" ht="15.75" customHeight="1" x14ac:dyDescent="0.25">
      <c r="A848" s="2" t="s">
        <v>2859</v>
      </c>
      <c r="B848" s="2" t="s">
        <v>2861</v>
      </c>
      <c r="C848" s="2" t="s">
        <v>4333</v>
      </c>
      <c r="D848" s="2" t="s">
        <v>4334</v>
      </c>
    </row>
    <row r="849" spans="1:4" ht="15.75" customHeight="1" x14ac:dyDescent="0.25">
      <c r="A849" s="2" t="s">
        <v>2863</v>
      </c>
      <c r="B849" s="2" t="s">
        <v>2865</v>
      </c>
      <c r="C849" s="2" t="s">
        <v>4335</v>
      </c>
      <c r="D849" s="2" t="s">
        <v>4336</v>
      </c>
    </row>
    <row r="850" spans="1:4" ht="15.75" customHeight="1" x14ac:dyDescent="0.25">
      <c r="A850" s="2" t="s">
        <v>2867</v>
      </c>
      <c r="B850" s="2" t="s">
        <v>2869</v>
      </c>
      <c r="C850" s="2" t="s">
        <v>4337</v>
      </c>
      <c r="D850" s="2" t="s">
        <v>4338</v>
      </c>
    </row>
    <row r="851" spans="1:4" ht="15.75" customHeight="1" x14ac:dyDescent="0.25">
      <c r="A851" s="2" t="s">
        <v>2871</v>
      </c>
      <c r="B851" s="2" t="s">
        <v>2873</v>
      </c>
      <c r="C851" s="2" t="s">
        <v>4339</v>
      </c>
      <c r="D851" s="2" t="s">
        <v>4340</v>
      </c>
    </row>
    <row r="852" spans="1:4" ht="15.75" customHeight="1" x14ac:dyDescent="0.25">
      <c r="A852" s="2" t="s">
        <v>2875</v>
      </c>
      <c r="B852" s="2" t="s">
        <v>2877</v>
      </c>
      <c r="C852" s="2" t="s">
        <v>4341</v>
      </c>
      <c r="D852" s="2" t="s">
        <v>4342</v>
      </c>
    </row>
    <row r="853" spans="1:4" ht="15.75" customHeight="1" x14ac:dyDescent="0.25">
      <c r="A853" s="2" t="s">
        <v>2879</v>
      </c>
      <c r="B853" s="2" t="s">
        <v>2881</v>
      </c>
      <c r="C853" s="2" t="s">
        <v>4343</v>
      </c>
      <c r="D853" s="2" t="s">
        <v>4344</v>
      </c>
    </row>
    <row r="854" spans="1:4" ht="15.75" customHeight="1" x14ac:dyDescent="0.25">
      <c r="A854" s="2" t="s">
        <v>2883</v>
      </c>
      <c r="B854" s="2" t="s">
        <v>2885</v>
      </c>
      <c r="C854" s="2" t="s">
        <v>4345</v>
      </c>
      <c r="D854" s="2" t="s">
        <v>4346</v>
      </c>
    </row>
    <row r="855" spans="1:4" ht="15.75" customHeight="1" x14ac:dyDescent="0.25">
      <c r="A855" s="2" t="s">
        <v>2887</v>
      </c>
      <c r="B855" s="2" t="s">
        <v>2889</v>
      </c>
      <c r="C855" s="2" t="s">
        <v>4347</v>
      </c>
      <c r="D855" s="2" t="s">
        <v>4348</v>
      </c>
    </row>
    <row r="856" spans="1:4" ht="15.75" customHeight="1" x14ac:dyDescent="0.25">
      <c r="A856" s="2" t="s">
        <v>2891</v>
      </c>
      <c r="B856" s="2" t="s">
        <v>2893</v>
      </c>
      <c r="C856" s="2" t="s">
        <v>4349</v>
      </c>
      <c r="D856" s="2" t="s">
        <v>4350</v>
      </c>
    </row>
    <row r="857" spans="1:4" ht="15.75" customHeight="1" x14ac:dyDescent="0.25">
      <c r="A857" s="2" t="s">
        <v>2895</v>
      </c>
      <c r="B857" s="2" t="s">
        <v>2897</v>
      </c>
      <c r="C857" s="2" t="s">
        <v>4351</v>
      </c>
      <c r="D857" s="2" t="s">
        <v>4352</v>
      </c>
    </row>
    <row r="858" spans="1:4" ht="15.75" customHeight="1" x14ac:dyDescent="0.25">
      <c r="A858" s="2" t="s">
        <v>2899</v>
      </c>
      <c r="B858" s="2" t="s">
        <v>2900</v>
      </c>
      <c r="C858" s="2" t="s">
        <v>4353</v>
      </c>
      <c r="D858" s="2" t="s">
        <v>4352</v>
      </c>
    </row>
    <row r="859" spans="1:4" ht="15.75" customHeight="1" x14ac:dyDescent="0.25">
      <c r="A859" s="2" t="s">
        <v>2902</v>
      </c>
      <c r="B859" s="2" t="s">
        <v>2904</v>
      </c>
      <c r="C859" s="2" t="s">
        <v>4354</v>
      </c>
      <c r="D859" s="2" t="s">
        <v>4355</v>
      </c>
    </row>
    <row r="860" spans="1:4" ht="15.75" customHeight="1" x14ac:dyDescent="0.25">
      <c r="A860" s="2" t="s">
        <v>2902</v>
      </c>
      <c r="B860" s="2" t="s">
        <v>2906</v>
      </c>
      <c r="C860" s="2" t="s">
        <v>4354</v>
      </c>
      <c r="D860" s="2" t="s">
        <v>4355</v>
      </c>
    </row>
    <row r="861" spans="1:4" ht="15.75" customHeight="1" x14ac:dyDescent="0.25">
      <c r="A861" s="2" t="s">
        <v>2907</v>
      </c>
      <c r="B861" s="2" t="s">
        <v>2908</v>
      </c>
      <c r="C861" s="2" t="s">
        <v>4356</v>
      </c>
      <c r="D861" s="2" t="s">
        <v>3891</v>
      </c>
    </row>
    <row r="862" spans="1:4" ht="15.75" customHeight="1" x14ac:dyDescent="0.25">
      <c r="A862" s="2" t="s">
        <v>2910</v>
      </c>
      <c r="B862" s="2" t="s">
        <v>2912</v>
      </c>
      <c r="C862" s="2" t="s">
        <v>4357</v>
      </c>
      <c r="D862" s="2" t="s">
        <v>4358</v>
      </c>
    </row>
    <row r="863" spans="1:4" ht="15.75" customHeight="1" x14ac:dyDescent="0.25">
      <c r="A863" s="2" t="s">
        <v>2914</v>
      </c>
      <c r="B863" s="2" t="s">
        <v>2916</v>
      </c>
      <c r="C863" s="2" t="s">
        <v>4359</v>
      </c>
      <c r="D863" s="2" t="s">
        <v>4360</v>
      </c>
    </row>
    <row r="864" spans="1:4" ht="15.75" customHeight="1" x14ac:dyDescent="0.25">
      <c r="A864" s="2" t="s">
        <v>2918</v>
      </c>
      <c r="B864" s="2" t="s">
        <v>2920</v>
      </c>
      <c r="C864" s="2" t="s">
        <v>4361</v>
      </c>
      <c r="D864" s="2" t="s">
        <v>4362</v>
      </c>
    </row>
    <row r="865" spans="1:4" ht="15.75" customHeight="1" x14ac:dyDescent="0.25">
      <c r="A865" s="2" t="s">
        <v>2922</v>
      </c>
      <c r="B865" s="2" t="s">
        <v>2924</v>
      </c>
      <c r="C865" s="2" t="s">
        <v>4363</v>
      </c>
      <c r="D865" s="2" t="s">
        <v>4364</v>
      </c>
    </row>
    <row r="866" spans="1:4" ht="15.75" customHeight="1" x14ac:dyDescent="0.25">
      <c r="A866" s="2" t="s">
        <v>2926</v>
      </c>
      <c r="B866" s="2" t="s">
        <v>2927</v>
      </c>
      <c r="C866" s="2" t="s">
        <v>4365</v>
      </c>
      <c r="D866" s="2" t="s">
        <v>4346</v>
      </c>
    </row>
    <row r="867" spans="1:4" ht="15.75" customHeight="1" x14ac:dyDescent="0.25">
      <c r="A867" s="2" t="s">
        <v>2929</v>
      </c>
      <c r="B867" s="2" t="s">
        <v>2931</v>
      </c>
      <c r="C867" s="2" t="s">
        <v>4366</v>
      </c>
      <c r="D867" s="2" t="s">
        <v>4367</v>
      </c>
    </row>
    <row r="868" spans="1:4" ht="15.75" customHeight="1" x14ac:dyDescent="0.25">
      <c r="A868" s="2" t="s">
        <v>2933</v>
      </c>
      <c r="B868" s="2" t="s">
        <v>2935</v>
      </c>
      <c r="C868" s="2" t="s">
        <v>4368</v>
      </c>
      <c r="D868" s="2" t="s">
        <v>4369</v>
      </c>
    </row>
    <row r="869" spans="1:4" ht="15.75" customHeight="1" x14ac:dyDescent="0.25">
      <c r="A869" s="2" t="s">
        <v>2937</v>
      </c>
      <c r="B869" s="2" t="s">
        <v>2939</v>
      </c>
      <c r="C869" s="2" t="s">
        <v>4370</v>
      </c>
      <c r="D869" s="2" t="s">
        <v>4371</v>
      </c>
    </row>
    <row r="870" spans="1:4" ht="15.75" customHeight="1" x14ac:dyDescent="0.25">
      <c r="A870" s="2" t="s">
        <v>2941</v>
      </c>
      <c r="B870" s="2" t="s">
        <v>2942</v>
      </c>
      <c r="C870" s="2" t="s">
        <v>4372</v>
      </c>
      <c r="D870" s="2" t="s">
        <v>4371</v>
      </c>
    </row>
    <row r="871" spans="1:4" ht="15.75" customHeight="1" x14ac:dyDescent="0.25">
      <c r="A871" s="2" t="s">
        <v>2944</v>
      </c>
      <c r="B871" s="2" t="s">
        <v>2945</v>
      </c>
      <c r="C871" s="2" t="s">
        <v>4373</v>
      </c>
      <c r="D871" s="2" t="s">
        <v>4371</v>
      </c>
    </row>
    <row r="872" spans="1:4" ht="15.75" customHeight="1" x14ac:dyDescent="0.25">
      <c r="A872" s="2" t="s">
        <v>2947</v>
      </c>
      <c r="B872" s="2" t="s">
        <v>2949</v>
      </c>
      <c r="C872" s="2" t="s">
        <v>4374</v>
      </c>
      <c r="D872" s="2" t="s">
        <v>4375</v>
      </c>
    </row>
    <row r="873" spans="1:4" ht="15.75" customHeight="1" x14ac:dyDescent="0.25">
      <c r="A873" s="2" t="s">
        <v>2951</v>
      </c>
      <c r="B873" s="2" t="s">
        <v>2952</v>
      </c>
      <c r="C873" s="2" t="s">
        <v>4376</v>
      </c>
      <c r="D873" s="2" t="s">
        <v>4375</v>
      </c>
    </row>
    <row r="874" spans="1:4" ht="15.75" customHeight="1" x14ac:dyDescent="0.25">
      <c r="A874" s="2" t="s">
        <v>2954</v>
      </c>
      <c r="B874" s="2" t="s">
        <v>2955</v>
      </c>
      <c r="C874" s="2" t="s">
        <v>4377</v>
      </c>
      <c r="D874" s="2" t="s">
        <v>4375</v>
      </c>
    </row>
    <row r="875" spans="1:4" ht="15.75" customHeight="1" x14ac:dyDescent="0.25">
      <c r="A875" s="2" t="s">
        <v>2957</v>
      </c>
      <c r="B875" s="2" t="s">
        <v>2958</v>
      </c>
      <c r="C875" s="2" t="s">
        <v>4378</v>
      </c>
      <c r="D875" s="2" t="s">
        <v>4375</v>
      </c>
    </row>
    <row r="876" spans="1:4" ht="15.75" customHeight="1" x14ac:dyDescent="0.25">
      <c r="A876" s="2" t="s">
        <v>2960</v>
      </c>
      <c r="B876" s="2" t="s">
        <v>2962</v>
      </c>
      <c r="C876" s="2" t="s">
        <v>4379</v>
      </c>
      <c r="D876" s="2" t="s">
        <v>4380</v>
      </c>
    </row>
    <row r="877" spans="1:4" ht="15.75" customHeight="1" x14ac:dyDescent="0.25">
      <c r="A877" s="2" t="s">
        <v>2964</v>
      </c>
      <c r="B877" s="2" t="s">
        <v>2966</v>
      </c>
      <c r="C877" s="2" t="s">
        <v>4381</v>
      </c>
      <c r="D877" s="2" t="s">
        <v>4382</v>
      </c>
    </row>
    <row r="878" spans="1:4" ht="15.75" customHeight="1" x14ac:dyDescent="0.25">
      <c r="A878" s="2" t="s">
        <v>2968</v>
      </c>
      <c r="B878" s="2" t="s">
        <v>2970</v>
      </c>
      <c r="C878" s="2" t="s">
        <v>4383</v>
      </c>
      <c r="D878" s="2" t="s">
        <v>2969</v>
      </c>
    </row>
    <row r="879" spans="1:4" ht="15.75" customHeight="1" x14ac:dyDescent="0.25">
      <c r="A879" s="2" t="s">
        <v>2972</v>
      </c>
      <c r="B879" s="2" t="s">
        <v>2974</v>
      </c>
      <c r="C879" s="2" t="s">
        <v>4384</v>
      </c>
      <c r="D879" s="2" t="s">
        <v>2973</v>
      </c>
    </row>
    <row r="880" spans="1:4" ht="15.75" customHeight="1" x14ac:dyDescent="0.25">
      <c r="A880" s="2" t="s">
        <v>2976</v>
      </c>
      <c r="B880" s="2" t="s">
        <v>2978</v>
      </c>
      <c r="C880" s="2" t="s">
        <v>4385</v>
      </c>
      <c r="D880" s="2" t="s">
        <v>2977</v>
      </c>
    </row>
    <row r="881" spans="1:4" ht="15.75" customHeight="1" x14ac:dyDescent="0.25">
      <c r="A881" s="2" t="s">
        <v>2980</v>
      </c>
      <c r="B881" s="2" t="s">
        <v>2982</v>
      </c>
      <c r="C881" s="2" t="s">
        <v>4386</v>
      </c>
      <c r="D881" s="2" t="s">
        <v>4387</v>
      </c>
    </row>
    <row r="882" spans="1:4" ht="15.75" customHeight="1" x14ac:dyDescent="0.25">
      <c r="A882" s="2" t="s">
        <v>2984</v>
      </c>
      <c r="B882" s="2" t="s">
        <v>2986</v>
      </c>
      <c r="C882" s="2" t="s">
        <v>4388</v>
      </c>
      <c r="D882" s="2" t="s">
        <v>4389</v>
      </c>
    </row>
    <row r="883" spans="1:4" ht="15.75" customHeight="1" x14ac:dyDescent="0.25">
      <c r="A883" s="2" t="s">
        <v>2988</v>
      </c>
      <c r="B883" s="2" t="s">
        <v>2990</v>
      </c>
      <c r="C883" s="2" t="s">
        <v>4390</v>
      </c>
      <c r="D883" s="2" t="s">
        <v>2989</v>
      </c>
    </row>
    <row r="884" spans="1:4" ht="15.75" customHeight="1" x14ac:dyDescent="0.25">
      <c r="A884" s="2" t="s">
        <v>2992</v>
      </c>
      <c r="B884" s="2" t="s">
        <v>2994</v>
      </c>
      <c r="C884" s="2" t="s">
        <v>4391</v>
      </c>
      <c r="D884" s="2" t="s">
        <v>3611</v>
      </c>
    </row>
    <row r="885" spans="1:4" ht="15.75" customHeight="1" x14ac:dyDescent="0.25">
      <c r="A885" s="2" t="s">
        <v>2996</v>
      </c>
      <c r="B885" s="2" t="s">
        <v>2998</v>
      </c>
      <c r="C885" s="2" t="s">
        <v>4392</v>
      </c>
      <c r="D885" s="2" t="s">
        <v>4393</v>
      </c>
    </row>
    <row r="886" spans="1:4" ht="15.75" customHeight="1" x14ac:dyDescent="0.25">
      <c r="A886" s="2" t="s">
        <v>3000</v>
      </c>
      <c r="B886" s="2" t="s">
        <v>3002</v>
      </c>
      <c r="C886" s="2" t="s">
        <v>4394</v>
      </c>
      <c r="D886" s="2" t="s">
        <v>4395</v>
      </c>
    </row>
    <row r="887" spans="1:4" ht="15.75" customHeight="1" x14ac:dyDescent="0.25">
      <c r="A887" s="2" t="s">
        <v>3004</v>
      </c>
      <c r="B887" s="2" t="s">
        <v>3006</v>
      </c>
      <c r="C887" s="2" t="s">
        <v>4396</v>
      </c>
      <c r="D887" s="2" t="s">
        <v>3005</v>
      </c>
    </row>
    <row r="888" spans="1:4" ht="15.75" customHeight="1" x14ac:dyDescent="0.25">
      <c r="A888" s="2" t="s">
        <v>3008</v>
      </c>
      <c r="B888" s="2" t="s">
        <v>3010</v>
      </c>
      <c r="C888" s="2" t="s">
        <v>4397</v>
      </c>
      <c r="D888" s="2" t="s">
        <v>4398</v>
      </c>
    </row>
    <row r="889" spans="1:4" ht="15.75" customHeight="1" x14ac:dyDescent="0.25">
      <c r="A889" s="2" t="s">
        <v>3012</v>
      </c>
      <c r="B889" s="2" t="s">
        <v>3014</v>
      </c>
      <c r="C889" s="2" t="s">
        <v>4399</v>
      </c>
      <c r="D889" s="2" t="s">
        <v>4400</v>
      </c>
    </row>
    <row r="890" spans="1:4" ht="15.75" customHeight="1" x14ac:dyDescent="0.25">
      <c r="A890" s="2" t="s">
        <v>3012</v>
      </c>
      <c r="B890" s="2" t="s">
        <v>3016</v>
      </c>
      <c r="C890" s="2" t="s">
        <v>4399</v>
      </c>
      <c r="D890" s="2" t="s">
        <v>4400</v>
      </c>
    </row>
    <row r="891" spans="1:4" ht="15.75" customHeight="1" x14ac:dyDescent="0.25">
      <c r="A891" s="2" t="s">
        <v>3017</v>
      </c>
      <c r="B891" s="2" t="s">
        <v>3019</v>
      </c>
      <c r="C891" s="2" t="s">
        <v>4401</v>
      </c>
      <c r="D891" s="2" t="s">
        <v>4402</v>
      </c>
    </row>
    <row r="892" spans="1:4" ht="15.75" customHeight="1" x14ac:dyDescent="0.25">
      <c r="A892" s="2" t="s">
        <v>3017</v>
      </c>
      <c r="B892" s="2" t="s">
        <v>3021</v>
      </c>
      <c r="C892" s="2" t="s">
        <v>4401</v>
      </c>
      <c r="D892" s="2" t="s">
        <v>4402</v>
      </c>
    </row>
    <row r="893" spans="1:4" ht="15.75" customHeight="1" x14ac:dyDescent="0.25">
      <c r="A893" s="2" t="s">
        <v>3017</v>
      </c>
      <c r="B893" s="2" t="s">
        <v>3022</v>
      </c>
      <c r="C893" s="2" t="s">
        <v>4401</v>
      </c>
      <c r="D893" s="2" t="s">
        <v>4402</v>
      </c>
    </row>
    <row r="894" spans="1:4" ht="15.75" customHeight="1" x14ac:dyDescent="0.25">
      <c r="A894" s="2" t="s">
        <v>3017</v>
      </c>
      <c r="B894" s="2" t="s">
        <v>3023</v>
      </c>
      <c r="C894" s="2" t="s">
        <v>4401</v>
      </c>
      <c r="D894" s="2" t="s">
        <v>4402</v>
      </c>
    </row>
    <row r="895" spans="1:4" ht="15.75" customHeight="1" x14ac:dyDescent="0.25">
      <c r="A895" s="2" t="s">
        <v>3024</v>
      </c>
      <c r="B895" s="2" t="s">
        <v>3026</v>
      </c>
      <c r="C895" s="2" t="s">
        <v>4403</v>
      </c>
      <c r="D895" s="2" t="s">
        <v>4404</v>
      </c>
    </row>
    <row r="896" spans="1:4" ht="15.75" customHeight="1" x14ac:dyDescent="0.25">
      <c r="A896" s="2" t="s">
        <v>3028</v>
      </c>
      <c r="B896" s="2" t="s">
        <v>3030</v>
      </c>
      <c r="C896" s="2" t="s">
        <v>4405</v>
      </c>
      <c r="D896" s="2" t="s">
        <v>4406</v>
      </c>
    </row>
    <row r="897" spans="1:4" ht="15.75" customHeight="1" x14ac:dyDescent="0.25">
      <c r="A897" s="2" t="s">
        <v>3032</v>
      </c>
      <c r="B897" s="2" t="s">
        <v>3033</v>
      </c>
      <c r="C897" s="2" t="s">
        <v>4407</v>
      </c>
      <c r="D897" s="2" t="s">
        <v>3479</v>
      </c>
    </row>
    <row r="898" spans="1:4" ht="15.75" customHeight="1" x14ac:dyDescent="0.25">
      <c r="A898" s="2" t="s">
        <v>3035</v>
      </c>
      <c r="B898" s="2" t="s">
        <v>3036</v>
      </c>
      <c r="C898" s="2" t="s">
        <v>4408</v>
      </c>
      <c r="D898" s="2" t="s">
        <v>3479</v>
      </c>
    </row>
    <row r="899" spans="1:4" ht="15.75" customHeight="1" x14ac:dyDescent="0.25">
      <c r="A899" s="2" t="s">
        <v>3038</v>
      </c>
      <c r="B899" s="2" t="s">
        <v>3040</v>
      </c>
      <c r="C899" s="2" t="s">
        <v>4409</v>
      </c>
      <c r="D899" s="2" t="s">
        <v>3039</v>
      </c>
    </row>
    <row r="900" spans="1:4" ht="15.75" customHeight="1" x14ac:dyDescent="0.25">
      <c r="A900" s="2" t="s">
        <v>3042</v>
      </c>
      <c r="B900" s="2" t="s">
        <v>3044</v>
      </c>
      <c r="C900" s="2" t="s">
        <v>4410</v>
      </c>
      <c r="D900" s="2" t="s">
        <v>4411</v>
      </c>
    </row>
    <row r="901" spans="1:4" ht="15.75" customHeight="1" x14ac:dyDescent="0.25">
      <c r="A901" s="2" t="s">
        <v>3046</v>
      </c>
      <c r="B901" s="2" t="s">
        <v>3048</v>
      </c>
      <c r="C901" s="2" t="s">
        <v>4412</v>
      </c>
      <c r="D901" s="2" t="s">
        <v>3047</v>
      </c>
    </row>
    <row r="902" spans="1:4" ht="15.75" customHeight="1" x14ac:dyDescent="0.25">
      <c r="A902" s="2" t="s">
        <v>3050</v>
      </c>
      <c r="B902" s="2" t="s">
        <v>3052</v>
      </c>
      <c r="C902" s="2" t="s">
        <v>4413</v>
      </c>
      <c r="D902" s="2" t="s">
        <v>4414</v>
      </c>
    </row>
    <row r="903" spans="1:4" ht="15.75" customHeight="1" x14ac:dyDescent="0.25">
      <c r="A903" s="2" t="s">
        <v>3054</v>
      </c>
      <c r="B903" s="2" t="s">
        <v>3055</v>
      </c>
      <c r="C903" s="2" t="s">
        <v>4415</v>
      </c>
      <c r="D903" s="2" t="s">
        <v>4414</v>
      </c>
    </row>
    <row r="904" spans="1:4" ht="15.75" customHeight="1" x14ac:dyDescent="0.25">
      <c r="A904" s="2" t="s">
        <v>3057</v>
      </c>
      <c r="B904" s="2" t="s">
        <v>3059</v>
      </c>
      <c r="C904" s="2" t="s">
        <v>4416</v>
      </c>
      <c r="D904" s="2" t="s">
        <v>4417</v>
      </c>
    </row>
    <row r="905" spans="1:4" ht="15.75" customHeight="1" x14ac:dyDescent="0.25">
      <c r="A905" s="2" t="s">
        <v>3061</v>
      </c>
      <c r="B905" s="2" t="s">
        <v>3062</v>
      </c>
      <c r="C905" s="2" t="s">
        <v>4418</v>
      </c>
      <c r="D905" s="2" t="s">
        <v>4417</v>
      </c>
    </row>
    <row r="906" spans="1:4" ht="15.75" customHeight="1" x14ac:dyDescent="0.25">
      <c r="A906" s="2" t="s">
        <v>3064</v>
      </c>
      <c r="B906" s="2" t="s">
        <v>3066</v>
      </c>
      <c r="C906" s="2" t="s">
        <v>4419</v>
      </c>
      <c r="D906" s="2" t="s">
        <v>4420</v>
      </c>
    </row>
    <row r="907" spans="1:4" ht="15.75" customHeight="1" x14ac:dyDescent="0.25">
      <c r="A907" s="2" t="s">
        <v>3068</v>
      </c>
      <c r="B907" s="2" t="s">
        <v>3070</v>
      </c>
      <c r="C907" s="2" t="s">
        <v>4421</v>
      </c>
      <c r="D907" s="2" t="s">
        <v>4422</v>
      </c>
    </row>
    <row r="908" spans="1:4" ht="15.75" customHeight="1" x14ac:dyDescent="0.25">
      <c r="A908" s="2" t="s">
        <v>3072</v>
      </c>
      <c r="B908" s="2" t="s">
        <v>3074</v>
      </c>
      <c r="C908" s="2" t="s">
        <v>4423</v>
      </c>
      <c r="D908" s="2" t="s">
        <v>4424</v>
      </c>
    </row>
    <row r="909" spans="1:4" ht="15.75" customHeight="1" x14ac:dyDescent="0.25">
      <c r="A909" s="2" t="s">
        <v>3076</v>
      </c>
      <c r="B909" s="2" t="s">
        <v>3077</v>
      </c>
      <c r="C909" s="2" t="s">
        <v>4425</v>
      </c>
      <c r="D909" s="2" t="s">
        <v>4270</v>
      </c>
    </row>
    <row r="910" spans="1:4" ht="15.75" customHeight="1" x14ac:dyDescent="0.25">
      <c r="A910" s="2" t="s">
        <v>3079</v>
      </c>
      <c r="B910" s="2" t="s">
        <v>3080</v>
      </c>
      <c r="C910" s="2" t="s">
        <v>4426</v>
      </c>
      <c r="D910" s="2" t="s">
        <v>4270</v>
      </c>
    </row>
    <row r="911" spans="1:4" ht="15.75" customHeight="1" x14ac:dyDescent="0.25">
      <c r="A911" s="2" t="s">
        <v>3082</v>
      </c>
      <c r="B911" s="2" t="s">
        <v>3084</v>
      </c>
      <c r="C911" s="2" t="s">
        <v>4427</v>
      </c>
      <c r="D911" s="2" t="s">
        <v>4428</v>
      </c>
    </row>
    <row r="912" spans="1:4" ht="15.75" customHeight="1" x14ac:dyDescent="0.25">
      <c r="A912" s="2" t="s">
        <v>3082</v>
      </c>
      <c r="B912" s="2" t="s">
        <v>3086</v>
      </c>
      <c r="C912" s="2" t="s">
        <v>4427</v>
      </c>
      <c r="D912" s="2" t="s">
        <v>4428</v>
      </c>
    </row>
    <row r="913" spans="1:4" ht="15.75" customHeight="1" x14ac:dyDescent="0.25">
      <c r="A913" s="2" t="s">
        <v>3087</v>
      </c>
      <c r="B913" s="2" t="s">
        <v>3088</v>
      </c>
      <c r="C913" s="2" t="s">
        <v>4429</v>
      </c>
      <c r="D913" s="2" t="s">
        <v>4428</v>
      </c>
    </row>
    <row r="914" spans="1:4" ht="15.75" customHeight="1" x14ac:dyDescent="0.25">
      <c r="A914" s="2" t="s">
        <v>3087</v>
      </c>
      <c r="B914" s="2" t="s">
        <v>3090</v>
      </c>
      <c r="C914" s="2" t="s">
        <v>4429</v>
      </c>
      <c r="D914" s="2" t="s">
        <v>4428</v>
      </c>
    </row>
    <row r="915" spans="1:4" ht="15.75" customHeight="1" x14ac:dyDescent="0.25">
      <c r="A915" s="2" t="s">
        <v>3091</v>
      </c>
      <c r="B915" s="2" t="s">
        <v>3092</v>
      </c>
      <c r="C915" s="2" t="s">
        <v>4430</v>
      </c>
      <c r="D915" s="2" t="s">
        <v>3214</v>
      </c>
    </row>
    <row r="916" spans="1:4" ht="15.75" customHeight="1" x14ac:dyDescent="0.25">
      <c r="A916" s="2" t="s">
        <v>3091</v>
      </c>
      <c r="B916" s="2" t="s">
        <v>3094</v>
      </c>
      <c r="C916" s="2" t="s">
        <v>4430</v>
      </c>
      <c r="D916" s="2" t="s">
        <v>3214</v>
      </c>
    </row>
    <row r="917" spans="1:4" ht="15.75" customHeight="1" x14ac:dyDescent="0.25">
      <c r="A917" s="2" t="s">
        <v>3095</v>
      </c>
      <c r="B917" s="2" t="s">
        <v>3096</v>
      </c>
      <c r="C917" s="2" t="s">
        <v>4431</v>
      </c>
      <c r="D917" s="2" t="s">
        <v>3622</v>
      </c>
    </row>
    <row r="918" spans="1:4" ht="15.75" customHeight="1" x14ac:dyDescent="0.25">
      <c r="A918" s="2" t="s">
        <v>3098</v>
      </c>
      <c r="B918" s="2" t="s">
        <v>3099</v>
      </c>
      <c r="C918" s="2" t="s">
        <v>4432</v>
      </c>
      <c r="D918" s="2" t="s">
        <v>3622</v>
      </c>
    </row>
    <row r="919" spans="1:4" ht="15.75" customHeight="1" x14ac:dyDescent="0.25">
      <c r="A919" s="2" t="s">
        <v>3101</v>
      </c>
      <c r="B919" s="2" t="s">
        <v>3103</v>
      </c>
      <c r="C919" s="2" t="s">
        <v>4433</v>
      </c>
      <c r="D919" s="2" t="s">
        <v>4434</v>
      </c>
    </row>
    <row r="920" spans="1:4" ht="15.75" customHeight="1" x14ac:dyDescent="0.25">
      <c r="A920" s="2" t="s">
        <v>3105</v>
      </c>
      <c r="B920" s="2" t="s">
        <v>3106</v>
      </c>
      <c r="C920" s="2" t="s">
        <v>4435</v>
      </c>
      <c r="D920" s="2" t="s">
        <v>4434</v>
      </c>
    </row>
    <row r="921" spans="1:4" ht="15.75" customHeight="1" x14ac:dyDescent="0.25">
      <c r="A921" s="2" t="s">
        <v>3108</v>
      </c>
      <c r="B921" s="2" t="s">
        <v>3110</v>
      </c>
      <c r="C921" s="2" t="s">
        <v>4436</v>
      </c>
      <c r="D921" s="2" t="s">
        <v>4437</v>
      </c>
    </row>
    <row r="922" spans="1:4" ht="15.75" customHeight="1" x14ac:dyDescent="0.25">
      <c r="A922" s="2" t="s">
        <v>3108</v>
      </c>
      <c r="B922" s="2" t="s">
        <v>3112</v>
      </c>
      <c r="C922" s="2" t="s">
        <v>4436</v>
      </c>
      <c r="D922" s="2" t="s">
        <v>4437</v>
      </c>
    </row>
    <row r="923" spans="1:4" ht="15.75" customHeight="1" x14ac:dyDescent="0.25">
      <c r="A923" s="2" t="s">
        <v>3113</v>
      </c>
      <c r="B923" s="2" t="s">
        <v>3115</v>
      </c>
      <c r="C923" s="2" t="s">
        <v>4438</v>
      </c>
      <c r="D923" s="2" t="s">
        <v>4439</v>
      </c>
    </row>
    <row r="924" spans="1:4" ht="15.75" customHeight="1" x14ac:dyDescent="0.25">
      <c r="A924" s="2" t="s">
        <v>3117</v>
      </c>
      <c r="B924" s="2" t="s">
        <v>3119</v>
      </c>
      <c r="C924" s="2" t="s">
        <v>4440</v>
      </c>
      <c r="D924" s="2" t="s">
        <v>4441</v>
      </c>
    </row>
    <row r="925" spans="1:4" ht="15.75" customHeight="1" x14ac:dyDescent="0.25">
      <c r="A925" s="2" t="s">
        <v>3121</v>
      </c>
      <c r="B925" s="2" t="s">
        <v>3122</v>
      </c>
      <c r="C925" s="2" t="s">
        <v>4442</v>
      </c>
      <c r="D925" s="2" t="s">
        <v>4441</v>
      </c>
    </row>
    <row r="926" spans="1:4" ht="15.75" customHeight="1" x14ac:dyDescent="0.25">
      <c r="A926" s="2" t="s">
        <v>3124</v>
      </c>
      <c r="B926" s="2" t="s">
        <v>3126</v>
      </c>
      <c r="C926" s="2" t="s">
        <v>4443</v>
      </c>
      <c r="D926" s="2" t="s">
        <v>4444</v>
      </c>
    </row>
    <row r="927" spans="1:4" ht="15.75" customHeight="1" x14ac:dyDescent="0.25">
      <c r="A927" s="2" t="s">
        <v>3128</v>
      </c>
      <c r="B927" s="2" t="s">
        <v>3129</v>
      </c>
      <c r="C927" s="2" t="s">
        <v>4445</v>
      </c>
      <c r="D927" s="2" t="s">
        <v>3340</v>
      </c>
    </row>
    <row r="928" spans="1:4"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DaxStudio</vt:lpstr>
      <vt:lpstr>Especie traduzida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Rayron Goncalves, Rafael</dc:creator>
  <cp:lastModifiedBy>Rayron Goncalves, Rafael</cp:lastModifiedBy>
  <dcterms:created xsi:type="dcterms:W3CDTF">2022-10-23T12:32:53Z</dcterms:created>
  <dcterms:modified xsi:type="dcterms:W3CDTF">2022-10-26T14:08:03Z</dcterms:modified>
</cp:coreProperties>
</file>