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e2004\Desktop\Ralph\"/>
    </mc:Choice>
  </mc:AlternateContent>
  <xr:revisionPtr revIDLastSave="0" documentId="13_ncr:1_{F4F1A41E-5643-49E8-B52A-0906949938CF}" xr6:coauthVersionLast="45" xr6:coauthVersionMax="45" xr10:uidLastSave="{00000000-0000-0000-0000-000000000000}"/>
  <bookViews>
    <workbookView xWindow="-120" yWindow="-120" windowWidth="20730" windowHeight="11160" xr2:uid="{6AC4F9D3-0879-46E1-A6B5-1628C99B5F0E}"/>
  </bookViews>
  <sheets>
    <sheet name="KO" sheetId="1" r:id="rId1"/>
    <sheet name="PE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C5" i="2" l="1"/>
  <c r="B23" i="2" l="1"/>
  <c r="B23" i="1"/>
  <c r="C5" i="1" l="1"/>
  <c r="H9" i="2" l="1"/>
  <c r="I9" i="2" s="1"/>
  <c r="B49" i="2"/>
  <c r="B31" i="2"/>
  <c r="B29" i="2"/>
  <c r="F39" i="2"/>
  <c r="G39" i="2" s="1"/>
  <c r="B15" i="2"/>
  <c r="B16" i="2" s="1"/>
  <c r="B22" i="2" s="1"/>
  <c r="E23" i="2" s="1"/>
  <c r="C9" i="2"/>
  <c r="H9" i="1"/>
  <c r="I9" i="1" s="1"/>
  <c r="F39" i="1"/>
  <c r="G39" i="1" s="1"/>
  <c r="H39" i="1"/>
  <c r="B29" i="1"/>
  <c r="B15" i="1"/>
  <c r="B16" i="1" s="1"/>
  <c r="B22" i="1" s="1"/>
  <c r="C9" i="1"/>
  <c r="E16" i="2" l="1"/>
  <c r="I39" i="1"/>
  <c r="E16" i="1"/>
  <c r="I39" i="2"/>
</calcChain>
</file>

<file path=xl/sharedStrings.xml><?xml version="1.0" encoding="utf-8"?>
<sst xmlns="http://schemas.openxmlformats.org/spreadsheetml/2006/main" count="124" uniqueCount="66">
  <si>
    <t>Company Name:</t>
  </si>
  <si>
    <t>Coca-Cola</t>
  </si>
  <si>
    <t>Ticker Symbol:</t>
  </si>
  <si>
    <t>KO</t>
  </si>
  <si>
    <t>Company Valuation Sheet</t>
  </si>
  <si>
    <t>PE (TTM)</t>
  </si>
  <si>
    <t>Price/ Book</t>
  </si>
  <si>
    <t>Product (Target &lt;= 22.5)</t>
  </si>
  <si>
    <t>CAPM:</t>
  </si>
  <si>
    <t>Quick View (Back-of-the-envelope Calc):</t>
  </si>
  <si>
    <t>Risk-free rate:</t>
  </si>
  <si>
    <t>Beta:</t>
  </si>
  <si>
    <t>Expected Market Return:</t>
  </si>
  <si>
    <t>Equity Market Premium:</t>
  </si>
  <si>
    <t>Expected Investment Return:</t>
  </si>
  <si>
    <t>DDM:</t>
  </si>
  <si>
    <t>Ratio Analysis:</t>
  </si>
  <si>
    <t>Company</t>
  </si>
  <si>
    <t>Industry</t>
  </si>
  <si>
    <t>Metric</t>
  </si>
  <si>
    <t>Profitability:</t>
  </si>
  <si>
    <t>Growth:</t>
  </si>
  <si>
    <t>Payout:</t>
  </si>
  <si>
    <t>Credit:</t>
  </si>
  <si>
    <t>Other:</t>
  </si>
  <si>
    <t>Sales/ Accounts receivable</t>
  </si>
  <si>
    <t>P/E</t>
  </si>
  <si>
    <t>Earnings Yield</t>
  </si>
  <si>
    <t>Dividend Yield</t>
  </si>
  <si>
    <t>P/B</t>
  </si>
  <si>
    <t xml:space="preserve">PEG </t>
  </si>
  <si>
    <t>Profit Margin</t>
  </si>
  <si>
    <t>Operating Margin</t>
  </si>
  <si>
    <t>ROE</t>
  </si>
  <si>
    <t>ROA</t>
  </si>
  <si>
    <t>Current Ratio</t>
  </si>
  <si>
    <t>Sales</t>
  </si>
  <si>
    <t>EPS</t>
  </si>
  <si>
    <t>Quick Ratio</t>
  </si>
  <si>
    <t>Dividend Payout</t>
  </si>
  <si>
    <t>Price/ Valuation:</t>
  </si>
  <si>
    <t>Cash/ Share</t>
  </si>
  <si>
    <t>Total Debt/ Equity</t>
  </si>
  <si>
    <t>Coverage of Senior Charges</t>
  </si>
  <si>
    <t>Current EPS</t>
  </si>
  <si>
    <t>Annual Growth Est.</t>
  </si>
  <si>
    <t>Next Year EPS</t>
  </si>
  <si>
    <t>Next Yr Est Price</t>
  </si>
  <si>
    <t>Shares Outstanding</t>
  </si>
  <si>
    <t>Valuation:</t>
  </si>
  <si>
    <t>Pepsico</t>
  </si>
  <si>
    <t>PEP</t>
  </si>
  <si>
    <t>Current Market Value:</t>
  </si>
  <si>
    <t>$210 B</t>
  </si>
  <si>
    <t>$180 B</t>
  </si>
  <si>
    <t>2018 EPS</t>
  </si>
  <si>
    <t>2019 EPS</t>
  </si>
  <si>
    <t>2020 EPS</t>
  </si>
  <si>
    <t>10-Year Dividend CAGR</t>
  </si>
  <si>
    <t>Cost of equity capital</t>
  </si>
  <si>
    <t>2020 projected dividend</t>
  </si>
  <si>
    <t>CAPM Valuation:</t>
  </si>
  <si>
    <t>Next Yr Est Valuation (PE)</t>
  </si>
  <si>
    <t>DDM (Constant) Valuation:</t>
  </si>
  <si>
    <t>DDM (Multi-stage) Valuation:</t>
  </si>
  <si>
    <t>Estimated Valuation: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</si>
</sst>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.00"/>
    <numFmt numFmtId="166" formatCode="&quot;$&quot;#,##0"/>
    <numFmt numFmtId="167" formatCode="0.00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0" fillId="0" borderId="0" xfId="3" applyNumberFormat="1" applyFont="1" applyAlignment="1">
      <alignment horizontal="center"/>
    </xf>
    <xf numFmtId="10" fontId="2" fillId="2" borderId="0" xfId="3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indent="3"/>
    </xf>
    <xf numFmtId="2" fontId="0" fillId="0" borderId="0" xfId="3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165" fontId="2" fillId="2" borderId="0" xfId="2" applyNumberFormat="1" applyFont="1" applyFill="1" applyAlignment="1">
      <alignment horizontal="center"/>
    </xf>
    <xf numFmtId="165" fontId="2" fillId="2" borderId="0" xfId="3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37" fontId="2" fillId="2" borderId="0" xfId="1" applyNumberFormat="1" applyFont="1" applyFill="1" applyAlignment="1">
      <alignment horizontal="center"/>
    </xf>
    <xf numFmtId="164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3" applyNumberFormat="1" applyFont="1"/>
    <xf numFmtId="16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00B05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5BD-5EA0-4FCF-828B-27C42421F3C3}">
  <dimension ref="A1:I5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140625" customWidth="1"/>
    <col min="2" max="2" width="11.140625" bestFit="1" customWidth="1"/>
    <col min="3" max="3" width="22.140625" bestFit="1" customWidth="1"/>
    <col min="4" max="4" width="25.140625" bestFit="1" customWidth="1"/>
    <col min="5" max="5" width="18.5703125" bestFit="1" customWidth="1"/>
    <col min="6" max="6" width="18.140625" customWidth="1"/>
    <col min="7" max="7" width="27.7109375" bestFit="1" customWidth="1"/>
    <col min="8" max="8" width="18.42578125" bestFit="1" customWidth="1"/>
    <col min="9" max="9" width="24" bestFit="1" customWidth="1"/>
    <col min="10" max="10" width="14.5703125" bestFit="1" customWidth="1"/>
  </cols>
  <sheetData>
    <row r="1" spans="1:9" ht="26.25" x14ac:dyDescent="0.4">
      <c r="A1" s="1" t="s">
        <v>4</v>
      </c>
    </row>
    <row r="2" spans="1:9" ht="15" customHeight="1" x14ac:dyDescent="0.4">
      <c r="A2" s="1"/>
    </row>
    <row r="3" spans="1:9" x14ac:dyDescent="0.25">
      <c r="A3" t="s">
        <v>0</v>
      </c>
      <c r="B3" t="s">
        <v>1</v>
      </c>
    </row>
    <row r="4" spans="1:9" x14ac:dyDescent="0.25">
      <c r="A4" t="s">
        <v>2</v>
      </c>
      <c r="B4" t="s">
        <v>3</v>
      </c>
      <c r="C4" s="7" t="s">
        <v>65</v>
      </c>
    </row>
    <row r="5" spans="1:9" x14ac:dyDescent="0.25">
      <c r="A5" t="s">
        <v>52</v>
      </c>
      <c r="B5" t="s">
        <v>53</v>
      </c>
      <c r="C5" s="7" t="str">
        <f>"$"&amp;ROUND(AVERAGE(218,195,212),0)&amp;" B"</f>
        <v>$208 B</v>
      </c>
    </row>
    <row r="7" spans="1:9" ht="18.75" x14ac:dyDescent="0.3">
      <c r="A7" s="3" t="s">
        <v>9</v>
      </c>
      <c r="B7" s="2"/>
    </row>
    <row r="8" spans="1:9" x14ac:dyDescent="0.25">
      <c r="A8" s="4" t="s">
        <v>5</v>
      </c>
      <c r="B8" s="4" t="s">
        <v>6</v>
      </c>
      <c r="C8" s="4" t="s">
        <v>7</v>
      </c>
      <c r="D8" s="4"/>
      <c r="G8" s="5" t="s">
        <v>55</v>
      </c>
      <c r="H8" s="5" t="s">
        <v>56</v>
      </c>
      <c r="I8" s="5" t="s">
        <v>57</v>
      </c>
    </row>
    <row r="9" spans="1:9" x14ac:dyDescent="0.25">
      <c r="A9" s="10">
        <v>31.31</v>
      </c>
      <c r="B9" s="10">
        <v>11.85</v>
      </c>
      <c r="C9" s="10">
        <f>A9*B9</f>
        <v>371.02349999999996</v>
      </c>
      <c r="D9" s="5"/>
      <c r="G9" s="14">
        <v>1.57</v>
      </c>
      <c r="H9" s="14">
        <f>G9*(1+0.01)</f>
        <v>1.5857000000000001</v>
      </c>
      <c r="I9" s="14">
        <f>H9*(1+0.076)</f>
        <v>1.7062132000000003</v>
      </c>
    </row>
    <row r="10" spans="1:9" x14ac:dyDescent="0.25">
      <c r="F10" s="13"/>
      <c r="G10" s="14"/>
      <c r="H10" s="14"/>
      <c r="I10" s="8"/>
    </row>
    <row r="11" spans="1:9" ht="18.75" x14ac:dyDescent="0.3">
      <c r="A11" s="3" t="s">
        <v>8</v>
      </c>
    </row>
    <row r="12" spans="1:9" x14ac:dyDescent="0.25">
      <c r="A12" t="s">
        <v>10</v>
      </c>
      <c r="B12" s="8">
        <v>2.1899999999999999E-2</v>
      </c>
    </row>
    <row r="13" spans="1:9" x14ac:dyDescent="0.25">
      <c r="A13" t="s">
        <v>11</v>
      </c>
      <c r="B13" s="5">
        <v>0.3</v>
      </c>
    </row>
    <row r="14" spans="1:9" x14ac:dyDescent="0.25">
      <c r="A14" t="s">
        <v>12</v>
      </c>
      <c r="B14" s="8">
        <v>7.9600000000000004E-2</v>
      </c>
    </row>
    <row r="15" spans="1:9" x14ac:dyDescent="0.25">
      <c r="A15" t="s">
        <v>13</v>
      </c>
      <c r="B15" s="8">
        <f>B14-B12</f>
        <v>5.7700000000000001E-2</v>
      </c>
    </row>
    <row r="16" spans="1:9" x14ac:dyDescent="0.25">
      <c r="A16" s="6" t="s">
        <v>14</v>
      </c>
      <c r="B16" s="9">
        <f>B12 + B13*(B15)</f>
        <v>3.9209999999999995E-2</v>
      </c>
      <c r="D16" s="6" t="s">
        <v>61</v>
      </c>
      <c r="E16" s="7" t="str">
        <f>"$"&amp;ROUND((1+B16)*MID(B5,2,3),0)&amp;" B"</f>
        <v>$218 B</v>
      </c>
    </row>
    <row r="20" spans="1:8" ht="18.75" x14ac:dyDescent="0.3">
      <c r="A20" s="3" t="s">
        <v>15</v>
      </c>
    </row>
    <row r="21" spans="1:8" x14ac:dyDescent="0.25">
      <c r="A21" s="24" t="s">
        <v>58</v>
      </c>
      <c r="B21" s="8">
        <v>1.2999999999999999E-3</v>
      </c>
    </row>
    <row r="22" spans="1:8" x14ac:dyDescent="0.25">
      <c r="A22" t="s">
        <v>59</v>
      </c>
      <c r="B22" s="23">
        <f>B16</f>
        <v>3.9209999999999995E-2</v>
      </c>
    </row>
    <row r="23" spans="1:8" x14ac:dyDescent="0.25">
      <c r="A23" t="s">
        <v>60</v>
      </c>
      <c r="B23" s="14">
        <f>1.57*(1+B21)</f>
        <v>1.5720410000000002</v>
      </c>
      <c r="D23" s="6" t="s">
        <v>63</v>
      </c>
      <c r="E23" s="19" t="str">
        <f>"$"&amp;ROUND(B23/(B22-B21)*4.27,0)&amp;" B"</f>
        <v>$177 B</v>
      </c>
      <c r="G23" s="6" t="s">
        <v>64</v>
      </c>
      <c r="H23" s="19"/>
    </row>
    <row r="25" spans="1:8" ht="18.75" x14ac:dyDescent="0.3">
      <c r="A25" s="3" t="s">
        <v>16</v>
      </c>
    </row>
    <row r="26" spans="1:8" x14ac:dyDescent="0.25">
      <c r="A26" s="4" t="s">
        <v>19</v>
      </c>
      <c r="B26" s="4" t="s">
        <v>17</v>
      </c>
      <c r="C26" s="4" t="s">
        <v>18</v>
      </c>
    </row>
    <row r="27" spans="1:8" x14ac:dyDescent="0.25">
      <c r="A27" s="2" t="s">
        <v>40</v>
      </c>
      <c r="B27" s="10"/>
    </row>
    <row r="28" spans="1:8" x14ac:dyDescent="0.25">
      <c r="A28" s="11" t="s">
        <v>26</v>
      </c>
      <c r="B28" s="10">
        <v>31.31</v>
      </c>
      <c r="C28" s="5">
        <v>35.130000000000003</v>
      </c>
    </row>
    <row r="29" spans="1:8" x14ac:dyDescent="0.25">
      <c r="A29" s="11" t="s">
        <v>27</v>
      </c>
      <c r="B29" s="8">
        <f>1.57/49.25</f>
        <v>3.1878172588832486E-2</v>
      </c>
    </row>
    <row r="30" spans="1:8" x14ac:dyDescent="0.25">
      <c r="A30" s="11" t="s">
        <v>28</v>
      </c>
      <c r="B30" s="8">
        <v>3.2300000000000002E-2</v>
      </c>
      <c r="E30" s="25"/>
    </row>
    <row r="31" spans="1:8" x14ac:dyDescent="0.25">
      <c r="A31" s="11" t="s">
        <v>41</v>
      </c>
      <c r="B31" s="12">
        <v>2.8</v>
      </c>
    </row>
    <row r="32" spans="1:8" x14ac:dyDescent="0.25">
      <c r="A32" s="11" t="s">
        <v>29</v>
      </c>
      <c r="B32" s="10">
        <v>11.85</v>
      </c>
    </row>
    <row r="33" spans="1:9" x14ac:dyDescent="0.25">
      <c r="A33" s="2" t="s">
        <v>20</v>
      </c>
      <c r="B33" s="10"/>
    </row>
    <row r="34" spans="1:9" x14ac:dyDescent="0.25">
      <c r="A34" s="11" t="s">
        <v>31</v>
      </c>
      <c r="B34" s="8">
        <v>0.20910000000000001</v>
      </c>
    </row>
    <row r="35" spans="1:9" x14ac:dyDescent="0.25">
      <c r="A35" s="11" t="s">
        <v>32</v>
      </c>
      <c r="B35" s="8">
        <v>0.29749999999999999</v>
      </c>
    </row>
    <row r="36" spans="1:9" x14ac:dyDescent="0.25">
      <c r="A36" s="11" t="s">
        <v>34</v>
      </c>
      <c r="B36" s="8">
        <v>6.6000000000000003E-2</v>
      </c>
    </row>
    <row r="37" spans="1:9" x14ac:dyDescent="0.25">
      <c r="A37" s="11" t="s">
        <v>33</v>
      </c>
      <c r="B37" s="8">
        <v>0.3402</v>
      </c>
    </row>
    <row r="38" spans="1:9" x14ac:dyDescent="0.25">
      <c r="A38" s="2" t="s">
        <v>21</v>
      </c>
      <c r="B38" s="10"/>
      <c r="D38" s="15" t="s">
        <v>44</v>
      </c>
      <c r="E38" s="16" t="s">
        <v>45</v>
      </c>
      <c r="F38" s="15" t="s">
        <v>46</v>
      </c>
      <c r="G38" s="15" t="s">
        <v>47</v>
      </c>
      <c r="H38" s="16" t="s">
        <v>48</v>
      </c>
      <c r="I38" s="16" t="s">
        <v>62</v>
      </c>
    </row>
    <row r="39" spans="1:9" x14ac:dyDescent="0.25">
      <c r="A39" s="11" t="s">
        <v>36</v>
      </c>
      <c r="B39" s="8">
        <v>5.8999999999999997E-2</v>
      </c>
      <c r="D39" s="17">
        <v>1.57</v>
      </c>
      <c r="E39" s="9">
        <v>0.01</v>
      </c>
      <c r="F39" s="18">
        <f>D39*(1+E39)</f>
        <v>1.5857000000000001</v>
      </c>
      <c r="G39" s="19">
        <f>F39*MIN(B28,C28)</f>
        <v>49.648267000000004</v>
      </c>
      <c r="H39" s="21">
        <f>4.27*1000000000</f>
        <v>4269999999.9999995</v>
      </c>
      <c r="I39" s="20" t="str">
        <f>"$"&amp;ROUND(((H39*G39)/1000000000),0)&amp;" B"</f>
        <v>$212 B</v>
      </c>
    </row>
    <row r="40" spans="1:9" x14ac:dyDescent="0.25">
      <c r="A40" s="11" t="s">
        <v>37</v>
      </c>
      <c r="B40" s="8">
        <v>0.01</v>
      </c>
      <c r="G40" s="5"/>
    </row>
    <row r="41" spans="1:9" x14ac:dyDescent="0.25">
      <c r="A41" s="2" t="s">
        <v>22</v>
      </c>
      <c r="B41" s="10"/>
    </row>
    <row r="42" spans="1:9" x14ac:dyDescent="0.25">
      <c r="A42" s="11" t="s">
        <v>39</v>
      </c>
      <c r="B42" s="8">
        <v>0.95730000000000004</v>
      </c>
    </row>
    <row r="43" spans="1:9" x14ac:dyDescent="0.25">
      <c r="A43" s="2" t="s">
        <v>23</v>
      </c>
      <c r="B43" s="10"/>
    </row>
    <row r="44" spans="1:9" x14ac:dyDescent="0.25">
      <c r="A44" s="11" t="s">
        <v>35</v>
      </c>
      <c r="B44" s="10">
        <v>1.02</v>
      </c>
    </row>
    <row r="45" spans="1:9" x14ac:dyDescent="0.25">
      <c r="A45" s="11" t="s">
        <v>38</v>
      </c>
      <c r="B45" s="10">
        <v>0.95</v>
      </c>
    </row>
    <row r="46" spans="1:9" x14ac:dyDescent="0.25">
      <c r="A46" s="11" t="s">
        <v>42</v>
      </c>
      <c r="B46" s="10">
        <v>230.07</v>
      </c>
    </row>
    <row r="47" spans="1:9" x14ac:dyDescent="0.25">
      <c r="A47" s="11" t="s">
        <v>43</v>
      </c>
      <c r="B47" s="10"/>
    </row>
    <row r="48" spans="1:9" x14ac:dyDescent="0.25">
      <c r="A48" s="2" t="s">
        <v>24</v>
      </c>
      <c r="B48" s="10"/>
    </row>
    <row r="49" spans="1:2" x14ac:dyDescent="0.25">
      <c r="A49" s="11" t="s">
        <v>25</v>
      </c>
      <c r="B49" s="10">
        <v>9.3800000000000008</v>
      </c>
    </row>
    <row r="50" spans="1:2" x14ac:dyDescent="0.25">
      <c r="A50" s="11" t="s">
        <v>30</v>
      </c>
      <c r="B50" s="10">
        <v>4.54</v>
      </c>
    </row>
  </sheetData>
  <conditionalFormatting sqref="C9">
    <cfRule type="cellIs" dxfId="3" priority="1" operator="greaterThan">
      <formula>22.5</formula>
    </cfRule>
    <cfRule type="cellIs" dxfId="2" priority="2" operator="lessThanOrEqual">
      <formula>22.5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62F5-982D-4A39-952C-59B74E9B923C}">
  <dimension ref="A1:I5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140625" customWidth="1"/>
    <col min="2" max="2" width="11.140625" bestFit="1" customWidth="1"/>
    <col min="3" max="3" width="22.140625" bestFit="1" customWidth="1"/>
    <col min="4" max="4" width="25.140625" bestFit="1" customWidth="1"/>
    <col min="5" max="5" width="18.140625" bestFit="1" customWidth="1"/>
    <col min="6" max="6" width="18.140625" customWidth="1"/>
    <col min="7" max="7" width="27.7109375" bestFit="1" customWidth="1"/>
    <col min="8" max="8" width="18.42578125" bestFit="1" customWidth="1"/>
    <col min="9" max="9" width="24" bestFit="1" customWidth="1"/>
    <col min="10" max="10" width="14.5703125" bestFit="1" customWidth="1"/>
  </cols>
  <sheetData>
    <row r="1" spans="1:9" ht="26.25" x14ac:dyDescent="0.4">
      <c r="A1" s="1" t="s">
        <v>4</v>
      </c>
    </row>
    <row r="2" spans="1:9" ht="15" customHeight="1" x14ac:dyDescent="0.4">
      <c r="A2" s="1"/>
    </row>
    <row r="3" spans="1:9" x14ac:dyDescent="0.25">
      <c r="A3" t="s">
        <v>0</v>
      </c>
      <c r="B3" t="s">
        <v>50</v>
      </c>
    </row>
    <row r="4" spans="1:9" x14ac:dyDescent="0.25">
      <c r="A4" t="s">
        <v>2</v>
      </c>
      <c r="B4" t="s">
        <v>51</v>
      </c>
      <c r="C4" s="7" t="s">
        <v>65</v>
      </c>
    </row>
    <row r="5" spans="1:9" x14ac:dyDescent="0.25">
      <c r="A5" t="s">
        <v>52</v>
      </c>
      <c r="B5" t="s">
        <v>54</v>
      </c>
      <c r="C5" s="7" t="str">
        <f>"$"&amp;ROUND(AVERAGE(190,208,174),0)&amp;" B"</f>
        <v>$191 B</v>
      </c>
    </row>
    <row r="7" spans="1:9" ht="18.75" x14ac:dyDescent="0.3">
      <c r="A7" s="3" t="s">
        <v>9</v>
      </c>
      <c r="B7" s="2"/>
    </row>
    <row r="8" spans="1:9" x14ac:dyDescent="0.25">
      <c r="A8" s="4" t="s">
        <v>5</v>
      </c>
      <c r="B8" s="4" t="s">
        <v>6</v>
      </c>
      <c r="C8" s="4" t="s">
        <v>7</v>
      </c>
      <c r="D8" s="4"/>
      <c r="G8" s="5" t="s">
        <v>55</v>
      </c>
      <c r="H8" s="5" t="s">
        <v>56</v>
      </c>
      <c r="I8" s="5" t="s">
        <v>57</v>
      </c>
    </row>
    <row r="9" spans="1:9" x14ac:dyDescent="0.25">
      <c r="A9" s="10">
        <v>14.52</v>
      </c>
      <c r="B9" s="10">
        <v>12.71</v>
      </c>
      <c r="C9" s="10">
        <f>A9*B9</f>
        <v>184.54920000000001</v>
      </c>
      <c r="D9" s="5"/>
      <c r="G9" s="14">
        <v>8.7799999999999994</v>
      </c>
      <c r="H9" s="14">
        <f>G9*(1+-0.025)</f>
        <v>8.5604999999999993</v>
      </c>
      <c r="I9" s="14">
        <f>H9*(1+0.082)</f>
        <v>9.2624610000000001</v>
      </c>
    </row>
    <row r="10" spans="1:9" x14ac:dyDescent="0.25">
      <c r="F10" s="13"/>
      <c r="G10" s="14"/>
      <c r="H10" s="14"/>
      <c r="I10" s="8"/>
    </row>
    <row r="11" spans="1:9" ht="18.75" x14ac:dyDescent="0.3">
      <c r="A11" s="3" t="s">
        <v>8</v>
      </c>
    </row>
    <row r="12" spans="1:9" x14ac:dyDescent="0.25">
      <c r="A12" t="s">
        <v>10</v>
      </c>
      <c r="B12" s="8">
        <v>2.1899999999999999E-2</v>
      </c>
    </row>
    <row r="13" spans="1:9" x14ac:dyDescent="0.25">
      <c r="A13" t="s">
        <v>11</v>
      </c>
      <c r="B13" s="5">
        <v>0.57999999999999996</v>
      </c>
    </row>
    <row r="14" spans="1:9" x14ac:dyDescent="0.25">
      <c r="A14" t="s">
        <v>12</v>
      </c>
      <c r="B14" s="8">
        <v>7.9600000000000004E-2</v>
      </c>
    </row>
    <row r="15" spans="1:9" x14ac:dyDescent="0.25">
      <c r="A15" t="s">
        <v>13</v>
      </c>
      <c r="B15" s="8">
        <f>B14-B12</f>
        <v>5.7700000000000001E-2</v>
      </c>
    </row>
    <row r="16" spans="1:9" x14ac:dyDescent="0.25">
      <c r="A16" s="6" t="s">
        <v>14</v>
      </c>
      <c r="B16" s="9">
        <f>B12 + B13*(B15)</f>
        <v>5.5365999999999999E-2</v>
      </c>
      <c r="D16" s="6" t="s">
        <v>49</v>
      </c>
      <c r="E16" s="7" t="str">
        <f>"$"&amp;ROUND((1+B16)*MID(B5,2,3),0)&amp;" B"</f>
        <v>$190 B</v>
      </c>
    </row>
    <row r="20" spans="1:8" ht="18.75" x14ac:dyDescent="0.3">
      <c r="A20" s="3" t="s">
        <v>15</v>
      </c>
    </row>
    <row r="21" spans="1:8" x14ac:dyDescent="0.25">
      <c r="A21" s="24" t="s">
        <v>58</v>
      </c>
      <c r="B21" s="8">
        <v>2.9600000000000001E-2</v>
      </c>
    </row>
    <row r="22" spans="1:8" x14ac:dyDescent="0.25">
      <c r="A22" t="s">
        <v>59</v>
      </c>
      <c r="B22" s="23">
        <f>B16</f>
        <v>5.5365999999999999E-2</v>
      </c>
    </row>
    <row r="23" spans="1:8" x14ac:dyDescent="0.25">
      <c r="A23" t="s">
        <v>60</v>
      </c>
      <c r="B23" s="14">
        <f>3.71*(1+B21)</f>
        <v>3.8198160000000003</v>
      </c>
      <c r="D23" s="6" t="s">
        <v>63</v>
      </c>
      <c r="E23" s="19" t="str">
        <f>"$"&amp;ROUND(B23/(B22-B21)*1.4,0)&amp;" B"</f>
        <v>$208 B</v>
      </c>
      <c r="G23" s="6" t="s">
        <v>64</v>
      </c>
      <c r="H23" s="19"/>
    </row>
    <row r="25" spans="1:8" ht="18.75" x14ac:dyDescent="0.3">
      <c r="A25" s="3" t="s">
        <v>16</v>
      </c>
    </row>
    <row r="26" spans="1:8" x14ac:dyDescent="0.25">
      <c r="A26" s="4" t="s">
        <v>19</v>
      </c>
      <c r="B26" s="4" t="s">
        <v>17</v>
      </c>
      <c r="C26" s="4" t="s">
        <v>18</v>
      </c>
    </row>
    <row r="27" spans="1:8" x14ac:dyDescent="0.25">
      <c r="A27" s="2" t="s">
        <v>40</v>
      </c>
      <c r="B27" s="10"/>
    </row>
    <row r="28" spans="1:8" x14ac:dyDescent="0.25">
      <c r="A28" s="11" t="s">
        <v>26</v>
      </c>
      <c r="B28" s="10">
        <v>14.52</v>
      </c>
      <c r="C28" s="5">
        <v>35.130000000000003</v>
      </c>
    </row>
    <row r="29" spans="1:8" x14ac:dyDescent="0.25">
      <c r="A29" s="11" t="s">
        <v>27</v>
      </c>
      <c r="B29" s="8">
        <f>8.86/128.61</f>
        <v>6.8890443977917729E-2</v>
      </c>
    </row>
    <row r="30" spans="1:8" x14ac:dyDescent="0.25">
      <c r="A30" s="11" t="s">
        <v>28</v>
      </c>
      <c r="B30" s="8">
        <v>2.8899999999999999E-2</v>
      </c>
    </row>
    <row r="31" spans="1:8" x14ac:dyDescent="0.25">
      <c r="A31" s="11" t="s">
        <v>41</v>
      </c>
      <c r="B31" s="12">
        <f>5.36/1.4</f>
        <v>3.8285714285714292</v>
      </c>
    </row>
    <row r="32" spans="1:8" x14ac:dyDescent="0.25">
      <c r="A32" s="11" t="s">
        <v>29</v>
      </c>
      <c r="B32" s="10">
        <v>12.71</v>
      </c>
    </row>
    <row r="33" spans="1:9" x14ac:dyDescent="0.25">
      <c r="A33" s="2" t="s">
        <v>20</v>
      </c>
      <c r="B33" s="10"/>
    </row>
    <row r="34" spans="1:9" x14ac:dyDescent="0.25">
      <c r="A34" s="11" t="s">
        <v>31</v>
      </c>
      <c r="B34" s="8">
        <v>0.19370000000000001</v>
      </c>
    </row>
    <row r="35" spans="1:9" x14ac:dyDescent="0.25">
      <c r="A35" s="11" t="s">
        <v>32</v>
      </c>
      <c r="B35" s="8">
        <v>0.1668</v>
      </c>
    </row>
    <row r="36" spans="1:9" x14ac:dyDescent="0.25">
      <c r="A36" s="11" t="s">
        <v>34</v>
      </c>
      <c r="B36" s="8">
        <v>8.6099999999999996E-2</v>
      </c>
      <c r="G36" s="5"/>
    </row>
    <row r="37" spans="1:9" x14ac:dyDescent="0.25">
      <c r="A37" s="11" t="s">
        <v>33</v>
      </c>
      <c r="B37" s="8">
        <v>0.999</v>
      </c>
      <c r="G37" s="5"/>
    </row>
    <row r="38" spans="1:9" x14ac:dyDescent="0.25">
      <c r="A38" s="2" t="s">
        <v>21</v>
      </c>
      <c r="B38" s="10"/>
      <c r="D38" s="15" t="s">
        <v>44</v>
      </c>
      <c r="E38" s="16" t="s">
        <v>45</v>
      </c>
      <c r="F38" s="15" t="s">
        <v>46</v>
      </c>
      <c r="G38" s="15" t="s">
        <v>47</v>
      </c>
      <c r="H38" s="16" t="s">
        <v>48</v>
      </c>
      <c r="I38" s="16" t="s">
        <v>62</v>
      </c>
    </row>
    <row r="39" spans="1:9" x14ac:dyDescent="0.25">
      <c r="A39" s="11" t="s">
        <v>36</v>
      </c>
      <c r="B39" s="8">
        <v>2.1999999999999999E-2</v>
      </c>
      <c r="D39" s="17">
        <v>8.7799999999999994</v>
      </c>
      <c r="E39" s="9">
        <v>-2.5000000000000001E-2</v>
      </c>
      <c r="F39" s="18">
        <f>D39*(1+E39)</f>
        <v>8.5604999999999993</v>
      </c>
      <c r="G39" s="19">
        <f>F39*MIN(B28,C28)</f>
        <v>124.29845999999999</v>
      </c>
      <c r="H39" s="21">
        <v>1400000000</v>
      </c>
      <c r="I39" s="20" t="str">
        <f>"$"&amp;ROUND(((H39*G39)/1000000000),0)&amp;" B"</f>
        <v>$174 B</v>
      </c>
    </row>
    <row r="40" spans="1:9" x14ac:dyDescent="0.25">
      <c r="A40" s="11" t="s">
        <v>37</v>
      </c>
      <c r="B40" s="23">
        <v>-2.5000000000000001E-2</v>
      </c>
    </row>
    <row r="41" spans="1:9" x14ac:dyDescent="0.25">
      <c r="A41" s="2" t="s">
        <v>22</v>
      </c>
      <c r="B41" s="10"/>
    </row>
    <row r="42" spans="1:9" x14ac:dyDescent="0.25">
      <c r="A42" s="11" t="s">
        <v>39</v>
      </c>
      <c r="B42" s="8">
        <v>0.41970000000000002</v>
      </c>
      <c r="F42" s="22"/>
    </row>
    <row r="43" spans="1:9" x14ac:dyDescent="0.25">
      <c r="A43" s="2" t="s">
        <v>23</v>
      </c>
      <c r="B43" s="10"/>
    </row>
    <row r="44" spans="1:9" x14ac:dyDescent="0.25">
      <c r="A44" s="11" t="s">
        <v>35</v>
      </c>
      <c r="B44" s="10">
        <v>0.94</v>
      </c>
    </row>
    <row r="45" spans="1:9" x14ac:dyDescent="0.25">
      <c r="A45" s="11" t="s">
        <v>38</v>
      </c>
      <c r="B45" s="10">
        <v>0.85</v>
      </c>
    </row>
    <row r="46" spans="1:9" x14ac:dyDescent="0.25">
      <c r="A46" s="11" t="s">
        <v>42</v>
      </c>
      <c r="B46" s="10">
        <v>232.22</v>
      </c>
    </row>
    <row r="47" spans="1:9" x14ac:dyDescent="0.25">
      <c r="A47" s="11" t="s">
        <v>43</v>
      </c>
      <c r="B47" s="10"/>
    </row>
    <row r="48" spans="1:9" x14ac:dyDescent="0.25">
      <c r="A48" s="2" t="s">
        <v>24</v>
      </c>
      <c r="B48" s="10"/>
    </row>
    <row r="49" spans="1:2" x14ac:dyDescent="0.25">
      <c r="A49" s="11" t="s">
        <v>25</v>
      </c>
      <c r="B49" s="10">
        <f>64661/7142</f>
        <v>9.0536264351722213</v>
      </c>
    </row>
    <row r="50" spans="1:2" x14ac:dyDescent="0.25">
      <c r="A50" s="11" t="s">
        <v>30</v>
      </c>
      <c r="B50" s="10">
        <v>4.6900000000000004</v>
      </c>
    </row>
  </sheetData>
  <conditionalFormatting sqref="C9">
    <cfRule type="cellIs" dxfId="1" priority="1" operator="greaterThan">
      <formula>22.5</formula>
    </cfRule>
    <cfRule type="cellIs" dxfId="0" priority="2" operator="lessThanOrEqual">
      <formula>22.5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</vt:lpstr>
      <vt:lpstr>PEP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Sanae2004</dc:creator>
  <cp:lastModifiedBy>Sanae2004</cp:lastModifiedBy>
  <dcterms:created xsi:type="dcterms:W3CDTF">2019-05-30T23:52:05Z</dcterms:created>
  <dcterms:modified xsi:type="dcterms:W3CDTF">2020-07-11T22:33:23Z</dcterms:modified>
</cp:coreProperties>
</file>