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1257062D-DD60-42C8-82DD-4CDA2E455C56}"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8" i="2" l="1"/>
  <c r="Z18" i="2"/>
  <c r="AE18" i="2"/>
  <c r="AJ18" i="2"/>
  <c r="AR18" i="2"/>
  <c r="AT18" i="2"/>
  <c r="BB18" i="2"/>
  <c r="BC18" i="2"/>
  <c r="BF18" i="2"/>
  <c r="BJ18" i="2"/>
  <c r="BK18" i="2"/>
  <c r="BP18" i="2"/>
  <c r="BS18" i="2"/>
  <c r="BT18" i="2"/>
  <c r="CH18" i="2"/>
  <c r="CL18" i="2"/>
  <c r="G18" i="2"/>
  <c r="J18" i="2"/>
  <c r="L18" i="2"/>
  <c r="D18" i="2"/>
  <c r="D70" i="2"/>
  <c r="E70" i="2"/>
  <c r="E18" i="2" s="1"/>
  <c r="F70" i="2"/>
  <c r="F18" i="2" s="1"/>
  <c r="G70" i="2"/>
  <c r="H70" i="2"/>
  <c r="H18" i="2" s="1"/>
  <c r="I70" i="2"/>
  <c r="I18" i="2" s="1"/>
  <c r="J70" i="2"/>
  <c r="K70" i="2"/>
  <c r="K18" i="2" s="1"/>
  <c r="L70" i="2"/>
  <c r="M70" i="2"/>
  <c r="M18" i="2" s="1"/>
  <c r="N70" i="2"/>
  <c r="N18" i="2" s="1"/>
  <c r="O70" i="2"/>
  <c r="O18" i="2" s="1"/>
  <c r="P70" i="2"/>
  <c r="P18" i="2" s="1"/>
  <c r="Q70" i="2"/>
  <c r="Q18" i="2" s="1"/>
  <c r="R70" i="2"/>
  <c r="R18" i="2" s="1"/>
  <c r="S70" i="2"/>
  <c r="S18" i="2" s="1"/>
  <c r="T70" i="2"/>
  <c r="T18" i="2" s="1"/>
  <c r="U70" i="2"/>
  <c r="U18" i="2" s="1"/>
  <c r="V70" i="2"/>
  <c r="W70" i="2"/>
  <c r="W18" i="2" s="1"/>
  <c r="X70" i="2"/>
  <c r="X18" i="2" s="1"/>
  <c r="Y70" i="2"/>
  <c r="Y18" i="2" s="1"/>
  <c r="Z70" i="2"/>
  <c r="AA70" i="2"/>
  <c r="AA18" i="2" s="1"/>
  <c r="AB70" i="2"/>
  <c r="AB18" i="2" s="1"/>
  <c r="AC70" i="2"/>
  <c r="AC18" i="2" s="1"/>
  <c r="AD70" i="2"/>
  <c r="AD18" i="2" s="1"/>
  <c r="AE70" i="2"/>
  <c r="AF70" i="2"/>
  <c r="AF18" i="2" s="1"/>
  <c r="AG70" i="2"/>
  <c r="AG18" i="2" s="1"/>
  <c r="AH70" i="2"/>
  <c r="AH18" i="2" s="1"/>
  <c r="AI70" i="2"/>
  <c r="AI18" i="2" s="1"/>
  <c r="AJ70" i="2"/>
  <c r="AK70" i="2"/>
  <c r="AK18" i="2" s="1"/>
  <c r="AL70" i="2"/>
  <c r="AL18" i="2" s="1"/>
  <c r="AM70" i="2"/>
  <c r="AM18" i="2" s="1"/>
  <c r="AN70" i="2"/>
  <c r="AN18" i="2" s="1"/>
  <c r="AO70" i="2"/>
  <c r="AO18" i="2" s="1"/>
  <c r="AP70" i="2"/>
  <c r="AP18" i="2" s="1"/>
  <c r="AQ70" i="2"/>
  <c r="AQ18" i="2" s="1"/>
  <c r="AR70" i="2"/>
  <c r="AS70" i="2"/>
  <c r="AS18" i="2" s="1"/>
  <c r="AT70" i="2"/>
  <c r="AU70" i="2"/>
  <c r="AU18" i="2" s="1"/>
  <c r="AV70" i="2"/>
  <c r="AV18" i="2" s="1"/>
  <c r="AW70" i="2"/>
  <c r="AW18" i="2" s="1"/>
  <c r="AX70" i="2"/>
  <c r="AX18" i="2" s="1"/>
  <c r="AY70" i="2"/>
  <c r="AY18" i="2" s="1"/>
  <c r="AZ70" i="2"/>
  <c r="AZ18" i="2" s="1"/>
  <c r="BA70" i="2"/>
  <c r="BA18" i="2" s="1"/>
  <c r="BB70" i="2"/>
  <c r="BC70" i="2"/>
  <c r="BD70" i="2"/>
  <c r="BD18" i="2" s="1"/>
  <c r="BE70" i="2"/>
  <c r="BE18" i="2" s="1"/>
  <c r="BF70" i="2"/>
  <c r="BG70" i="2"/>
  <c r="BG18" i="2" s="1"/>
  <c r="BH70" i="2"/>
  <c r="BH18" i="2" s="1"/>
  <c r="BI70" i="2"/>
  <c r="BI18" i="2" s="1"/>
  <c r="BJ70" i="2"/>
  <c r="BK70" i="2"/>
  <c r="BL70" i="2"/>
  <c r="BL18" i="2" s="1"/>
  <c r="BM70" i="2"/>
  <c r="BM18" i="2" s="1"/>
  <c r="BN70" i="2"/>
  <c r="BN18" i="2" s="1"/>
  <c r="BO70" i="2"/>
  <c r="BO18" i="2" s="1"/>
  <c r="BP70" i="2"/>
  <c r="BQ70" i="2"/>
  <c r="BQ18" i="2" s="1"/>
  <c r="BR70" i="2"/>
  <c r="BR18" i="2" s="1"/>
  <c r="BS70" i="2"/>
  <c r="BT70" i="2"/>
  <c r="BU70" i="2"/>
  <c r="BU18" i="2" s="1"/>
  <c r="BV70" i="2"/>
  <c r="BV18" i="2" s="1"/>
  <c r="BW70" i="2"/>
  <c r="BW18" i="2" s="1"/>
  <c r="BX70" i="2"/>
  <c r="BX18" i="2" s="1"/>
  <c r="BY70" i="2"/>
  <c r="BY18" i="2" s="1"/>
  <c r="BZ70" i="2"/>
  <c r="BZ18" i="2" s="1"/>
  <c r="CA70" i="2"/>
  <c r="CA18" i="2" s="1"/>
  <c r="CB70" i="2"/>
  <c r="CB18" i="2" s="1"/>
  <c r="CC70" i="2"/>
  <c r="CC18" i="2" s="1"/>
  <c r="CD70" i="2"/>
  <c r="CD18" i="2" s="1"/>
  <c r="CE70" i="2"/>
  <c r="CE18" i="2" s="1"/>
  <c r="CF70" i="2"/>
  <c r="CF18" i="2" s="1"/>
  <c r="CG70" i="2"/>
  <c r="CG18" i="2" s="1"/>
  <c r="CH70" i="2"/>
  <c r="CI70" i="2"/>
  <c r="CI18" i="2" s="1"/>
  <c r="CJ70" i="2"/>
  <c r="CJ18" i="2" s="1"/>
  <c r="CK70" i="2"/>
  <c r="CK18" i="2" s="1"/>
  <c r="CL70" i="2"/>
  <c r="CM70" i="2"/>
  <c r="CM18" i="2" s="1"/>
  <c r="CN70" i="2"/>
  <c r="CN18" i="2" s="1"/>
  <c r="C70" i="2"/>
  <c r="C18"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BU9" i="2"/>
  <c r="BU66" i="2" s="1"/>
  <c r="P9" i="2"/>
  <c r="AV9" i="2"/>
  <c r="AV66" i="2" s="1"/>
  <c r="CB9" i="2"/>
  <c r="CB66" i="2" s="1"/>
  <c r="Q9" i="2"/>
  <c r="AW9" i="2"/>
  <c r="AW66" i="2" s="1"/>
  <c r="CC9" i="2"/>
  <c r="CC66" i="2" s="1"/>
  <c r="Y9" i="2"/>
  <c r="BE9" i="2"/>
  <c r="BE66" i="2" s="1"/>
  <c r="CK9" i="2"/>
  <c r="CK66" i="2" s="1"/>
  <c r="AG9" i="2"/>
  <c r="BM9" i="2"/>
  <c r="BM66" i="2" s="1"/>
  <c r="AN9" i="2"/>
  <c r="AF9" i="2"/>
  <c r="BL9" i="2"/>
  <c r="BL66" i="2" s="1"/>
  <c r="S132" i="24" l="1"/>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AZ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AK20" i="2"/>
  <c r="AM20" i="2"/>
  <c r="CK20" i="2"/>
  <c r="AJ20" i="2"/>
  <c r="CI20" i="2"/>
  <c r="AN20" i="2"/>
  <c r="R20" i="2"/>
  <c r="BR20" i="2"/>
  <c r="CN20" i="2"/>
  <c r="AS20" i="2"/>
  <c r="BG20" i="2"/>
  <c r="AG20" i="2"/>
  <c r="BN20" i="2"/>
  <c r="BM20" i="2"/>
  <c r="BP20" i="2"/>
  <c r="BY20" i="2"/>
  <c r="BC20" i="2"/>
  <c r="BJ20" i="2"/>
  <c r="BS20" i="2"/>
  <c r="CL20" i="2"/>
  <c r="AT20" i="2"/>
  <c r="AI20" i="2"/>
  <c r="AX20" i="2"/>
  <c r="BE20" i="2"/>
  <c r="AA20" i="2"/>
  <c r="Z20" i="2"/>
  <c r="BQ20" i="2"/>
  <c r="BI20" i="2"/>
  <c r="CH20" i="2"/>
  <c r="BD20" i="2"/>
  <c r="BW20" i="2"/>
  <c r="CA20" i="2"/>
  <c r="AR20" i="2"/>
  <c r="AF20" i="2"/>
  <c r="BH20" i="2"/>
  <c r="AH20" i="2"/>
  <c r="W20" i="2"/>
  <c r="BL20" i="2"/>
  <c r="CJ20" i="2"/>
  <c r="BO20" i="2"/>
  <c r="T20" i="2"/>
  <c r="CF20" i="2"/>
  <c r="AQ20" i="2"/>
  <c r="BV20" i="2"/>
  <c r="X20" i="2"/>
  <c r="CB20" i="2"/>
  <c r="BB20" i="2"/>
  <c r="AE20" i="2"/>
  <c r="U20" i="2"/>
  <c r="V20" i="2"/>
  <c r="AY20" i="2"/>
  <c r="BA20" i="2"/>
  <c r="CG20" i="2"/>
  <c r="BK20" i="2"/>
  <c r="AV20" i="2"/>
  <c r="AB20" i="2"/>
  <c r="AP20" i="2"/>
  <c r="BU20" i="2"/>
  <c r="CD20" i="2"/>
  <c r="BZ20" i="2"/>
  <c r="CC20" i="2"/>
  <c r="AL20" i="2"/>
  <c r="AW20" i="2"/>
  <c r="S20" i="2"/>
  <c r="AU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66" i="2"/>
  <c r="I28" i="2" s="1"/>
  <c r="J64" i="2"/>
  <c r="J23" i="24"/>
  <c r="L22" i="24"/>
  <c r="S142" i="24"/>
  <c r="U21" i="24"/>
  <c r="R22" i="19"/>
  <c r="K22" i="19"/>
  <c r="C23" i="19"/>
  <c r="Q66" i="18"/>
  <c r="H67" i="18"/>
  <c r="K32" i="2"/>
  <c r="L14" i="2"/>
  <c r="L25" i="2" s="1"/>
  <c r="M30" i="2" l="1"/>
  <c r="N30" i="2" s="1"/>
  <c r="Q8" i="5"/>
  <c r="Q38" i="5" s="1"/>
  <c r="Q41" i="5" s="1"/>
  <c r="L26" i="2" s="1"/>
  <c r="AD25" i="5"/>
  <c r="AC26" i="5"/>
  <c r="I29" i="2"/>
  <c r="J66" i="2"/>
  <c r="J28" i="2" s="1"/>
  <c r="K64" i="2"/>
  <c r="J24" i="24"/>
  <c r="L23" i="24"/>
  <c r="U22" i="24"/>
  <c r="S143" i="24"/>
  <c r="R23" i="19"/>
  <c r="K23" i="19"/>
  <c r="C24" i="19"/>
  <c r="H68" i="18"/>
  <c r="Q67" i="18"/>
  <c r="L32" i="2"/>
  <c r="M14" i="2"/>
  <c r="M25" i="2" s="1"/>
  <c r="M31" i="2" l="1"/>
  <c r="M33" i="2" s="1"/>
  <c r="R8" i="5"/>
  <c r="R38" i="5" s="1"/>
  <c r="R41" i="5" s="1"/>
  <c r="M26" i="2" s="1"/>
  <c r="AE25" i="5"/>
  <c r="AD26" i="5"/>
  <c r="K66" i="2"/>
  <c r="K28" i="2" s="1"/>
  <c r="J29" i="2"/>
  <c r="L64" i="2"/>
  <c r="J25" i="24"/>
  <c r="L24" i="24"/>
  <c r="S144" i="24"/>
  <c r="U23" i="24"/>
  <c r="R24" i="19"/>
  <c r="K24" i="19"/>
  <c r="C25" i="19"/>
  <c r="H69" i="18"/>
  <c r="Q68" i="18"/>
  <c r="M32" i="2"/>
  <c r="N31" i="2"/>
  <c r="N33" i="2" s="1"/>
  <c r="O30" i="2"/>
  <c r="N14" i="2"/>
  <c r="N25" i="2" s="1"/>
  <c r="S8" i="5" l="1"/>
  <c r="S38" i="5" s="1"/>
  <c r="S41" i="5" s="1"/>
  <c r="N26" i="2" s="1"/>
  <c r="AF25" i="5"/>
  <c r="AE26" i="5"/>
  <c r="K29" i="2"/>
  <c r="L66" i="2"/>
  <c r="L28" i="2" s="1"/>
  <c r="M64" i="2"/>
  <c r="S145" i="24"/>
  <c r="U24" i="24"/>
  <c r="J26" i="24"/>
  <c r="L25" i="24"/>
  <c r="C26" i="19"/>
  <c r="R25" i="19"/>
  <c r="K25" i="19"/>
  <c r="Q69" i="18"/>
  <c r="H70" i="18"/>
  <c r="N32" i="2"/>
  <c r="O31" i="2"/>
  <c r="O32" i="2" s="1"/>
  <c r="P30" i="2"/>
  <c r="O14" i="2"/>
  <c r="T8" i="5" l="1"/>
  <c r="T38" i="5" s="1"/>
  <c r="AG25" i="5"/>
  <c r="AF26" i="5"/>
  <c r="L29" i="2"/>
  <c r="M66" i="2"/>
  <c r="M28" i="2" s="1"/>
  <c r="N64" i="2"/>
  <c r="J27" i="24"/>
  <c r="L26" i="24"/>
  <c r="S146" i="24"/>
  <c r="U25" i="24"/>
  <c r="C27" i="19"/>
  <c r="R26" i="19"/>
  <c r="K26" i="19"/>
  <c r="Q70" i="18"/>
  <c r="H71" i="18"/>
  <c r="O33" i="2"/>
  <c r="Q30" i="2"/>
  <c r="P31" i="2"/>
  <c r="P33" i="2" s="1"/>
  <c r="P14" i="2"/>
  <c r="U8" i="5" l="1"/>
  <c r="U38" i="5" s="1"/>
  <c r="AH25" i="5"/>
  <c r="AG26" i="5"/>
  <c r="M29" i="2"/>
  <c r="N66" i="2"/>
  <c r="N28" i="2" s="1"/>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S221" i="24"/>
  <c r="U100" i="24"/>
  <c r="L101" i="24"/>
  <c r="J102" i="24"/>
  <c r="C102" i="19"/>
  <c r="R101" i="19"/>
  <c r="K101" i="19"/>
  <c r="I43" i="2"/>
  <c r="J45" i="2" s="1"/>
  <c r="J44" i="2" s="1"/>
  <c r="AN24" i="2"/>
  <c r="AR40" i="5"/>
  <c r="AR41" i="5" s="1"/>
  <c r="AM26" i="2" s="1"/>
  <c r="AL66" i="2" l="1"/>
  <c r="AL28" i="2" s="1"/>
  <c r="AL29" i="2" s="1"/>
  <c r="O42" i="2"/>
  <c r="AK29" i="2"/>
  <c r="CL64" i="2"/>
  <c r="CL28" i="2" s="1"/>
  <c r="CS8" i="5"/>
  <c r="CR41" i="5"/>
  <c r="CM26" i="2" s="1"/>
  <c r="CK29" i="2"/>
  <c r="AM64" i="2"/>
  <c r="J103" i="24"/>
  <c r="L102" i="24"/>
  <c r="S222" i="24"/>
  <c r="U101" i="24"/>
  <c r="C103" i="19"/>
  <c r="K102" i="19"/>
  <c r="R102" i="19"/>
  <c r="I52" i="2"/>
  <c r="I54" i="2" s="1"/>
  <c r="J56" i="2" s="1"/>
  <c r="J55" i="2" s="1"/>
  <c r="AO24" i="2"/>
  <c r="AS40" i="5"/>
  <c r="AS41" i="5" s="1"/>
  <c r="AN26" i="2" s="1"/>
  <c r="H46" i="2"/>
  <c r="H48" i="2" s="1"/>
  <c r="I50" i="2" s="1"/>
  <c r="I49" i="2" s="1"/>
  <c r="AM66" i="2" l="1"/>
  <c r="AM28" i="2" s="1"/>
  <c r="AM29" i="2" s="1"/>
  <c r="P41" i="2"/>
  <c r="P42" i="2" s="1"/>
  <c r="CS41" i="5"/>
  <c r="CN26" i="2" s="1"/>
  <c r="CN64" i="2" s="1"/>
  <c r="CN28" i="2" s="1"/>
  <c r="CS38" i="5"/>
  <c r="CL29" i="2"/>
  <c r="CM64" i="2"/>
  <c r="CM28" i="2" s="1"/>
  <c r="AN64" i="2"/>
  <c r="S223" i="24"/>
  <c r="U102" i="24"/>
  <c r="J104" i="24"/>
  <c r="L103" i="24"/>
  <c r="K103" i="19"/>
  <c r="R103" i="19"/>
  <c r="C104" i="19"/>
  <c r="J39" i="2"/>
  <c r="J43" i="2" s="1"/>
  <c r="K45" i="2" s="1"/>
  <c r="K44" i="2" s="1"/>
  <c r="AP24" i="2"/>
  <c r="AT40" i="5"/>
  <c r="AT41" i="5" s="1"/>
  <c r="AO26" i="2" s="1"/>
  <c r="AN66" i="2" l="1"/>
  <c r="AN28" i="2" s="1"/>
  <c r="AN29" i="2" s="1"/>
  <c r="Q41" i="2"/>
  <c r="R41" i="2" s="1"/>
  <c r="CM29" i="2"/>
  <c r="CN29" i="2"/>
  <c r="AO64" i="2"/>
  <c r="J105" i="24"/>
  <c r="L104" i="24"/>
  <c r="S224" i="24"/>
  <c r="U103" i="24"/>
  <c r="C105" i="19"/>
  <c r="R104" i="19"/>
  <c r="K104" i="19"/>
  <c r="J52" i="2"/>
  <c r="J54" i="2" s="1"/>
  <c r="K56" i="2" s="1"/>
  <c r="K55" i="2" s="1"/>
  <c r="AU40" i="5"/>
  <c r="AU41" i="5" s="1"/>
  <c r="AP26" i="2" s="1"/>
  <c r="I46" i="2"/>
  <c r="I48" i="2" s="1"/>
  <c r="J50" i="2" s="1"/>
  <c r="J49" i="2" s="1"/>
  <c r="K39" i="2"/>
  <c r="K43" i="2" s="1"/>
  <c r="L45" i="2" s="1"/>
  <c r="L44" i="2" s="1"/>
  <c r="AO66" i="2" l="1"/>
  <c r="AO28" i="2" s="1"/>
  <c r="AO29" i="2" s="1"/>
  <c r="Q42" i="2"/>
  <c r="S41" i="2"/>
  <c r="R42"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<sst xmlns="http://schemas.openxmlformats.org/spreadsheetml/2006/main" count="3492" uniqueCount="412">
  <si>
    <t>Stock returns</t>
  </si>
  <si>
    <t>tax rate at retirement</t>
  </si>
  <si>
    <t>0 - 10% loss</t>
  </si>
  <si>
    <t>0 -10% return</t>
  </si>
  <si>
    <t>10 - 25% loss</t>
  </si>
  <si>
    <t>10-20% return</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</si>
  <si>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</si>
  <si>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</si>
  <si>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</si>
  <si>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</si>
  <si>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</si>
  <si>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</si>
  <si>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</si>
  <si>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</si>
  <si>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</si>
  <si>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</si>
  <si>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</si>
  <si>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</si>
  <si>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</si>
  <si>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</si>
  <si>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</si>
  <si>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</si>
  <si>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</si>
  <si>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</si>
  <si>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</si>
  <si>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</si>
  <si>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</si>
  <si>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</si>
  <si>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</si>
  <si>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</si>
  <si>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</si>
  <si>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</si>
  <si>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</si>
  <si>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</si>
  <si>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</si>
  <si>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</si>
  <si>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</si>
  <si>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</si>
  <si>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</si>
  <si>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</si>
  <si>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</si>
  <si>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</si>
  <si>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</si>
  <si>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</si>
  <si>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</si>
  <si>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</si>
  <si>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</si>
  <si>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</si>
  <si>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</si>
  <si>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</si>
  <si>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</si>
  <si>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</si>
  <si>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</si>
  <si>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</si>
  <si>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</si>
  <si>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</si>
  <si>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</si>
  <si>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</si>
  <si>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</si>
  <si>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</si>
  <si>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</si>
  <si>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</si>
  <si>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</si>
  <si>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</si>
  <si>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</si>
  <si>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</si>
  <si>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</si>
  <si>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</si>
  <si>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</si>
  <si>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</si>
  <si>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</si>
  <si>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</si>
  <si>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</si>
  <si>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</si>
  <si>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</si>
  <si>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</si>
  <si>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</si>
  <si>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delay in years to save or 0 = continue saving (deferred) - as an example , if you want to wait 5 years before saving, then enter 5</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</si>
  <si>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</si>
  <si>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</si>
  <si>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</si>
  <si>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</si>
  <si>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</si>
  <si>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</si>
  <si>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</si>
  <si>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</si>
  <si>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</si>
  <si>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</si>
  <si>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</si>
  <si>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</si>
  <si>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</si>
  <si>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</si>
  <si>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</si>
  <si>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</si>
  <si>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</si>
  <si>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</si>
  <si>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</si>
  <si>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</si>
  <si>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</si>
  <si>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</si>
  <si>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</si>
  <si>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</si>
  <si>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</si>
  <si>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</si>
  <si>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</si>
  <si>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</si>
  <si>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</si>
  <si>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</si>
  <si>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</si>
  <si>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</si>
  <si>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</si>
  <si>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</si>
  <si>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</si>
  <si>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</si>
  <si>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</si>
  <si>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</si>
  <si>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</si>
  <si>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</si>
  <si>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</si>
  <si>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</si>
  <si>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</si>
  <si>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</si>
  <si>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</si>
  <si>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</si>
  <si>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</si>
  <si>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</si>
  <si>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</si>
  <si>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</si>
  <si>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</si>
  <si>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</si>
  <si>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</si>
  <si>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</si>
  <si>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</si>
  <si>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</si>
  <si>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</si>
  <si>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</si>
  <si>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</si>
  <si>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</si>
  <si>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</si>
  <si>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</si>
  <si>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</si>
  <si>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</si>
  <si>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</si>
  <si>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</si>
  <si>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</si>
  <si>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</si>
  <si>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</si>
  <si>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</si>
  <si>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</si>
  <si>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</si>
  <si>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</si>
  <si>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</si>
  <si>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</si>
  <si>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</si>
  <si>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</si>
  <si>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</si>
  <si>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</si>
  <si>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</si>
  <si>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</si>
  <si>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</si>
  <si>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</si>
  <si>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</si>
  <si>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</si>
  <si>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</si>
  <si>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</si>
  <si>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</si>
  <si>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</si>
  <si>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</si>
  <si>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</si>
  <si>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</si>
  <si>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</si>
  <si>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</si>
  <si>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</si>
  <si>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</si>
  <si>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</si>
  <si>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</si>
  <si>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</si>
  <si>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</si>
  <si>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</si>
  <si>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</si>
  <si>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</si>
  <si>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</si>
  <si>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</si>
  <si>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</si>
  <si>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</si>
  <si>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</si>
  <si>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</si>
  <si>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</si>
  <si>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</si>
  <si>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</si>
  <si>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</si>
  <si>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</si>
  <si>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</si>
  <si>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</si>
  <si>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</si>
  <si>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</si>
  <si>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</si>
  <si>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</si>
  <si>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</si>
  <si>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</si>
  <si>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</si>
  <si>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</si>
  <si>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</si>
  <si>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</si>
  <si>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</si>
  <si>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</si>
  <si>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</si>
  <si>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</si>
  <si>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</si>
  <si>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</si>
  <si>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</si>
  <si>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</si>
  <si>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</si>
  <si>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</si>
  <si>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</si>
  <si>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</si>
  <si>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</si>
  <si>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</si>
  <si>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</si>
  <si>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</si>
  <si>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</si>
  <si>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</si>
  <si>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</si>
  <si>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</si>
  <si>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</si>
  <si>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</si>
  <si>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</si>
  <si>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</si>
  <si>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</si>
  <si>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</si>
  <si>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</si>
  <si>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</si>
  <si>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</si>
  <si>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</si>
  <si>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</si>
  <si>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</si>
  <si>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</si>
  <si>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</si>
  <si>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</si>
  <si>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</si>
  <si>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</si>
  <si>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</si>
  <si>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</si>
  <si>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</si>
  <si>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</si>
  <si>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</si>
  <si>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</si>
  <si>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</si>
  <si>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</si>
  <si>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</si>
  <si>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</si>
  <si>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</si>
  <si>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</si>
  <si>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</si>
  <si>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</si>
  <si>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</si>
  <si>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</si>
  <si>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</si>
  <si>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</si>
  <si>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</si>
  <si>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</si>
  <si>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</si>
  <si>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</si>
  <si>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</si>
  <si>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</si>
  <si>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</si>
  <si>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</si>
  <si>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</si>
  <si>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</si>
  <si>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</si>
  <si>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</si>
  <si>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</si>
  <si>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</si>
  <si>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</si>
  <si>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</si>
  <si>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</si>
  <si>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</si>
  <si>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</si>
  <si>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</si>
  <si>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</si>
  <si>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</si>
  <si>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</si>
  <si>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</si>
  <si>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</si>
  <si>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</si>
  <si>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</si>
  <si>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</si>
  <si>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</si>
  <si>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</si>
  <si>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</si>
  <si>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t>
  </si>
  <si>
    <t>Married filing jointly</t>
  </si>
  <si>
    <t>Married filing separately</t>
  </si>
  <si>
    <t>Head of household</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</si>
  <si>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</si>
  <si>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</si>
  <si>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</si>
  <si>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</si>
  <si>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</si>
  <si>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</si>
  <si>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</si>
  <si>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</si>
  <si>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</si>
  <si>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</si>
  <si>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</si>
  <si>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</si>
  <si>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</si>
  <si>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</si>
  <si>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</si>
  <si>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</si>
  <si>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</si>
  <si>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</si>
  <si>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</si>
  <si>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</si>
  <si>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</si>
  <si>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</si>
  <si>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</si>
  <si>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</si>
  <si>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</si>
  <si>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</si>
  <si>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</si>
  <si>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</si>
  <si>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</si>
  <si>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</si>
  <si>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</si>
  <si>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</si>
  <si>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</si>
  <si>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</si>
  <si>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</si>
  <si>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</si>
  <si>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</si>
  <si>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SIMULATION 3 Can I Retire Earlier? (Target Age: 66)</t>
  </si>
  <si>
    <t>You can retire at age 66 while saving at the following yearly amounts:
  • Deferred Tax Accounts:  $10,000
  • Taxable Accounts:         $35,000
On average, you will leave behind approximately $2,326,463.
Through strategic investments, that could grow to approximately $5,089,767.</t>
  </si>
  <si>
    <t>do you want to use the budget sheets retirement expenses to derive your income needs? (y or n)</t>
  </si>
  <si>
    <t>or, if you want it to change gradually from a starting point to an end state, place 2 on the adjacent cell, otherwise 1)</t>
  </si>
  <si>
    <t>Adjustment Sheet - Flexible, but does require some understanding of how the changes may impact the cash flows</t>
  </si>
  <si>
    <t>Designed for sensitivity analysis - not to be used</t>
  </si>
  <si>
    <t>required retirement income (after taxes and excluding social security) - if cell c19 is "y", this number will not be used, if the cell is "n", this number will be used</t>
  </si>
  <si>
    <t>other income additions can be manually done on Sheet 2 - adjustments for real estate sales or rental property income</t>
  </si>
  <si>
    <t>Roth</t>
  </si>
  <si>
    <t>The button below is only to be selected if you are running just one specific scenario based on the input data provided</t>
  </si>
  <si>
    <t>current age (for a couple, use oldest age)</t>
  </si>
  <si>
    <t>expected retirement age (for a couple use oldest age)</t>
  </si>
  <si>
    <t xml:space="preserve">At what age do you plan on taking social security (for a couple use the oldest, adjustments for the second person can be made on sheet 2 row 40, but requires some understanding of cell interactions) </t>
  </si>
  <si>
    <t>until what age do you want the analysis to run to (use oldest) - lifetime expectancy - adjustments can be made on Sheet 2 for different life expectancies for each spouse through adjustments to SS, income, investment infusions, etc.</t>
  </si>
  <si>
    <t>Average of unexpected expenses - things that come up that were unexpected (health and maintenance) (low)</t>
  </si>
  <si>
    <t>Average of unexpected expenses- things that come up that were unexpected (health and maintenance) (high)</t>
  </si>
  <si>
    <t>(1a) Current savings, deferred tax accounts (total from all accounts) - these are qualified accounts that consist of IRA's, 401k's, etc.  - if there are several aggregate them into one number</t>
  </si>
  <si>
    <t>(2a) Current savings, taxed accounts (total from all taxed accounts that are being invested through some brokerage platforms such Charles Schwab, Fidelity, Interactive Brokers, etc.) - if that are in a bank savings or cash account, do not include it in this number since they are not being invested in the market - if necessary some adjustments can be made on Sheet 2</t>
  </si>
  <si>
    <t>(3a) ROTH accounts, current balance - if there is none, enter zero and if there is more than one, go ahead and aggregate them into one number</t>
  </si>
  <si>
    <t>(1b) yearly savings into deferred tax (such as 401k/457k or other qualified IRA - retirement accounts that are contributed through work or outside of work) - further adjustments can be made on sheet 2</t>
  </si>
  <si>
    <t>(2b) yearly savings into taxed/brokerage accounts - further adjustments can be made on sheet 2</t>
  </si>
  <si>
    <t>delay in years to save or 0 = continue saving (taxed/brokerage accounts) - same as prior example on deferred</t>
  </si>
  <si>
    <t>(3b) anticipated yearly savings into all ROTH accounts - further adjustments can be made on sheet 2 - if there are none, then enter zero</t>
  </si>
  <si>
    <t>stocks/equity percentages for the investment allocations</t>
  </si>
  <si>
    <t>fixed/bonds percentages for the investment allocations</t>
  </si>
  <si>
    <t>Break down of investments before retirement (across all investment accounts, after tax and deferred accounts):</t>
  </si>
  <si>
    <t>Long term returns on fixed income (yearly yield)</t>
  </si>
  <si>
    <t>inflation rate - expected for the long term</t>
  </si>
  <si>
    <t>retirement income increases - should be in line with inflation, but doesn't necessarily need to be the same</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</si>
  <si>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</si>
  <si>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</si>
  <si>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</si>
  <si>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</si>
  <si>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</si>
  <si>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</si>
  <si>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</si>
  <si>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</si>
  <si>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</si>
  <si>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</si>
  <si>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</si>
  <si>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</si>
  <si>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</si>
  <si>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</si>
  <si>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</si>
  <si>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</si>
  <si>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</si>
  <si>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</si>
  <si>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</si>
  <si>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</si>
  <si>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</si>
  <si>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</si>
  <si>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</si>
  <si>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</si>
  <si>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</si>
  <si>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</si>
  <si>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</si>
  <si>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</si>
  <si>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</si>
  <si>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</si>
  <si>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</si>
  <si>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</si>
  <si>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</si>
  <si>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</si>
  <si>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</si>
  <si>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</si>
  <si>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</si>
  <si>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</si>
  <si>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</si>
  <si>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</si>
  <si>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</si>
  <si>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</si>
  <si>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</si>
  <si>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</si>
  <si>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</si>
  <si>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</si>
  <si>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t>capital gains tax rate -  look at columns AB to AH for some details on the tax rates</t>
  </si>
  <si>
    <t>tax rate before retirement /current tax rate - just an average of the rate, since we have a progressive rate - look at columns K to P for details on the brackets</t>
  </si>
  <si>
    <t>The simulation will be run x times (but can be changed to as much as 1000). The results and charts are below the input area.</t>
  </si>
  <si>
    <t>planned social security (SS) income (enter the amount for oldest person/first to take it or a combined amount for a couple that is at the same age, or even though there might be different in ages, the couple is taking their SS at the same time) - otherwise adjustments can be made on Sheet 2 row 40 for the second person</t>
  </si>
  <si>
    <t>Break down of investments after retirement: enter 1 in cell h2 and in the cells f4 and f5, enter the percentage values based on keeping it constant over the retirement horizon or otherwise, enter 2 in cell h2 and then in cells g4, g5, h4, and h5, enter the starting percentages below 'starting' and  the ending percentages below 'ending' and the worksheet will take care of the yearly adjustments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</si>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</sst>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8">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6" fontId="0" fillId="0" borderId="0" xfId="0" applyNumberFormat="1" applyBorder="1"/>
    <xf numFmtId="0" fontId="0" fillId="12" borderId="0" xfId="0" applyFill="1" applyBorder="1"/>
    <xf numFmtId="0" fontId="0" fillId="12" borderId="0" xfId="0" applyFill="1" applyBorder="1" applyAlignment="1">
      <alignment horizontal="centerContinuous"/>
    </xf>
    <xf numFmtId="6" fontId="0" fillId="12" borderId="0" xfId="0" applyNumberFormat="1" applyFill="1"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-9.0273291943895717E-2</c:v>
                </c:pt>
                <c:pt idx="1">
                  <c:v>6.678599686099447E-2</c:v>
                </c:pt>
                <c:pt idx="2">
                  <c:v>-0.12705801026083946</c:v>
                </c:pt>
                <c:pt idx="3">
                  <c:v>-3.9075280235867788E-2</c:v>
                </c:pt>
                <c:pt idx="4">
                  <c:v>-3.3519645353343411E-2</c:v>
                </c:pt>
                <c:pt idx="5">
                  <c:v>2.6738984667001465E-2</c:v>
                </c:pt>
                <c:pt idx="6">
                  <c:v>0.17753386744064978</c:v>
                </c:pt>
                <c:pt idx="7">
                  <c:v>6.4644554423010078E-2</c:v>
                </c:pt>
                <c:pt idx="8">
                  <c:v>9.6197555959455172E-2</c:v>
                </c:pt>
                <c:pt idx="9">
                  <c:v>1.8043736523148481E-2</c:v>
                </c:pt>
                <c:pt idx="10">
                  <c:v>7.6479151165410708E-2</c:v>
                </c:pt>
                <c:pt idx="11">
                  <c:v>-3.4931463158487344E-2</c:v>
                </c:pt>
                <c:pt idx="12">
                  <c:v>6.126528812656365E-2</c:v>
                </c:pt>
                <c:pt idx="13">
                  <c:v>-1.6262402408602005E-2</c:v>
                </c:pt>
                <c:pt idx="14">
                  <c:v>3.5196663880149547E-2</c:v>
                </c:pt>
                <c:pt idx="15">
                  <c:v>9.4282475582872866E-2</c:v>
                </c:pt>
                <c:pt idx="16">
                  <c:v>-8.2223227796506621E-2</c:v>
                </c:pt>
                <c:pt idx="17">
                  <c:v>6.624963790269299E-2</c:v>
                </c:pt>
                <c:pt idx="18">
                  <c:v>9.4496698062189521E-2</c:v>
                </c:pt>
                <c:pt idx="19">
                  <c:v>-5.40894070382038E-2</c:v>
                </c:pt>
                <c:pt idx="20">
                  <c:v>4.7340699759662624E-2</c:v>
                </c:pt>
                <c:pt idx="21">
                  <c:v>-9.7447013093132223E-2</c:v>
                </c:pt>
                <c:pt idx="22">
                  <c:v>1.6635804572705828E-2</c:v>
                </c:pt>
                <c:pt idx="23">
                  <c:v>6.3489902685693364E-2</c:v>
                </c:pt>
                <c:pt idx="24">
                  <c:v>-1.725416922630443E-2</c:v>
                </c:pt>
                <c:pt idx="25">
                  <c:v>8.737364405781764E-2</c:v>
                </c:pt>
                <c:pt idx="26">
                  <c:v>4.7373419482536788E-2</c:v>
                </c:pt>
                <c:pt idx="27">
                  <c:v>-3.2032070832630988E-2</c:v>
                </c:pt>
                <c:pt idx="28">
                  <c:v>5.3392713248693761E-2</c:v>
                </c:pt>
                <c:pt idx="29">
                  <c:v>0.15499101941260301</c:v>
                </c:pt>
                <c:pt idx="30">
                  <c:v>7.4896939963865733E-2</c:v>
                </c:pt>
                <c:pt idx="31">
                  <c:v>-9.4049221529628857E-2</c:v>
                </c:pt>
                <c:pt idx="32">
                  <c:v>5.0567268689008231E-2</c:v>
                </c:pt>
                <c:pt idx="33">
                  <c:v>7.136545300795015E-2</c:v>
                </c:pt>
                <c:pt idx="34">
                  <c:v>8.8531076533363312E-2</c:v>
                </c:pt>
                <c:pt idx="35">
                  <c:v>-3.9076026979794891E-2</c:v>
                </c:pt>
                <c:pt idx="36">
                  <c:v>3.3307781065873641E-2</c:v>
                </c:pt>
                <c:pt idx="37">
                  <c:v>8.1480754434339497E-2</c:v>
                </c:pt>
                <c:pt idx="38">
                  <c:v>5.0023128875049741E-2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-1.0713086441821408E-2</c:v>
                </c:pt>
                <c:pt idx="1">
                  <c:v>7.3685670985412829E-2</c:v>
                </c:pt>
                <c:pt idx="2">
                  <c:v>-6.0485988559766495E-2</c:v>
                </c:pt>
                <c:pt idx="3">
                  <c:v>-7.4279151858309697E-3</c:v>
                </c:pt>
                <c:pt idx="4">
                  <c:v>-1.5058877659010979E-2</c:v>
                </c:pt>
                <c:pt idx="5">
                  <c:v>5.78317515490911E-2</c:v>
                </c:pt>
                <c:pt idx="6">
                  <c:v>0.19480830973801661</c:v>
                </c:pt>
                <c:pt idx="7">
                  <c:v>6.9755189017108005E-2</c:v>
                </c:pt>
                <c:pt idx="8">
                  <c:v>0.12025885227616345</c:v>
                </c:pt>
                <c:pt idx="9">
                  <c:v>5.2244175400349188E-2</c:v>
                </c:pt>
                <c:pt idx="10">
                  <c:v>0.10465985637954839</c:v>
                </c:pt>
                <c:pt idx="11">
                  <c:v>-1.3510149354772266E-2</c:v>
                </c:pt>
                <c:pt idx="12">
                  <c:v>9.5019886053316849E-2</c:v>
                </c:pt>
                <c:pt idx="13">
                  <c:v>-2.7437904365354994E-3</c:v>
                </c:pt>
                <c:pt idx="14">
                  <c:v>3.6764044817777917E-2</c:v>
                </c:pt>
                <c:pt idx="15">
                  <c:v>0.10820421868773608</c:v>
                </c:pt>
                <c:pt idx="16">
                  <c:v>-4.6531259757679903E-2</c:v>
                </c:pt>
                <c:pt idx="17">
                  <c:v>7.9471248210653864E-2</c:v>
                </c:pt>
                <c:pt idx="18">
                  <c:v>0.12934127741818396</c:v>
                </c:pt>
                <c:pt idx="19">
                  <c:v>-2.67312436459794E-4</c:v>
                </c:pt>
                <c:pt idx="20">
                  <c:v>5.6462845144809828E-2</c:v>
                </c:pt>
                <c:pt idx="21">
                  <c:v>-2.3503910384313476E-2</c:v>
                </c:pt>
                <c:pt idx="22">
                  <c:v>4.8996270848523427E-2</c:v>
                </c:pt>
                <c:pt idx="23">
                  <c:v>9.5527953129325632E-2</c:v>
                </c:pt>
                <c:pt idx="24">
                  <c:v>-4.3713548236726076E-3</c:v>
                </c:pt>
                <c:pt idx="25">
                  <c:v>0.10999380083622032</c:v>
                </c:pt>
                <c:pt idx="26">
                  <c:v>5.1186352599512618E-2</c:v>
                </c:pt>
                <c:pt idx="27">
                  <c:v>-1.417066548127011E-2</c:v>
                </c:pt>
                <c:pt idx="28">
                  <c:v>7.0553239864599521E-2</c:v>
                </c:pt>
                <c:pt idx="29">
                  <c:v>0.16840965794999396</c:v>
                </c:pt>
                <c:pt idx="30">
                  <c:v>7.9231230233980321E-2</c:v>
                </c:pt>
                <c:pt idx="31">
                  <c:v>-8.4568485972317323E-3</c:v>
                </c:pt>
                <c:pt idx="32">
                  <c:v>8.9237706002672931E-2</c:v>
                </c:pt>
                <c:pt idx="33">
                  <c:v>9.2397979807526412E-2</c:v>
                </c:pt>
                <c:pt idx="34">
                  <c:v>9.8200851157872332E-2</c:v>
                </c:pt>
                <c:pt idx="35">
                  <c:v>-9.0630478053149652E-3</c:v>
                </c:pt>
                <c:pt idx="36">
                  <c:v>4.0417543527094604E-2</c:v>
                </c:pt>
                <c:pt idx="37">
                  <c:v>0.11973857015415798</c:v>
                </c:pt>
                <c:pt idx="38">
                  <c:v>5.8371859282775496E-2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100000</c:v>
                </c:pt>
                <c:pt idx="10">
                  <c:v>102499.99999999999</c:v>
                </c:pt>
                <c:pt idx="11">
                  <c:v>105062.49999999997</c:v>
                </c:pt>
                <c:pt idx="12">
                  <c:v>107689.06249999996</c:v>
                </c:pt>
                <c:pt idx="13">
                  <c:v>110381.28906249994</c:v>
                </c:pt>
                <c:pt idx="14">
                  <c:v>113140.82128906243</c:v>
                </c:pt>
                <c:pt idx="15">
                  <c:v>115969.34182128898</c:v>
                </c:pt>
                <c:pt idx="16">
                  <c:v>118868.5753668212</c:v>
                </c:pt>
                <c:pt idx="17">
                  <c:v>121840.28975099172</c:v>
                </c:pt>
                <c:pt idx="18">
                  <c:v>124886.29699476651</c:v>
                </c:pt>
                <c:pt idx="19">
                  <c:v>128008.45441963566</c:v>
                </c:pt>
                <c:pt idx="20">
                  <c:v>131208.66578012652</c:v>
                </c:pt>
                <c:pt idx="21">
                  <c:v>134488.88242462967</c:v>
                </c:pt>
                <c:pt idx="22">
                  <c:v>137851.10448524539</c:v>
                </c:pt>
                <c:pt idx="23">
                  <c:v>141297.38209737651</c:v>
                </c:pt>
                <c:pt idx="24">
                  <c:v>144829.81664981091</c:v>
                </c:pt>
                <c:pt idx="25">
                  <c:v>148450.56206605615</c:v>
                </c:pt>
                <c:pt idx="26">
                  <c:v>152161.82611770753</c:v>
                </c:pt>
                <c:pt idx="27">
                  <c:v>155965.87177065021</c:v>
                </c:pt>
                <c:pt idx="28">
                  <c:v>159865.01856491645</c:v>
                </c:pt>
                <c:pt idx="29">
                  <c:v>163861.64402903934</c:v>
                </c:pt>
                <c:pt idx="30">
                  <c:v>167958.1851297653</c:v>
                </c:pt>
                <c:pt idx="31">
                  <c:v>172157.13975800943</c:v>
                </c:pt>
                <c:pt idx="32">
                  <c:v>176461.06825195966</c:v>
                </c:pt>
                <c:pt idx="33">
                  <c:v>180872.59495825865</c:v>
                </c:pt>
                <c:pt idx="34">
                  <c:v>185394.40983221511</c:v>
                </c:pt>
                <c:pt idx="35">
                  <c:v>190029.27007802046</c:v>
                </c:pt>
                <c:pt idx="36">
                  <c:v>194780.00182997095</c:v>
                </c:pt>
                <c:pt idx="37">
                  <c:v>199649.50187572019</c:v>
                </c:pt>
                <c:pt idx="38">
                  <c:v>204640.73942261317</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H34"/>
  <sheetViews>
    <sheetView zoomScale="80" zoomScaleNormal="80" workbookViewId="0">
      <selection activeCell="H2" sqref="H2"/>
    </sheetView>
  </sheetViews>
  <sheetFormatPr defaultRowHeight="14.25"/>
  <cols>
    <col min="1" max="1" width="24.664062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27" width="5.06640625" customWidth="1"/>
    <col min="28" max="28" width="23.3984375" customWidth="1"/>
    <col min="29" max="29" width="20.3984375" customWidth="1"/>
    <col min="30" max="30" width="21.06640625" customWidth="1"/>
    <col min="31" max="31" width="21.3984375" customWidth="1"/>
  </cols>
  <sheetData>
    <row r="1" spans="1:34" ht="31.15" thickBot="1">
      <c r="B1" s="341" t="s">
        <v>411</v>
      </c>
      <c r="C1" s="341"/>
      <c r="D1" s="342"/>
      <c r="E1" s="342"/>
      <c r="F1" s="342"/>
      <c r="G1" s="342"/>
      <c r="H1" s="342"/>
      <c r="I1" s="342"/>
      <c r="J1" s="342"/>
      <c r="K1" s="342"/>
      <c r="L1" s="342"/>
      <c r="M1" s="342"/>
      <c r="N1" s="342"/>
      <c r="O1" s="342"/>
      <c r="P1" s="342"/>
      <c r="Q1" s="342"/>
    </row>
    <row r="2" spans="1:34" ht="94.5" customHeight="1" thickBot="1">
      <c r="B2" s="343" t="s">
        <v>408</v>
      </c>
      <c r="C2" s="344"/>
      <c r="D2" s="344"/>
      <c r="E2" s="344"/>
      <c r="G2" s="278" t="s">
        <v>334</v>
      </c>
      <c r="H2" s="235">
        <v>2</v>
      </c>
    </row>
    <row r="3" spans="1:34" ht="158.25" thickTop="1" thickBot="1">
      <c r="A3" s="260"/>
      <c r="B3" s="258" t="s">
        <v>341</v>
      </c>
      <c r="C3" s="259">
        <v>56</v>
      </c>
      <c r="D3" s="4"/>
      <c r="E3" s="256" t="s">
        <v>410</v>
      </c>
      <c r="F3" s="272"/>
      <c r="G3" s="279" t="s">
        <v>42</v>
      </c>
      <c r="H3" s="280" t="s">
        <v>43</v>
      </c>
    </row>
    <row r="4" spans="1:34" ht="32.25" thickTop="1" thickBot="1">
      <c r="A4" s="260"/>
      <c r="B4" s="260" t="s">
        <v>342</v>
      </c>
      <c r="C4" s="261">
        <v>65</v>
      </c>
      <c r="D4" s="4"/>
      <c r="E4" s="405" t="s">
        <v>354</v>
      </c>
      <c r="F4" s="230">
        <v>0.3</v>
      </c>
      <c r="G4" s="231">
        <v>0.35</v>
      </c>
      <c r="H4" s="233">
        <v>0.3</v>
      </c>
    </row>
    <row r="5" spans="1:34" ht="63.75" thickTop="1" thickBot="1">
      <c r="A5" s="260"/>
      <c r="B5" s="260" t="s">
        <v>343</v>
      </c>
      <c r="C5" s="261">
        <v>68</v>
      </c>
      <c r="D5" s="4"/>
      <c r="E5" s="405" t="s">
        <v>355</v>
      </c>
      <c r="F5" s="230">
        <v>0.7</v>
      </c>
      <c r="G5" s="232">
        <v>0.65</v>
      </c>
      <c r="H5" s="234">
        <v>0.7</v>
      </c>
    </row>
    <row r="6" spans="1:34" ht="79.5" thickTop="1" thickBot="1">
      <c r="A6" s="260"/>
      <c r="B6" s="260" t="s">
        <v>344</v>
      </c>
      <c r="C6" s="261">
        <v>95</v>
      </c>
      <c r="D6" s="4"/>
      <c r="E6" s="405" t="s">
        <v>356</v>
      </c>
      <c r="F6" s="29"/>
    </row>
    <row r="7" spans="1:34" ht="32.25" thickTop="1" thickBot="1">
      <c r="A7" s="260"/>
      <c r="B7" s="260"/>
      <c r="C7" s="271"/>
      <c r="D7" s="4"/>
      <c r="E7" s="405" t="s">
        <v>354</v>
      </c>
      <c r="F7" s="230">
        <v>0.65</v>
      </c>
    </row>
    <row r="8" spans="1:34" ht="64.900000000000006" thickTop="1" thickBot="1">
      <c r="A8" s="260"/>
      <c r="B8" s="260" t="s">
        <v>347</v>
      </c>
      <c r="C8" s="262">
        <v>1000000</v>
      </c>
      <c r="D8" s="4"/>
      <c r="E8" s="405" t="s">
        <v>355</v>
      </c>
      <c r="F8" s="230">
        <v>0.35</v>
      </c>
      <c r="G8" s="404" t="s">
        <v>340</v>
      </c>
      <c r="H8" s="404"/>
    </row>
    <row r="9" spans="1:34" ht="126.75" thickTop="1" thickBot="1">
      <c r="A9" s="260"/>
      <c r="B9" s="260" t="s">
        <v>348</v>
      </c>
      <c r="C9" s="262">
        <v>60000</v>
      </c>
      <c r="D9" s="4"/>
      <c r="E9" s="406" t="s">
        <v>357</v>
      </c>
      <c r="F9" s="409">
        <v>4.2999999999999997E-2</v>
      </c>
      <c r="G9" s="3"/>
    </row>
    <row r="10" spans="1:34" ht="48" thickTop="1" thickBot="1">
      <c r="A10" s="260"/>
      <c r="B10" s="260" t="s">
        <v>349</v>
      </c>
      <c r="C10" s="262">
        <v>18000</v>
      </c>
      <c r="D10" s="4"/>
      <c r="E10" s="269"/>
      <c r="F10" s="272"/>
    </row>
    <row r="11" spans="1:34" ht="79.5" thickTop="1" thickBot="1">
      <c r="A11" s="260"/>
      <c r="B11" s="260" t="s">
        <v>350</v>
      </c>
      <c r="C11" s="398">
        <v>10000</v>
      </c>
      <c r="D11" s="4"/>
      <c r="E11" s="406" t="s">
        <v>0</v>
      </c>
      <c r="F11" s="407"/>
    </row>
    <row r="12" spans="1:34" ht="48" thickTop="1" thickBot="1">
      <c r="A12" s="260"/>
      <c r="B12" s="260" t="s">
        <v>77</v>
      </c>
      <c r="C12" s="263">
        <v>0</v>
      </c>
      <c r="D12" s="4"/>
      <c r="E12" s="406"/>
      <c r="F12" s="407"/>
    </row>
    <row r="13" spans="1:34" ht="32.25" thickTop="1" thickBot="1">
      <c r="A13" s="260"/>
      <c r="B13" s="260" t="s">
        <v>351</v>
      </c>
      <c r="C13" s="262">
        <v>35000</v>
      </c>
      <c r="D13" s="4"/>
      <c r="E13" s="408" t="s">
        <v>5</v>
      </c>
      <c r="F13" s="409">
        <v>0.15</v>
      </c>
    </row>
    <row r="14" spans="1:34" ht="60.4" customHeight="1" thickTop="1" thickBot="1">
      <c r="A14" s="260"/>
      <c r="B14" s="260" t="s">
        <v>352</v>
      </c>
      <c r="C14" s="263">
        <v>0</v>
      </c>
      <c r="D14" s="4"/>
      <c r="E14" s="406" t="s">
        <v>3</v>
      </c>
      <c r="F14" s="409">
        <v>0.55000000000000004</v>
      </c>
      <c r="K14" s="424" t="s">
        <v>382</v>
      </c>
      <c r="L14" s="425"/>
      <c r="M14" s="425"/>
      <c r="N14" s="425"/>
      <c r="O14" s="425"/>
      <c r="P14" s="426"/>
      <c r="Q14" s="416"/>
      <c r="R14" s="416"/>
      <c r="S14" s="416"/>
      <c r="AB14" s="427" t="s">
        <v>405</v>
      </c>
      <c r="AC14" s="425"/>
      <c r="AD14" s="425"/>
      <c r="AE14" s="425"/>
      <c r="AF14" s="425"/>
      <c r="AG14" s="425"/>
      <c r="AH14" s="426"/>
    </row>
    <row r="15" spans="1:34" ht="79.5" thickTop="1" thickBot="1">
      <c r="A15" s="264" t="s">
        <v>338</v>
      </c>
      <c r="B15" s="260" t="s">
        <v>337</v>
      </c>
      <c r="C15" s="262">
        <v>80000</v>
      </c>
      <c r="D15" s="4"/>
      <c r="E15" s="406" t="s">
        <v>2</v>
      </c>
      <c r="F15" s="409">
        <v>0.2</v>
      </c>
      <c r="K15" s="410"/>
      <c r="L15" s="410"/>
      <c r="M15" s="410"/>
      <c r="N15" s="410"/>
      <c r="O15" s="410"/>
      <c r="P15" s="410"/>
      <c r="Q15" s="418"/>
      <c r="R15" s="418"/>
      <c r="S15" s="418"/>
      <c r="AB15" s="410"/>
      <c r="AC15" s="410"/>
      <c r="AD15" s="410"/>
      <c r="AE15" s="410"/>
      <c r="AF15" s="410"/>
      <c r="AG15" s="410"/>
      <c r="AH15" s="410"/>
    </row>
    <row r="16" spans="1:34" ht="48" thickTop="1" thickBot="1">
      <c r="A16" s="264"/>
      <c r="B16" s="260" t="s">
        <v>353</v>
      </c>
      <c r="C16" s="262">
        <v>2300</v>
      </c>
      <c r="D16" s="4"/>
      <c r="E16" s="406" t="s">
        <v>4</v>
      </c>
      <c r="F16" s="409">
        <v>0.1</v>
      </c>
      <c r="K16" s="411" t="s">
        <v>290</v>
      </c>
      <c r="L16" s="411" t="s">
        <v>364</v>
      </c>
      <c r="M16" s="411" t="s">
        <v>291</v>
      </c>
      <c r="N16" s="411" t="s">
        <v>292</v>
      </c>
      <c r="O16" s="411" t="s">
        <v>293</v>
      </c>
      <c r="P16" s="421"/>
      <c r="Q16" s="419"/>
      <c r="R16" s="419"/>
      <c r="S16" s="419"/>
      <c r="AB16" s="411" t="s">
        <v>360</v>
      </c>
      <c r="AC16" s="411" t="s">
        <v>361</v>
      </c>
      <c r="AD16" s="411" t="s">
        <v>362</v>
      </c>
      <c r="AE16" s="411" t="s">
        <v>363</v>
      </c>
      <c r="AF16" s="410"/>
      <c r="AG16" s="410"/>
      <c r="AH16" s="410"/>
    </row>
    <row r="17" spans="1:34" ht="111" thickTop="1" thickBot="1">
      <c r="A17" s="260"/>
      <c r="B17" s="260" t="s">
        <v>409</v>
      </c>
      <c r="C17" s="262">
        <v>79056</v>
      </c>
      <c r="D17" s="4"/>
      <c r="E17" s="270"/>
      <c r="F17" s="257"/>
      <c r="K17" s="422">
        <v>0.1</v>
      </c>
      <c r="L17" s="412" t="s">
        <v>383</v>
      </c>
      <c r="M17" s="412" t="s">
        <v>384</v>
      </c>
      <c r="N17" s="412" t="s">
        <v>383</v>
      </c>
      <c r="O17" s="412" t="s">
        <v>385</v>
      </c>
      <c r="P17" s="423"/>
      <c r="Q17" s="420"/>
      <c r="R17" s="420"/>
      <c r="S17" s="420"/>
      <c r="AB17" s="412" t="s">
        <v>364</v>
      </c>
      <c r="AC17" s="413">
        <v>48350</v>
      </c>
      <c r="AD17" s="413">
        <v>533400</v>
      </c>
      <c r="AE17" s="412" t="s">
        <v>365</v>
      </c>
      <c r="AF17" s="410"/>
      <c r="AG17" s="410"/>
      <c r="AH17" s="410"/>
    </row>
    <row r="18" spans="1:34" ht="43.5" customHeight="1" thickTop="1" thickBot="1">
      <c r="A18" s="260"/>
      <c r="B18" s="260"/>
      <c r="C18" s="271"/>
      <c r="D18" s="4"/>
      <c r="E18" s="270" t="s">
        <v>1</v>
      </c>
      <c r="F18" s="23">
        <v>0.12</v>
      </c>
      <c r="K18" s="422">
        <v>0.12</v>
      </c>
      <c r="L18" s="412" t="s">
        <v>386</v>
      </c>
      <c r="M18" s="412" t="s">
        <v>387</v>
      </c>
      <c r="N18" s="412" t="s">
        <v>386</v>
      </c>
      <c r="O18" s="412" t="s">
        <v>388</v>
      </c>
      <c r="P18" s="423"/>
      <c r="Q18" s="417"/>
      <c r="R18" s="417"/>
      <c r="S18" s="417"/>
      <c r="AB18" s="412" t="s">
        <v>291</v>
      </c>
      <c r="AC18" s="413">
        <v>96700</v>
      </c>
      <c r="AD18" s="413">
        <v>600050</v>
      </c>
      <c r="AE18" s="412" t="s">
        <v>366</v>
      </c>
      <c r="AF18" s="410"/>
      <c r="AG18" s="410"/>
      <c r="AH18" s="410"/>
    </row>
    <row r="19" spans="1:34" ht="63.75" thickTop="1" thickBot="1">
      <c r="A19" s="260"/>
      <c r="B19" s="260" t="s">
        <v>333</v>
      </c>
      <c r="C19" s="399" t="s">
        <v>73</v>
      </c>
      <c r="D19" s="4"/>
      <c r="E19" s="256" t="s">
        <v>407</v>
      </c>
      <c r="F19" s="229">
        <v>0.24</v>
      </c>
      <c r="K19" s="422">
        <v>0.22</v>
      </c>
      <c r="L19" s="412" t="s">
        <v>389</v>
      </c>
      <c r="M19" s="412" t="s">
        <v>390</v>
      </c>
      <c r="N19" s="412" t="s">
        <v>389</v>
      </c>
      <c r="O19" s="412" t="s">
        <v>391</v>
      </c>
      <c r="P19" s="423"/>
      <c r="Q19" s="417"/>
      <c r="R19" s="417"/>
      <c r="S19" s="417"/>
      <c r="AB19" s="412" t="s">
        <v>292</v>
      </c>
      <c r="AC19" s="413">
        <v>48350</v>
      </c>
      <c r="AD19" s="413">
        <v>300000</v>
      </c>
      <c r="AE19" s="412" t="s">
        <v>367</v>
      </c>
      <c r="AF19" s="410"/>
      <c r="AG19" s="410"/>
      <c r="AH19" s="410"/>
    </row>
    <row r="20" spans="1:34" ht="29.25" customHeight="1" thickTop="1" thickBot="1">
      <c r="A20" s="260"/>
      <c r="B20" s="265"/>
      <c r="C20" s="266"/>
      <c r="D20" s="4"/>
      <c r="E20" s="256" t="s">
        <v>406</v>
      </c>
      <c r="F20" s="229">
        <v>0.15</v>
      </c>
      <c r="K20" s="422">
        <v>0.24</v>
      </c>
      <c r="L20" s="412" t="s">
        <v>392</v>
      </c>
      <c r="M20" s="412" t="s">
        <v>393</v>
      </c>
      <c r="N20" s="412" t="s">
        <v>392</v>
      </c>
      <c r="O20" s="412" t="s">
        <v>394</v>
      </c>
      <c r="P20" s="423"/>
      <c r="Q20" s="417"/>
      <c r="R20" s="417"/>
      <c r="S20" s="417"/>
      <c r="AB20" s="412" t="s">
        <v>293</v>
      </c>
      <c r="AC20" s="413">
        <v>64750</v>
      </c>
      <c r="AD20" s="413">
        <v>566700</v>
      </c>
      <c r="AE20" s="412" t="s">
        <v>368</v>
      </c>
      <c r="AF20" s="410"/>
      <c r="AG20" s="410"/>
      <c r="AH20" s="410"/>
    </row>
    <row r="21" spans="1:34" ht="29.25" thickTop="1" thickBot="1">
      <c r="A21" s="260"/>
      <c r="B21" s="265"/>
      <c r="C21" s="266"/>
      <c r="D21" s="4"/>
      <c r="E21" s="256" t="s">
        <v>358</v>
      </c>
      <c r="F21" s="273">
        <v>2.8000000000000001E-2</v>
      </c>
      <c r="K21" s="422">
        <v>0.32</v>
      </c>
      <c r="L21" s="412" t="s">
        <v>395</v>
      </c>
      <c r="M21" s="412" t="s">
        <v>396</v>
      </c>
      <c r="N21" s="412" t="s">
        <v>395</v>
      </c>
      <c r="O21" s="412" t="s">
        <v>397</v>
      </c>
      <c r="P21" s="423"/>
      <c r="Q21" s="417"/>
      <c r="R21" s="417"/>
      <c r="S21" s="417"/>
      <c r="AB21" s="410"/>
      <c r="AC21" s="410"/>
      <c r="AD21" s="410"/>
      <c r="AE21" s="410"/>
      <c r="AF21" s="410"/>
      <c r="AG21" s="410"/>
      <c r="AH21" s="410"/>
    </row>
    <row r="22" spans="1:34" ht="71.25" customHeight="1" thickTop="1" thickBot="1">
      <c r="A22" s="260"/>
      <c r="B22" s="265"/>
      <c r="C22" s="267"/>
      <c r="D22" s="4"/>
      <c r="E22" s="256" t="s">
        <v>359</v>
      </c>
      <c r="F22" s="229">
        <v>2.5000000000000001E-2</v>
      </c>
      <c r="G22" s="276"/>
      <c r="H22" s="399" t="s">
        <v>76</v>
      </c>
      <c r="I22" s="345" t="s">
        <v>316</v>
      </c>
      <c r="J22" s="346"/>
      <c r="K22" s="422">
        <v>0.35</v>
      </c>
      <c r="L22" s="412" t="s">
        <v>398</v>
      </c>
      <c r="M22" s="412" t="s">
        <v>399</v>
      </c>
      <c r="N22" s="412" t="s">
        <v>400</v>
      </c>
      <c r="O22" s="412" t="s">
        <v>401</v>
      </c>
      <c r="P22" s="423"/>
      <c r="Q22" s="417"/>
      <c r="R22" s="417"/>
      <c r="S22" s="417"/>
      <c r="AB22" s="410" t="s">
        <v>369</v>
      </c>
      <c r="AC22" s="410"/>
      <c r="AD22" s="410"/>
      <c r="AE22" s="410"/>
      <c r="AF22" s="410"/>
      <c r="AG22" s="410"/>
      <c r="AH22" s="410"/>
    </row>
    <row r="23" spans="1:34" ht="29.25" thickTop="1" thickBot="1">
      <c r="A23" s="260"/>
      <c r="B23" s="268"/>
      <c r="C23" s="274"/>
      <c r="D23" s="4"/>
      <c r="E23" s="257"/>
      <c r="F23" s="275"/>
      <c r="G23" s="276"/>
      <c r="H23" s="277"/>
      <c r="I23" s="257"/>
      <c r="K23" s="422">
        <v>0.37</v>
      </c>
      <c r="L23" s="412" t="s">
        <v>402</v>
      </c>
      <c r="M23" s="412" t="s">
        <v>403</v>
      </c>
      <c r="N23" s="412" t="s">
        <v>404</v>
      </c>
      <c r="O23" s="412" t="s">
        <v>402</v>
      </c>
      <c r="P23" s="423"/>
      <c r="Q23" s="416"/>
      <c r="R23" s="417"/>
      <c r="S23" s="416"/>
      <c r="AB23" s="410"/>
      <c r="AC23" s="410"/>
      <c r="AD23" s="410"/>
      <c r="AE23" s="410"/>
      <c r="AF23" s="410"/>
      <c r="AG23" s="410"/>
      <c r="AH23" s="410"/>
    </row>
    <row r="24" spans="1:34" ht="23.65" thickTop="1">
      <c r="K24" s="410"/>
      <c r="L24" s="410"/>
      <c r="M24" s="410"/>
      <c r="N24" s="410"/>
      <c r="O24" s="410"/>
      <c r="P24" s="410"/>
      <c r="Q24" s="416"/>
      <c r="R24" s="416"/>
      <c r="S24" s="416"/>
      <c r="AB24" s="414" t="s">
        <v>370</v>
      </c>
      <c r="AC24" s="410"/>
      <c r="AD24" s="410"/>
      <c r="AE24" s="410"/>
      <c r="AF24" s="410"/>
      <c r="AG24" s="410"/>
      <c r="AH24" s="410"/>
    </row>
    <row r="25" spans="1:34">
      <c r="P25" s="416"/>
      <c r="Q25" s="416"/>
      <c r="R25" s="416"/>
      <c r="S25" s="416"/>
      <c r="AB25" s="410"/>
      <c r="AC25" s="410"/>
      <c r="AD25" s="410"/>
      <c r="AE25" s="410"/>
      <c r="AF25" s="410"/>
      <c r="AG25" s="410"/>
      <c r="AH25" s="410"/>
    </row>
    <row r="26" spans="1:34" ht="23.25">
      <c r="B26" s="8" t="s">
        <v>30</v>
      </c>
      <c r="P26" s="416"/>
      <c r="Q26" s="416"/>
      <c r="R26" s="416"/>
      <c r="S26" s="416"/>
      <c r="AB26" s="410" t="s">
        <v>371</v>
      </c>
      <c r="AC26" s="410"/>
      <c r="AD26" s="410"/>
      <c r="AE26" s="410"/>
      <c r="AF26" s="410"/>
      <c r="AG26" s="410"/>
      <c r="AH26" s="410"/>
    </row>
    <row r="27" spans="1:34" s="10" customFormat="1" ht="108">
      <c r="A27" s="26" t="s">
        <v>41</v>
      </c>
      <c r="B27" s="27" t="s">
        <v>33</v>
      </c>
      <c r="C27" s="236">
        <v>0</v>
      </c>
      <c r="D27" s="28"/>
      <c r="E27" s="27" t="s">
        <v>34</v>
      </c>
      <c r="F27" s="236">
        <v>0</v>
      </c>
      <c r="G27" s="26" t="s">
        <v>41</v>
      </c>
      <c r="H27" s="26" t="s">
        <v>345</v>
      </c>
      <c r="I27" s="26" t="s">
        <v>346</v>
      </c>
      <c r="AB27" s="410"/>
      <c r="AC27" s="410"/>
      <c r="AD27" s="410"/>
      <c r="AE27" s="410"/>
      <c r="AF27" s="415"/>
      <c r="AG27" s="415"/>
      <c r="AH27" s="415"/>
    </row>
    <row r="28" spans="1:34" ht="28.5">
      <c r="A28" s="13">
        <f ca="1">IF(ISERR(Sheet1!M1),,Sheet1!M1)</f>
        <v>-1167798.9228352942</v>
      </c>
      <c r="B28" s="244" t="s">
        <v>31</v>
      </c>
      <c r="C28" s="12">
        <f ca="1">Sheet1!A1/Sheet2!B3</f>
        <v>0.85</v>
      </c>
      <c r="D28" s="9"/>
      <c r="E28" s="11" t="s">
        <v>31</v>
      </c>
      <c r="F28" s="12">
        <f ca="1">Sheet1!D1/Sheet2!B3</f>
        <v>0.15</v>
      </c>
      <c r="G28" s="13">
        <f ca="1">IF(ISERR(Sheet1!I1),,Sheet1!I1)</f>
        <v>555525.32053333335</v>
      </c>
      <c r="H28" s="13"/>
      <c r="I28" s="13"/>
      <c r="AB28" s="411" t="s">
        <v>372</v>
      </c>
      <c r="AC28" s="411" t="s">
        <v>373</v>
      </c>
      <c r="AD28" s="410"/>
      <c r="AE28" s="410"/>
      <c r="AF28" s="410"/>
      <c r="AG28" s="410"/>
      <c r="AH28" s="410"/>
    </row>
    <row r="29" spans="1:34" ht="128.25">
      <c r="A29" s="13">
        <f ca="1">IF(ISERR(Sheet1!N1),,Sheet1!N1)</f>
        <v>0</v>
      </c>
      <c r="B29" s="245" t="s">
        <v>32</v>
      </c>
      <c r="C29" s="12">
        <f ca="1">Sheet1!B1/Sheet2!B3</f>
        <v>0</v>
      </c>
      <c r="D29" s="9"/>
      <c r="E29" s="11" t="s">
        <v>32</v>
      </c>
      <c r="F29" s="12">
        <f ca="1">Sheet1!E1/Sheet2!B3</f>
        <v>1</v>
      </c>
      <c r="G29" s="13">
        <f ca="1">IF(ISERR(Sheet1!J1),,Sheet1!J1)</f>
        <v>2326462.7802400002</v>
      </c>
      <c r="H29" s="13">
        <f ca="1">IF(ISERR(Sheet1!R1),,Sheet1!R1)</f>
        <v>0</v>
      </c>
      <c r="I29" s="13">
        <f ca="1">IF(ISERR(Sheet1!Q1),,Sheet1!Q1)</f>
        <v>169903.44826500001</v>
      </c>
      <c r="AB29" s="412" t="s">
        <v>374</v>
      </c>
      <c r="AC29" s="412" t="s">
        <v>375</v>
      </c>
      <c r="AD29" s="410"/>
      <c r="AE29" s="410"/>
      <c r="AF29" s="410"/>
      <c r="AG29" s="410"/>
      <c r="AH29" s="410"/>
    </row>
    <row r="30" spans="1:34" ht="85.5">
      <c r="A30" s="13">
        <f ca="1">IF(ISERR(Sheet1!O1),,Sheet1!O1)</f>
        <v>-215395.29324000003</v>
      </c>
      <c r="B30" s="246" t="s">
        <v>35</v>
      </c>
      <c r="C30" s="12">
        <f ca="1">Sheet1!C1/Sheet2!B3</f>
        <v>0.25</v>
      </c>
      <c r="D30" s="9"/>
      <c r="E30" s="11" t="s">
        <v>35</v>
      </c>
      <c r="F30" s="12">
        <f ca="1">Sheet1!F1/Sheet2!B3</f>
        <v>0.75</v>
      </c>
      <c r="G30" s="13">
        <f ca="1">IF(ISERR(Sheet1!K1),,Sheet1!K1)</f>
        <v>1472343.3551333332</v>
      </c>
      <c r="H30" s="13"/>
      <c r="I30" s="13"/>
      <c r="AB30" s="412" t="s">
        <v>376</v>
      </c>
      <c r="AC30" s="412" t="s">
        <v>377</v>
      </c>
      <c r="AD30" s="410"/>
      <c r="AE30" s="410"/>
      <c r="AF30" s="410"/>
      <c r="AG30" s="410"/>
      <c r="AH30" s="410"/>
    </row>
    <row r="31" spans="1:34" ht="85.5">
      <c r="A31" s="13">
        <f ca="1">IF(ISERR(Sheet1!P1),,Sheet1!P1)</f>
        <v>0</v>
      </c>
      <c r="B31" s="247" t="s">
        <v>72</v>
      </c>
      <c r="C31" s="12">
        <f ca="1">Sheet1!G1/Sheet2!B3</f>
        <v>0</v>
      </c>
      <c r="D31" s="9"/>
      <c r="E31" s="11" t="s">
        <v>72</v>
      </c>
      <c r="F31" s="12">
        <f ca="1">Sheet1!H1/Sheet2!B3</f>
        <v>1</v>
      </c>
      <c r="G31" s="13">
        <f ca="1">IF(ISERR(Sheet1!L1),,Sheet1!L1)</f>
        <v>5089767.1875200002</v>
      </c>
      <c r="H31" s="13"/>
      <c r="I31" s="13"/>
      <c r="AB31" s="412" t="s">
        <v>378</v>
      </c>
      <c r="AC31" s="412" t="s">
        <v>379</v>
      </c>
      <c r="AD31" s="410"/>
      <c r="AE31" s="410"/>
      <c r="AF31" s="410"/>
      <c r="AG31" s="410"/>
      <c r="AH31" s="410"/>
    </row>
    <row r="32" spans="1:34" ht="85.5">
      <c r="B32" s="7" t="s">
        <v>29</v>
      </c>
      <c r="AB32" s="412" t="s">
        <v>380</v>
      </c>
      <c r="AC32" s="412" t="s">
        <v>381</v>
      </c>
      <c r="AD32" s="410"/>
      <c r="AE32" s="410"/>
      <c r="AF32" s="410"/>
      <c r="AG32" s="410"/>
      <c r="AH32" s="410"/>
    </row>
    <row r="33" spans="2:2" ht="25.5">
      <c r="B33" s="7"/>
    </row>
    <row r="34" spans="2:2" ht="25.5">
      <c r="B34" s="7"/>
    </row>
  </sheetData>
  <sheetProtection algorithmName="SHA-512" hashValue="d3fvqlfelj+qtcP30WbyBe1HcPoeFGzR6Xr3wx/eCWStnGVT94+ND9exoetm79i9Z0ulFINrKaeU0HBT/2JjSQ==" saltValue="UPSmXBExKgTUvywKZQpKBg==" spinCount="100000" sheet="1" objects="1" scenarios="1" selectLockedCells="1"/>
  <mergeCells count="6">
    <mergeCell ref="B1:Q1"/>
    <mergeCell ref="B2:E2"/>
    <mergeCell ref="I22:J22"/>
    <mergeCell ref="G8:H8"/>
    <mergeCell ref="AB14:AH14"/>
    <mergeCell ref="K14:P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O3" sqref="O3"/>
    </sheetView>
  </sheetViews>
  <sheetFormatPr defaultRowHeight="14.25"/>
  <cols>
    <col min="1" max="2" width="3.59765625" customWidth="1"/>
    <col min="3" max="11" width="11.59765625" customWidth="1"/>
    <col min="12" max="12" width="3.59765625" customWidth="1"/>
  </cols>
  <sheetData>
    <row r="2" spans="2:12" ht="36" customHeight="1">
      <c r="B2" s="333" t="s">
        <v>317</v>
      </c>
      <c r="C2" s="333"/>
      <c r="D2" s="333"/>
      <c r="E2" s="333"/>
      <c r="F2" s="333"/>
      <c r="G2" s="333"/>
      <c r="H2" s="333"/>
      <c r="I2" s="333"/>
      <c r="J2" s="333"/>
      <c r="K2" s="333"/>
      <c r="L2" s="333"/>
    </row>
    <row r="3" spans="2:12" ht="21">
      <c r="B3" s="400" t="s">
        <v>318</v>
      </c>
      <c r="C3" s="400"/>
      <c r="D3" s="400"/>
      <c r="E3" s="400"/>
      <c r="F3" s="400"/>
      <c r="G3" s="400"/>
      <c r="H3" s="400"/>
      <c r="I3" s="400"/>
      <c r="J3" s="400"/>
      <c r="K3" s="400"/>
      <c r="L3" s="400"/>
    </row>
    <row r="5" spans="2:12">
      <c r="B5" s="334" t="s">
        <v>319</v>
      </c>
      <c r="C5" s="334"/>
      <c r="D5" s="334"/>
      <c r="E5" s="334"/>
      <c r="F5" s="334"/>
      <c r="G5" s="334"/>
      <c r="H5" s="334"/>
      <c r="I5" s="334"/>
      <c r="J5" s="334"/>
      <c r="K5" s="334"/>
      <c r="L5" s="334"/>
    </row>
    <row r="6" spans="2:12" ht="16.899999999999999">
      <c r="B6" s="335" t="s">
        <v>320</v>
      </c>
      <c r="C6" s="335"/>
      <c r="D6" s="335"/>
      <c r="E6" s="335"/>
      <c r="F6" s="335"/>
      <c r="G6" s="335"/>
      <c r="H6" s="335"/>
      <c r="I6" s="335"/>
      <c r="J6" s="335"/>
      <c r="K6" s="335"/>
      <c r="L6" s="335"/>
    </row>
    <row r="7" spans="2:12">
      <c r="B7" s="336" t="s">
        <v>325</v>
      </c>
      <c r="C7" s="336"/>
      <c r="D7" s="336"/>
      <c r="E7" s="336"/>
      <c r="F7" s="336"/>
      <c r="G7" s="336"/>
      <c r="H7" s="336"/>
      <c r="I7" s="336"/>
      <c r="J7" s="337"/>
      <c r="K7" s="337"/>
      <c r="L7" s="337"/>
    </row>
    <row r="8" spans="2:12">
      <c r="B8" s="336"/>
      <c r="C8" s="336"/>
      <c r="D8" s="336"/>
      <c r="E8" s="336"/>
      <c r="F8" s="336"/>
      <c r="G8" s="336"/>
      <c r="H8" s="336"/>
      <c r="I8" s="336"/>
      <c r="J8" s="337"/>
      <c r="K8" s="337"/>
      <c r="L8" s="337"/>
    </row>
    <row r="9" spans="2:12">
      <c r="B9" s="336"/>
      <c r="C9" s="336"/>
      <c r="D9" s="336"/>
      <c r="E9" s="336"/>
      <c r="F9" s="336"/>
      <c r="G9" s="336"/>
      <c r="H9" s="336"/>
      <c r="I9" s="336"/>
      <c r="J9" s="337"/>
      <c r="K9" s="337"/>
      <c r="L9" s="337"/>
    </row>
    <row r="10" spans="2:12">
      <c r="B10" s="336"/>
      <c r="C10" s="336"/>
      <c r="D10" s="336"/>
      <c r="E10" s="336"/>
      <c r="F10" s="336"/>
      <c r="G10" s="336"/>
      <c r="H10" s="336"/>
      <c r="I10" s="336"/>
      <c r="J10" s="337"/>
      <c r="K10" s="337"/>
      <c r="L10" s="337"/>
    </row>
    <row r="11" spans="2:12">
      <c r="B11" s="336"/>
      <c r="C11" s="336"/>
      <c r="D11" s="336"/>
      <c r="E11" s="336"/>
      <c r="F11" s="336"/>
      <c r="G11" s="336"/>
      <c r="H11" s="336"/>
      <c r="I11" s="336"/>
    </row>
    <row r="12" spans="2:12">
      <c r="B12" s="336"/>
      <c r="C12" s="336"/>
      <c r="D12" s="336"/>
      <c r="E12" s="336"/>
      <c r="F12" s="336"/>
      <c r="G12" s="336"/>
      <c r="H12" s="336"/>
      <c r="I12" s="336"/>
    </row>
    <row r="13" spans="2:12">
      <c r="B13" s="336"/>
      <c r="C13" s="336"/>
      <c r="D13" s="336"/>
      <c r="E13" s="336"/>
      <c r="F13" s="336"/>
      <c r="G13" s="336"/>
      <c r="H13" s="336"/>
      <c r="I13" s="336"/>
    </row>
    <row r="14" spans="2:12">
      <c r="B14" s="332"/>
      <c r="C14" s="332"/>
      <c r="D14" s="332"/>
      <c r="E14" s="332"/>
      <c r="F14" s="332"/>
      <c r="G14" s="332"/>
      <c r="H14" s="332"/>
      <c r="I14" s="332"/>
      <c r="J14" s="332"/>
      <c r="K14" s="332"/>
      <c r="L14" s="332"/>
    </row>
    <row r="17" spans="2:12">
      <c r="B17" s="339" t="s">
        <v>321</v>
      </c>
      <c r="C17" s="339"/>
      <c r="D17" s="339"/>
      <c r="E17" s="339"/>
      <c r="F17" s="339"/>
      <c r="G17" s="339"/>
      <c r="H17" s="339"/>
      <c r="I17" s="339"/>
      <c r="J17" s="339"/>
      <c r="K17" s="339"/>
      <c r="L17" s="339"/>
    </row>
    <row r="18" spans="2:12" ht="16.899999999999999">
      <c r="B18" s="335" t="s">
        <v>322</v>
      </c>
      <c r="C18" s="335"/>
      <c r="D18" s="335"/>
      <c r="E18" s="335"/>
      <c r="F18" s="335"/>
      <c r="G18" s="335"/>
      <c r="H18" s="335"/>
      <c r="I18" s="335"/>
      <c r="J18" s="335"/>
      <c r="K18" s="335"/>
      <c r="L18" s="335"/>
    </row>
    <row r="19" spans="2:12">
      <c r="B19" s="336" t="s">
        <v>326</v>
      </c>
      <c r="C19" s="336"/>
      <c r="D19" s="336"/>
      <c r="E19" s="336"/>
      <c r="F19" s="336"/>
      <c r="G19" s="336"/>
      <c r="H19" s="336"/>
      <c r="I19" s="336"/>
      <c r="J19" s="337"/>
      <c r="K19" s="337"/>
      <c r="L19" s="337"/>
    </row>
    <row r="20" spans="2:12">
      <c r="B20" s="336"/>
      <c r="C20" s="336"/>
      <c r="D20" s="336"/>
      <c r="E20" s="336"/>
      <c r="F20" s="336"/>
      <c r="G20" s="336"/>
      <c r="H20" s="336"/>
      <c r="I20" s="336"/>
      <c r="J20" s="337"/>
      <c r="K20" s="337"/>
      <c r="L20" s="337"/>
    </row>
    <row r="21" spans="2:12">
      <c r="B21" s="336"/>
      <c r="C21" s="336"/>
      <c r="D21" s="336"/>
      <c r="E21" s="336"/>
      <c r="F21" s="336"/>
      <c r="G21" s="336"/>
      <c r="H21" s="336"/>
      <c r="I21" s="336"/>
      <c r="J21" s="337"/>
      <c r="K21" s="337"/>
      <c r="L21" s="337"/>
    </row>
    <row r="22" spans="2:12">
      <c r="B22" s="336"/>
      <c r="C22" s="336"/>
      <c r="D22" s="336"/>
      <c r="E22" s="336"/>
      <c r="F22" s="336"/>
      <c r="G22" s="336"/>
      <c r="H22" s="336"/>
      <c r="I22" s="336"/>
      <c r="J22" s="337"/>
      <c r="K22" s="337"/>
      <c r="L22" s="337"/>
    </row>
    <row r="23" spans="2:12">
      <c r="B23" s="336"/>
      <c r="C23" s="336"/>
      <c r="D23" s="336"/>
      <c r="E23" s="336"/>
      <c r="F23" s="336"/>
      <c r="G23" s="336"/>
      <c r="H23" s="336"/>
      <c r="I23" s="336"/>
    </row>
    <row r="24" spans="2:12">
      <c r="B24" s="336"/>
      <c r="C24" s="336"/>
      <c r="D24" s="336"/>
      <c r="E24" s="336"/>
      <c r="F24" s="336"/>
      <c r="G24" s="336"/>
      <c r="H24" s="336"/>
      <c r="I24" s="336"/>
    </row>
    <row r="25" spans="2:12">
      <c r="B25" s="336"/>
      <c r="C25" s="336"/>
      <c r="D25" s="336"/>
      <c r="E25" s="336"/>
      <c r="F25" s="336"/>
      <c r="G25" s="336"/>
      <c r="H25" s="336"/>
      <c r="I25" s="336"/>
    </row>
    <row r="26" spans="2:12">
      <c r="B26" s="332"/>
      <c r="C26" s="332"/>
      <c r="D26" s="332"/>
      <c r="E26" s="332"/>
      <c r="F26" s="332"/>
      <c r="G26" s="332"/>
      <c r="H26" s="332"/>
      <c r="I26" s="332"/>
      <c r="J26" s="332"/>
      <c r="K26" s="332"/>
      <c r="L26" s="332"/>
    </row>
    <row r="29" spans="2:12">
      <c r="B29" s="340" t="s">
        <v>323</v>
      </c>
      <c r="C29" s="340"/>
      <c r="D29" s="340"/>
      <c r="E29" s="340"/>
      <c r="F29" s="340"/>
      <c r="G29" s="340"/>
      <c r="H29" s="340"/>
      <c r="I29" s="340"/>
      <c r="J29" s="340"/>
      <c r="K29" s="340"/>
      <c r="L29" s="340"/>
    </row>
    <row r="30" spans="2:12" ht="16.899999999999999">
      <c r="B30" s="335" t="s">
        <v>324</v>
      </c>
      <c r="C30" s="335"/>
      <c r="D30" s="335"/>
      <c r="E30" s="335"/>
      <c r="F30" s="335"/>
      <c r="G30" s="335"/>
      <c r="H30" s="335"/>
      <c r="I30" s="335"/>
      <c r="J30" s="335"/>
      <c r="K30" s="335"/>
      <c r="L30" s="335"/>
    </row>
    <row r="31" spans="2:12">
      <c r="B31" s="336" t="s">
        <v>327</v>
      </c>
      <c r="C31" s="336"/>
      <c r="D31" s="336"/>
      <c r="E31" s="336"/>
      <c r="F31" s="336"/>
      <c r="G31" s="336"/>
      <c r="H31" s="336"/>
      <c r="I31" s="336"/>
      <c r="J31" s="337"/>
      <c r="K31" s="337"/>
      <c r="L31" s="337"/>
    </row>
    <row r="32" spans="2:12">
      <c r="B32" s="336"/>
      <c r="C32" s="336"/>
      <c r="D32" s="336"/>
      <c r="E32" s="336"/>
      <c r="F32" s="336"/>
      <c r="G32" s="336"/>
      <c r="H32" s="336"/>
      <c r="I32" s="336"/>
      <c r="J32" s="337"/>
      <c r="K32" s="337"/>
      <c r="L32" s="337"/>
    </row>
    <row r="33" spans="2:12">
      <c r="B33" s="336"/>
      <c r="C33" s="336"/>
      <c r="D33" s="336"/>
      <c r="E33" s="336"/>
      <c r="F33" s="336"/>
      <c r="G33" s="336"/>
      <c r="H33" s="336"/>
      <c r="I33" s="336"/>
      <c r="J33" s="337"/>
      <c r="K33" s="337"/>
      <c r="L33" s="337"/>
    </row>
    <row r="34" spans="2:12">
      <c r="B34" s="336"/>
      <c r="C34" s="336"/>
      <c r="D34" s="336"/>
      <c r="E34" s="336"/>
      <c r="F34" s="336"/>
      <c r="G34" s="336"/>
      <c r="H34" s="336"/>
      <c r="I34" s="336"/>
      <c r="J34" s="337"/>
      <c r="K34" s="337"/>
      <c r="L34" s="337"/>
    </row>
    <row r="35" spans="2:12">
      <c r="B35" s="336"/>
      <c r="C35" s="336"/>
      <c r="D35" s="336"/>
      <c r="E35" s="336"/>
      <c r="F35" s="336"/>
      <c r="G35" s="336"/>
      <c r="H35" s="336"/>
      <c r="I35" s="336"/>
    </row>
    <row r="36" spans="2:12">
      <c r="B36" s="336"/>
      <c r="C36" s="336"/>
      <c r="D36" s="336"/>
      <c r="E36" s="336"/>
      <c r="F36" s="336"/>
      <c r="G36" s="336"/>
      <c r="H36" s="336"/>
      <c r="I36" s="336"/>
    </row>
    <row r="37" spans="2:12">
      <c r="B37" s="336"/>
      <c r="C37" s="336"/>
      <c r="D37" s="336"/>
      <c r="E37" s="336"/>
      <c r="F37" s="336"/>
      <c r="G37" s="336"/>
      <c r="H37" s="336"/>
      <c r="I37" s="336"/>
    </row>
    <row r="38" spans="2:12">
      <c r="B38" s="332"/>
      <c r="C38" s="332"/>
      <c r="D38" s="332"/>
      <c r="E38" s="332"/>
      <c r="F38" s="332"/>
      <c r="G38" s="332"/>
      <c r="H38" s="332"/>
      <c r="I38" s="332"/>
      <c r="J38" s="332"/>
      <c r="K38" s="332"/>
      <c r="L38" s="332"/>
    </row>
    <row r="41" spans="2:12">
      <c r="B41" s="388" t="s">
        <v>328</v>
      </c>
      <c r="C41" s="388"/>
      <c r="D41" s="388"/>
      <c r="E41" s="388"/>
      <c r="F41" s="388"/>
      <c r="G41" s="388"/>
      <c r="H41" s="388"/>
      <c r="I41" s="388"/>
      <c r="J41" s="388"/>
      <c r="K41" s="388"/>
      <c r="L41" s="388"/>
    </row>
    <row r="42" spans="2:12" ht="14.25" customHeight="1">
      <c r="B42" s="335" t="s">
        <v>329</v>
      </c>
      <c r="C42" s="335"/>
      <c r="D42" s="335"/>
      <c r="E42" s="335"/>
      <c r="F42" s="335"/>
      <c r="G42" s="335"/>
      <c r="H42" s="335"/>
      <c r="I42" s="335"/>
      <c r="J42" s="335"/>
      <c r="K42" s="335"/>
      <c r="L42" s="335"/>
    </row>
    <row r="43" spans="2:12">
      <c r="B43" s="336" t="s">
        <v>330</v>
      </c>
      <c r="C43" s="336"/>
      <c r="D43" s="336"/>
      <c r="E43" s="336"/>
      <c r="F43" s="336"/>
      <c r="G43" s="336"/>
      <c r="H43" s="336"/>
      <c r="I43" s="336"/>
      <c r="J43" s="337"/>
      <c r="K43" s="337"/>
      <c r="L43" s="337"/>
    </row>
    <row r="44" spans="2:12">
      <c r="B44" s="336"/>
      <c r="C44" s="336"/>
      <c r="D44" s="336"/>
      <c r="E44" s="336"/>
      <c r="F44" s="336"/>
      <c r="G44" s="336"/>
      <c r="H44" s="336"/>
      <c r="I44" s="336"/>
      <c r="J44" s="337"/>
      <c r="K44" s="337"/>
      <c r="L44" s="337"/>
    </row>
    <row r="45" spans="2:12">
      <c r="B45" s="336"/>
      <c r="C45" s="336"/>
      <c r="D45" s="336"/>
      <c r="E45" s="336"/>
      <c r="F45" s="336"/>
      <c r="G45" s="336"/>
      <c r="H45" s="336"/>
      <c r="I45" s="336"/>
      <c r="J45" s="337"/>
      <c r="K45" s="337"/>
      <c r="L45" s="337"/>
    </row>
    <row r="46" spans="2:12">
      <c r="B46" s="336"/>
      <c r="C46" s="336"/>
      <c r="D46" s="336"/>
      <c r="E46" s="336"/>
      <c r="F46" s="336"/>
      <c r="G46" s="336"/>
      <c r="H46" s="336"/>
      <c r="I46" s="336"/>
      <c r="J46" s="337"/>
      <c r="K46" s="337"/>
      <c r="L46" s="337"/>
    </row>
    <row r="47" spans="2:12">
      <c r="B47" s="336"/>
      <c r="C47" s="336"/>
      <c r="D47" s="336"/>
      <c r="E47" s="336"/>
      <c r="F47" s="336"/>
      <c r="G47" s="336"/>
      <c r="H47" s="336"/>
      <c r="I47" s="336"/>
    </row>
    <row r="48" spans="2:12">
      <c r="B48" s="336"/>
      <c r="C48" s="336"/>
      <c r="D48" s="336"/>
      <c r="E48" s="336"/>
      <c r="F48" s="336"/>
      <c r="G48" s="336"/>
      <c r="H48" s="336"/>
      <c r="I48" s="336"/>
    </row>
    <row r="49" spans="2:12">
      <c r="B49" s="336"/>
      <c r="C49" s="336"/>
      <c r="D49" s="336"/>
      <c r="E49" s="336"/>
      <c r="F49" s="336"/>
      <c r="G49" s="336"/>
      <c r="H49" s="336"/>
      <c r="I49" s="336"/>
    </row>
    <row r="50" spans="2:12">
      <c r="B50" s="332"/>
      <c r="C50" s="332"/>
      <c r="D50" s="332"/>
      <c r="E50" s="332"/>
      <c r="F50" s="332"/>
      <c r="G50" s="332"/>
      <c r="H50" s="332"/>
      <c r="I50" s="332"/>
      <c r="J50" s="332"/>
      <c r="K50" s="332"/>
      <c r="L50" s="332"/>
    </row>
    <row r="53" spans="2:12" ht="15.75">
      <c r="B53" s="338" t="s">
        <v>331</v>
      </c>
      <c r="C53" s="338"/>
      <c r="D53" s="338"/>
      <c r="E53" s="338"/>
      <c r="F53" s="338"/>
      <c r="G53" s="338"/>
      <c r="H53" s="338"/>
      <c r="I53" s="338"/>
      <c r="J53" s="338"/>
      <c r="K53" s="338"/>
      <c r="L53" s="338"/>
    </row>
    <row r="54" spans="2:12" ht="14.25" customHeight="1">
      <c r="B54" s="389" t="s">
        <v>332</v>
      </c>
      <c r="C54" s="390"/>
      <c r="D54" s="390"/>
      <c r="E54" s="390"/>
      <c r="F54" s="390"/>
      <c r="G54" s="390"/>
      <c r="H54" s="390"/>
      <c r="I54" s="390"/>
      <c r="J54" s="390"/>
      <c r="K54" s="390"/>
      <c r="L54" s="391"/>
    </row>
    <row r="55" spans="2:12">
      <c r="B55" s="392"/>
      <c r="C55" s="393"/>
      <c r="D55" s="393"/>
      <c r="E55" s="393"/>
      <c r="F55" s="393"/>
      <c r="G55" s="393"/>
      <c r="H55" s="393"/>
      <c r="I55" s="393"/>
      <c r="J55" s="393"/>
      <c r="K55" s="393"/>
      <c r="L55" s="394"/>
    </row>
    <row r="56" spans="2:12">
      <c r="B56" s="392"/>
      <c r="C56" s="393"/>
      <c r="D56" s="393"/>
      <c r="E56" s="393"/>
      <c r="F56" s="393"/>
      <c r="G56" s="393"/>
      <c r="H56" s="393"/>
      <c r="I56" s="393"/>
      <c r="J56" s="393"/>
      <c r="K56" s="393"/>
      <c r="L56" s="394"/>
    </row>
    <row r="57" spans="2:12">
      <c r="B57" s="392"/>
      <c r="C57" s="393"/>
      <c r="D57" s="393"/>
      <c r="E57" s="393"/>
      <c r="F57" s="393"/>
      <c r="G57" s="393"/>
      <c r="H57" s="393"/>
      <c r="I57" s="393"/>
      <c r="J57" s="393"/>
      <c r="K57" s="393"/>
      <c r="L57" s="394"/>
    </row>
    <row r="58" spans="2:12">
      <c r="B58" s="392"/>
      <c r="C58" s="393"/>
      <c r="D58" s="393"/>
      <c r="E58" s="393"/>
      <c r="F58" s="393"/>
      <c r="G58" s="393"/>
      <c r="H58" s="393"/>
      <c r="I58" s="393"/>
      <c r="J58" s="393"/>
      <c r="K58" s="393"/>
      <c r="L58" s="394"/>
    </row>
    <row r="59" spans="2:12">
      <c r="B59" s="392"/>
      <c r="C59" s="393"/>
      <c r="D59" s="393"/>
      <c r="E59" s="393"/>
      <c r="F59" s="393"/>
      <c r="G59" s="393"/>
      <c r="H59" s="393"/>
      <c r="I59" s="393"/>
      <c r="J59" s="393"/>
      <c r="K59" s="393"/>
      <c r="L59" s="394"/>
    </row>
    <row r="60" spans="2:12">
      <c r="B60" s="392"/>
      <c r="C60" s="393"/>
      <c r="D60" s="393"/>
      <c r="E60" s="393"/>
      <c r="F60" s="393"/>
      <c r="G60" s="393"/>
      <c r="H60" s="393"/>
      <c r="I60" s="393"/>
      <c r="J60" s="393"/>
      <c r="K60" s="393"/>
      <c r="L60" s="394"/>
    </row>
    <row r="61" spans="2:12">
      <c r="B61" s="392"/>
      <c r="C61" s="393"/>
      <c r="D61" s="393"/>
      <c r="E61" s="393"/>
      <c r="F61" s="393"/>
      <c r="G61" s="393"/>
      <c r="H61" s="393"/>
      <c r="I61" s="393"/>
      <c r="J61" s="393"/>
      <c r="K61" s="393"/>
      <c r="L61" s="394"/>
    </row>
    <row r="62" spans="2:12">
      <c r="B62" s="392"/>
      <c r="C62" s="393"/>
      <c r="D62" s="393"/>
      <c r="E62" s="393"/>
      <c r="F62" s="393"/>
      <c r="G62" s="393"/>
      <c r="H62" s="393"/>
      <c r="I62" s="393"/>
      <c r="J62" s="393"/>
      <c r="K62" s="393"/>
      <c r="L62" s="394"/>
    </row>
    <row r="63" spans="2:12">
      <c r="B63" s="392"/>
      <c r="C63" s="393"/>
      <c r="D63" s="393"/>
      <c r="E63" s="393"/>
      <c r="F63" s="393"/>
      <c r="G63" s="393"/>
      <c r="H63" s="393"/>
      <c r="I63" s="393"/>
      <c r="J63" s="393"/>
      <c r="K63" s="393"/>
      <c r="L63" s="394"/>
    </row>
    <row r="64" spans="2:12">
      <c r="B64" s="392"/>
      <c r="C64" s="393"/>
      <c r="D64" s="393"/>
      <c r="E64" s="393"/>
      <c r="F64" s="393"/>
      <c r="G64" s="393"/>
      <c r="H64" s="393"/>
      <c r="I64" s="393"/>
      <c r="J64" s="393"/>
      <c r="K64" s="393"/>
      <c r="L64" s="394"/>
    </row>
    <row r="65" spans="2:12">
      <c r="B65" s="392"/>
      <c r="C65" s="393"/>
      <c r="D65" s="393"/>
      <c r="E65" s="393"/>
      <c r="F65" s="393"/>
      <c r="G65" s="393"/>
      <c r="H65" s="393"/>
      <c r="I65" s="393"/>
      <c r="J65" s="393"/>
      <c r="K65" s="393"/>
      <c r="L65" s="394"/>
    </row>
    <row r="66" spans="2:12">
      <c r="B66" s="392"/>
      <c r="C66" s="393"/>
      <c r="D66" s="393"/>
      <c r="E66" s="393"/>
      <c r="F66" s="393"/>
      <c r="G66" s="393"/>
      <c r="H66" s="393"/>
      <c r="I66" s="393"/>
      <c r="J66" s="393"/>
      <c r="K66" s="393"/>
      <c r="L66" s="394"/>
    </row>
    <row r="67" spans="2:12">
      <c r="B67" s="395"/>
      <c r="C67" s="396"/>
      <c r="D67" s="396"/>
      <c r="E67" s="396"/>
      <c r="F67" s="396"/>
      <c r="G67" s="396"/>
      <c r="H67" s="396"/>
      <c r="I67" s="396"/>
      <c r="J67" s="396"/>
      <c r="K67" s="396"/>
      <c r="L67" s="397"/>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5"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31"/>
      <c r="C1" s="347" t="s">
        <v>315</v>
      </c>
      <c r="D1" s="344"/>
      <c r="E1" s="344"/>
      <c r="F1" s="344"/>
      <c r="G1" s="344"/>
      <c r="H1" s="344"/>
      <c r="I1" s="344"/>
      <c r="J1" s="344"/>
      <c r="K1" s="344"/>
      <c r="L1" s="344"/>
      <c r="M1" s="344"/>
      <c r="N1" s="344"/>
      <c r="O1" s="344"/>
      <c r="P1" s="344"/>
      <c r="Q1" s="331"/>
      <c r="R1" s="331"/>
    </row>
    <row r="2" spans="1:97" ht="18">
      <c r="H2" s="15" t="s">
        <v>45</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53" t="s">
        <v>78</v>
      </c>
      <c r="G4" s="20">
        <v>1</v>
      </c>
      <c r="H4">
        <f>Sheet2!C9</f>
        <v>1</v>
      </c>
      <c r="I4">
        <f>Sheet2!D9</f>
        <v>1</v>
      </c>
      <c r="J4">
        <f>Sheet2!E9</f>
        <v>1</v>
      </c>
      <c r="K4">
        <f>Sheet2!F9</f>
        <v>1</v>
      </c>
      <c r="L4">
        <f>Sheet2!G9</f>
        <v>1</v>
      </c>
      <c r="M4">
        <f>Sheet2!H9</f>
        <v>1</v>
      </c>
      <c r="N4">
        <f>Sheet2!I9</f>
        <v>1</v>
      </c>
      <c r="O4">
        <f>Sheet2!J9</f>
        <v>1</v>
      </c>
      <c r="P4">
        <f>Sheet2!K9</f>
        <v>1</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73</v>
      </c>
      <c r="E5" s="20" t="b">
        <v>0</v>
      </c>
    </row>
    <row r="7" spans="1:97" ht="54">
      <c r="B7" s="14" t="s">
        <v>46</v>
      </c>
      <c r="C7" s="21" t="s">
        <v>80</v>
      </c>
      <c r="D7" s="21" t="s">
        <v>70</v>
      </c>
      <c r="E7" s="21" t="s">
        <v>65</v>
      </c>
      <c r="F7" s="21" t="s">
        <v>70</v>
      </c>
      <c r="G7" s="21" t="s">
        <v>66</v>
      </c>
      <c r="H7" s="14"/>
    </row>
    <row r="8" spans="1:97" ht="15.75">
      <c r="A8" s="254"/>
      <c r="B8" s="30" t="s">
        <v>48</v>
      </c>
      <c r="C8" s="237">
        <v>0</v>
      </c>
      <c r="D8" s="22">
        <f>C8/12</f>
        <v>0</v>
      </c>
      <c r="E8" s="237"/>
      <c r="F8" s="22">
        <f>E8/12</f>
        <v>0</v>
      </c>
      <c r="G8" s="238"/>
      <c r="H8" s="242">
        <f>IF(H$4=1,C8,IF(AND(H$4=2,G$4=1),$E8,IF(AND(H$4=2,G$4=2),G8*(1+$G8),0)))</f>
        <v>0</v>
      </c>
      <c r="I8" s="242">
        <f t="shared" ref="I8:AN8" si="0">IF(I$4=1,H8,IF(AND(I$4=2,H$4=1),$E8,IF(AND(I$4=2,H$4=2),H8*(1+$G8),0)))</f>
        <v>0</v>
      </c>
      <c r="J8" s="242">
        <f t="shared" si="0"/>
        <v>0</v>
      </c>
      <c r="K8" s="242">
        <f t="shared" si="0"/>
        <v>0</v>
      </c>
      <c r="L8" s="242">
        <f t="shared" si="0"/>
        <v>0</v>
      </c>
      <c r="M8" s="242">
        <f t="shared" si="0"/>
        <v>0</v>
      </c>
      <c r="N8" s="242">
        <f t="shared" si="0"/>
        <v>0</v>
      </c>
      <c r="O8" s="242">
        <f t="shared" si="0"/>
        <v>0</v>
      </c>
      <c r="P8" s="242">
        <f t="shared" si="0"/>
        <v>0</v>
      </c>
      <c r="Q8" s="242">
        <f t="shared" si="0"/>
        <v>0</v>
      </c>
      <c r="R8" s="242">
        <f t="shared" si="0"/>
        <v>0</v>
      </c>
      <c r="S8" s="242">
        <f t="shared" si="0"/>
        <v>0</v>
      </c>
      <c r="T8" s="242">
        <f t="shared" si="0"/>
        <v>0</v>
      </c>
      <c r="U8" s="242">
        <f t="shared" si="0"/>
        <v>0</v>
      </c>
      <c r="V8" s="242">
        <f t="shared" si="0"/>
        <v>0</v>
      </c>
      <c r="W8" s="242">
        <f t="shared" si="0"/>
        <v>0</v>
      </c>
      <c r="X8" s="242">
        <f t="shared" si="0"/>
        <v>0</v>
      </c>
      <c r="Y8" s="242">
        <f t="shared" si="0"/>
        <v>0</v>
      </c>
      <c r="Z8" s="242">
        <f t="shared" si="0"/>
        <v>0</v>
      </c>
      <c r="AA8" s="242">
        <f t="shared" si="0"/>
        <v>0</v>
      </c>
      <c r="AB8" s="242">
        <f t="shared" si="0"/>
        <v>0</v>
      </c>
      <c r="AC8" s="242">
        <f t="shared" si="0"/>
        <v>0</v>
      </c>
      <c r="AD8" s="242">
        <f t="shared" si="0"/>
        <v>0</v>
      </c>
      <c r="AE8" s="242">
        <f t="shared" si="0"/>
        <v>0</v>
      </c>
      <c r="AF8" s="242">
        <f t="shared" si="0"/>
        <v>0</v>
      </c>
      <c r="AG8" s="242">
        <f t="shared" si="0"/>
        <v>0</v>
      </c>
      <c r="AH8" s="242">
        <f t="shared" si="0"/>
        <v>0</v>
      </c>
      <c r="AI8" s="242">
        <f t="shared" si="0"/>
        <v>0</v>
      </c>
      <c r="AJ8" s="242">
        <f t="shared" si="0"/>
        <v>0</v>
      </c>
      <c r="AK8" s="242">
        <f t="shared" si="0"/>
        <v>0</v>
      </c>
      <c r="AL8" s="242">
        <f t="shared" si="0"/>
        <v>0</v>
      </c>
      <c r="AM8" s="242">
        <f t="shared" si="0"/>
        <v>0</v>
      </c>
      <c r="AN8" s="242">
        <f t="shared" si="0"/>
        <v>0</v>
      </c>
      <c r="AO8" s="242">
        <f t="shared" ref="AO8:BT8" si="1">IF(AO$4=1,AN8,IF(AND(AO$4=2,AN$4=1),$E8,IF(AND(AO$4=2,AN$4=2),AN8*(1+$G8),0)))</f>
        <v>0</v>
      </c>
      <c r="AP8" s="242">
        <f t="shared" si="1"/>
        <v>0</v>
      </c>
      <c r="AQ8" s="242">
        <f t="shared" si="1"/>
        <v>0</v>
      </c>
      <c r="AR8" s="242">
        <f t="shared" si="1"/>
        <v>0</v>
      </c>
      <c r="AS8" s="242">
        <f t="shared" si="1"/>
        <v>0</v>
      </c>
      <c r="AT8" s="242">
        <f t="shared" si="1"/>
        <v>0</v>
      </c>
      <c r="AU8" s="242">
        <f t="shared" si="1"/>
        <v>0</v>
      </c>
      <c r="AV8" s="242">
        <f t="shared" si="1"/>
        <v>0</v>
      </c>
      <c r="AW8" s="242">
        <f t="shared" si="1"/>
        <v>0</v>
      </c>
      <c r="AX8" s="242">
        <f t="shared" si="1"/>
        <v>0</v>
      </c>
      <c r="AY8" s="242">
        <f t="shared" si="1"/>
        <v>0</v>
      </c>
      <c r="AZ8" s="242">
        <f t="shared" si="1"/>
        <v>0</v>
      </c>
      <c r="BA8" s="242">
        <f t="shared" si="1"/>
        <v>0</v>
      </c>
      <c r="BB8" s="242">
        <f t="shared" si="1"/>
        <v>0</v>
      </c>
      <c r="BC8" s="242">
        <f t="shared" si="1"/>
        <v>0</v>
      </c>
      <c r="BD8" s="242">
        <f t="shared" si="1"/>
        <v>0</v>
      </c>
      <c r="BE8" s="242">
        <f t="shared" si="1"/>
        <v>0</v>
      </c>
      <c r="BF8" s="242">
        <f t="shared" si="1"/>
        <v>0</v>
      </c>
      <c r="BG8" s="242">
        <f t="shared" si="1"/>
        <v>0</v>
      </c>
      <c r="BH8" s="242">
        <f t="shared" si="1"/>
        <v>0</v>
      </c>
      <c r="BI8" s="242">
        <f t="shared" si="1"/>
        <v>0</v>
      </c>
      <c r="BJ8" s="242">
        <f t="shared" si="1"/>
        <v>0</v>
      </c>
      <c r="BK8" s="242">
        <f t="shared" si="1"/>
        <v>0</v>
      </c>
      <c r="BL8" s="242">
        <f t="shared" si="1"/>
        <v>0</v>
      </c>
      <c r="BM8" s="242">
        <f t="shared" si="1"/>
        <v>0</v>
      </c>
      <c r="BN8" s="242">
        <f t="shared" si="1"/>
        <v>0</v>
      </c>
      <c r="BO8" s="242">
        <f t="shared" si="1"/>
        <v>0</v>
      </c>
      <c r="BP8" s="242">
        <f t="shared" si="1"/>
        <v>0</v>
      </c>
      <c r="BQ8" s="242">
        <f t="shared" si="1"/>
        <v>0</v>
      </c>
      <c r="BR8" s="242">
        <f t="shared" si="1"/>
        <v>0</v>
      </c>
      <c r="BS8" s="242">
        <f t="shared" si="1"/>
        <v>0</v>
      </c>
      <c r="BT8" s="242">
        <f t="shared" si="1"/>
        <v>0</v>
      </c>
      <c r="BU8" s="242">
        <f t="shared" ref="BU8:CS8" si="2">IF(BU$4=1,BT8,IF(AND(BU$4=2,BT$4=1),$E8,IF(AND(BU$4=2,BT$4=2),BT8*(1+$G8),0)))</f>
        <v>0</v>
      </c>
      <c r="BV8" s="242">
        <f t="shared" si="2"/>
        <v>0</v>
      </c>
      <c r="BW8" s="242">
        <f t="shared" si="2"/>
        <v>0</v>
      </c>
      <c r="BX8" s="242">
        <f t="shared" si="2"/>
        <v>0</v>
      </c>
      <c r="BY8" s="242">
        <f t="shared" si="2"/>
        <v>0</v>
      </c>
      <c r="BZ8" s="242">
        <f t="shared" si="2"/>
        <v>0</v>
      </c>
      <c r="CA8" s="242">
        <f t="shared" si="2"/>
        <v>0</v>
      </c>
      <c r="CB8" s="242">
        <f t="shared" si="2"/>
        <v>0</v>
      </c>
      <c r="CC8" s="242">
        <f t="shared" si="2"/>
        <v>0</v>
      </c>
      <c r="CD8" s="242">
        <f t="shared" si="2"/>
        <v>0</v>
      </c>
      <c r="CE8" s="242">
        <f t="shared" si="2"/>
        <v>0</v>
      </c>
      <c r="CF8" s="242">
        <f t="shared" si="2"/>
        <v>0</v>
      </c>
      <c r="CG8" s="242">
        <f t="shared" si="2"/>
        <v>0</v>
      </c>
      <c r="CH8" s="242">
        <f t="shared" si="2"/>
        <v>0</v>
      </c>
      <c r="CI8" s="242">
        <f t="shared" si="2"/>
        <v>0</v>
      </c>
      <c r="CJ8" s="242">
        <f t="shared" si="2"/>
        <v>0</v>
      </c>
      <c r="CK8" s="242">
        <f t="shared" si="2"/>
        <v>0</v>
      </c>
      <c r="CL8" s="242">
        <f t="shared" si="2"/>
        <v>0</v>
      </c>
      <c r="CM8" s="242">
        <f t="shared" si="2"/>
        <v>0</v>
      </c>
      <c r="CN8" s="242">
        <f t="shared" si="2"/>
        <v>0</v>
      </c>
      <c r="CO8" s="242">
        <f t="shared" si="2"/>
        <v>0</v>
      </c>
      <c r="CP8" s="242">
        <f t="shared" si="2"/>
        <v>0</v>
      </c>
      <c r="CQ8" s="242">
        <f t="shared" si="2"/>
        <v>0</v>
      </c>
      <c r="CR8" s="242">
        <f t="shared" si="2"/>
        <v>0</v>
      </c>
      <c r="CS8" s="242">
        <f t="shared" si="2"/>
        <v>0</v>
      </c>
    </row>
    <row r="9" spans="1:97" ht="15.75">
      <c r="A9" s="254"/>
      <c r="B9" s="30" t="s">
        <v>47</v>
      </c>
      <c r="C9" s="237">
        <v>6000</v>
      </c>
      <c r="D9" s="22">
        <f t="shared" ref="D9:D36" si="3">C9/12</f>
        <v>500</v>
      </c>
      <c r="E9" s="237"/>
      <c r="F9" s="22">
        <f t="shared" ref="F9:F36" si="4">E9/12</f>
        <v>0</v>
      </c>
      <c r="G9" s="238">
        <v>0.02</v>
      </c>
      <c r="H9" s="242">
        <f t="shared" ref="H9:H25" si="5">IF(H$4=1,C9,IF(AND(H$4=2,G$4=1),$E9,IF(AND(H$4=2,G$4=2),G9*(1+$G9),0)))</f>
        <v>6000</v>
      </c>
      <c r="I9" s="242">
        <f t="shared" ref="I9:AN9" si="6">IF(I$4=1,H9,IF(AND(I$4=2,H$4=1),$E9,IF(AND(I$4=2,H$4=2),H9*(1+$G9),0)))</f>
        <v>6000</v>
      </c>
      <c r="J9" s="242">
        <f t="shared" si="6"/>
        <v>6000</v>
      </c>
      <c r="K9" s="242">
        <f t="shared" si="6"/>
        <v>6000</v>
      </c>
      <c r="L9" s="242">
        <f t="shared" si="6"/>
        <v>6000</v>
      </c>
      <c r="M9" s="242">
        <f t="shared" si="6"/>
        <v>6000</v>
      </c>
      <c r="N9" s="242">
        <f t="shared" si="6"/>
        <v>6000</v>
      </c>
      <c r="O9" s="242">
        <f t="shared" si="6"/>
        <v>6000</v>
      </c>
      <c r="P9" s="242">
        <f t="shared" si="6"/>
        <v>6000</v>
      </c>
      <c r="Q9" s="242">
        <f t="shared" si="6"/>
        <v>0</v>
      </c>
      <c r="R9" s="242">
        <f t="shared" si="6"/>
        <v>0</v>
      </c>
      <c r="S9" s="242">
        <f t="shared" si="6"/>
        <v>0</v>
      </c>
      <c r="T9" s="242">
        <f t="shared" si="6"/>
        <v>0</v>
      </c>
      <c r="U9" s="242">
        <f t="shared" si="6"/>
        <v>0</v>
      </c>
      <c r="V9" s="242">
        <f t="shared" si="6"/>
        <v>0</v>
      </c>
      <c r="W9" s="242">
        <f t="shared" si="6"/>
        <v>0</v>
      </c>
      <c r="X9" s="242">
        <f t="shared" si="6"/>
        <v>0</v>
      </c>
      <c r="Y9" s="242">
        <f t="shared" si="6"/>
        <v>0</v>
      </c>
      <c r="Z9" s="242">
        <f t="shared" si="6"/>
        <v>0</v>
      </c>
      <c r="AA9" s="242">
        <f t="shared" si="6"/>
        <v>0</v>
      </c>
      <c r="AB9" s="242">
        <f t="shared" si="6"/>
        <v>0</v>
      </c>
      <c r="AC9" s="242">
        <f t="shared" si="6"/>
        <v>0</v>
      </c>
      <c r="AD9" s="242">
        <f t="shared" si="6"/>
        <v>0</v>
      </c>
      <c r="AE9" s="242">
        <f t="shared" si="6"/>
        <v>0</v>
      </c>
      <c r="AF9" s="242">
        <f t="shared" si="6"/>
        <v>0</v>
      </c>
      <c r="AG9" s="242">
        <f t="shared" si="6"/>
        <v>0</v>
      </c>
      <c r="AH9" s="242">
        <f t="shared" si="6"/>
        <v>0</v>
      </c>
      <c r="AI9" s="242">
        <f t="shared" si="6"/>
        <v>0</v>
      </c>
      <c r="AJ9" s="242">
        <f t="shared" si="6"/>
        <v>0</v>
      </c>
      <c r="AK9" s="242">
        <f t="shared" si="6"/>
        <v>0</v>
      </c>
      <c r="AL9" s="242">
        <f t="shared" si="6"/>
        <v>0</v>
      </c>
      <c r="AM9" s="242">
        <f t="shared" si="6"/>
        <v>0</v>
      </c>
      <c r="AN9" s="242">
        <f t="shared" si="6"/>
        <v>0</v>
      </c>
      <c r="AO9" s="242">
        <f t="shared" ref="AO9:BT9" si="7">IF(AO$4=1,AN9,IF(AND(AO$4=2,AN$4=1),$E9,IF(AND(AO$4=2,AN$4=2),AN9*(1+$G9),0)))</f>
        <v>0</v>
      </c>
      <c r="AP9" s="242">
        <f t="shared" si="7"/>
        <v>0</v>
      </c>
      <c r="AQ9" s="242">
        <f t="shared" si="7"/>
        <v>0</v>
      </c>
      <c r="AR9" s="242">
        <f t="shared" si="7"/>
        <v>0</v>
      </c>
      <c r="AS9" s="242">
        <f t="shared" si="7"/>
        <v>0</v>
      </c>
      <c r="AT9" s="242">
        <f t="shared" si="7"/>
        <v>0</v>
      </c>
      <c r="AU9" s="242">
        <f t="shared" si="7"/>
        <v>0</v>
      </c>
      <c r="AV9" s="242">
        <f t="shared" si="7"/>
        <v>0</v>
      </c>
      <c r="AW9" s="242">
        <f t="shared" si="7"/>
        <v>0</v>
      </c>
      <c r="AX9" s="242">
        <f t="shared" si="7"/>
        <v>0</v>
      </c>
      <c r="AY9" s="242">
        <f t="shared" si="7"/>
        <v>0</v>
      </c>
      <c r="AZ9" s="242">
        <f t="shared" si="7"/>
        <v>0</v>
      </c>
      <c r="BA9" s="242">
        <f t="shared" si="7"/>
        <v>0</v>
      </c>
      <c r="BB9" s="242">
        <f t="shared" si="7"/>
        <v>0</v>
      </c>
      <c r="BC9" s="242">
        <f t="shared" si="7"/>
        <v>0</v>
      </c>
      <c r="BD9" s="242">
        <f t="shared" si="7"/>
        <v>0</v>
      </c>
      <c r="BE9" s="242">
        <f t="shared" si="7"/>
        <v>0</v>
      </c>
      <c r="BF9" s="242">
        <f t="shared" si="7"/>
        <v>0</v>
      </c>
      <c r="BG9" s="242">
        <f t="shared" si="7"/>
        <v>0</v>
      </c>
      <c r="BH9" s="242">
        <f t="shared" si="7"/>
        <v>0</v>
      </c>
      <c r="BI9" s="242">
        <f t="shared" si="7"/>
        <v>0</v>
      </c>
      <c r="BJ9" s="242">
        <f t="shared" si="7"/>
        <v>0</v>
      </c>
      <c r="BK9" s="242">
        <f t="shared" si="7"/>
        <v>0</v>
      </c>
      <c r="BL9" s="242">
        <f t="shared" si="7"/>
        <v>0</v>
      </c>
      <c r="BM9" s="242">
        <f t="shared" si="7"/>
        <v>0</v>
      </c>
      <c r="BN9" s="242">
        <f t="shared" si="7"/>
        <v>0</v>
      </c>
      <c r="BO9" s="242">
        <f t="shared" si="7"/>
        <v>0</v>
      </c>
      <c r="BP9" s="242">
        <f t="shared" si="7"/>
        <v>0</v>
      </c>
      <c r="BQ9" s="242">
        <f t="shared" si="7"/>
        <v>0</v>
      </c>
      <c r="BR9" s="242">
        <f t="shared" si="7"/>
        <v>0</v>
      </c>
      <c r="BS9" s="242">
        <f t="shared" si="7"/>
        <v>0</v>
      </c>
      <c r="BT9" s="242">
        <f t="shared" si="7"/>
        <v>0</v>
      </c>
      <c r="BU9" s="242">
        <f t="shared" ref="BU9:CS9" si="8">IF(BU$4=1,BT9,IF(AND(BU$4=2,BT$4=1),$E9,IF(AND(BU$4=2,BT$4=2),BT9*(1+$G9),0)))</f>
        <v>0</v>
      </c>
      <c r="BV9" s="242">
        <f t="shared" si="8"/>
        <v>0</v>
      </c>
      <c r="BW9" s="242">
        <f t="shared" si="8"/>
        <v>0</v>
      </c>
      <c r="BX9" s="242">
        <f t="shared" si="8"/>
        <v>0</v>
      </c>
      <c r="BY9" s="242">
        <f t="shared" si="8"/>
        <v>0</v>
      </c>
      <c r="BZ9" s="242">
        <f t="shared" si="8"/>
        <v>0</v>
      </c>
      <c r="CA9" s="242">
        <f t="shared" si="8"/>
        <v>0</v>
      </c>
      <c r="CB9" s="242">
        <f t="shared" si="8"/>
        <v>0</v>
      </c>
      <c r="CC9" s="242">
        <f t="shared" si="8"/>
        <v>0</v>
      </c>
      <c r="CD9" s="242">
        <f t="shared" si="8"/>
        <v>0</v>
      </c>
      <c r="CE9" s="242">
        <f t="shared" si="8"/>
        <v>0</v>
      </c>
      <c r="CF9" s="242">
        <f t="shared" si="8"/>
        <v>0</v>
      </c>
      <c r="CG9" s="242">
        <f t="shared" si="8"/>
        <v>0</v>
      </c>
      <c r="CH9" s="242">
        <f t="shared" si="8"/>
        <v>0</v>
      </c>
      <c r="CI9" s="242">
        <f t="shared" si="8"/>
        <v>0</v>
      </c>
      <c r="CJ9" s="242">
        <f t="shared" si="8"/>
        <v>0</v>
      </c>
      <c r="CK9" s="242">
        <f t="shared" si="8"/>
        <v>0</v>
      </c>
      <c r="CL9" s="242">
        <f t="shared" si="8"/>
        <v>0</v>
      </c>
      <c r="CM9" s="242">
        <f t="shared" si="8"/>
        <v>0</v>
      </c>
      <c r="CN9" s="242">
        <f t="shared" si="8"/>
        <v>0</v>
      </c>
      <c r="CO9" s="242">
        <f t="shared" si="8"/>
        <v>0</v>
      </c>
      <c r="CP9" s="242">
        <f t="shared" si="8"/>
        <v>0</v>
      </c>
      <c r="CQ9" s="242">
        <f t="shared" si="8"/>
        <v>0</v>
      </c>
      <c r="CR9" s="242">
        <f t="shared" si="8"/>
        <v>0</v>
      </c>
      <c r="CS9" s="242">
        <f t="shared" si="8"/>
        <v>0</v>
      </c>
    </row>
    <row r="10" spans="1:97" ht="15.75">
      <c r="A10" s="254"/>
      <c r="B10" s="30" t="s">
        <v>49</v>
      </c>
      <c r="C10" s="237">
        <v>11000</v>
      </c>
      <c r="D10" s="22">
        <f t="shared" si="3"/>
        <v>916.66666666666663</v>
      </c>
      <c r="E10" s="237"/>
      <c r="F10" s="22">
        <f t="shared" si="4"/>
        <v>0</v>
      </c>
      <c r="G10" s="238">
        <v>2.5000000000000001E-2</v>
      </c>
      <c r="H10" s="242">
        <f t="shared" si="5"/>
        <v>11000</v>
      </c>
      <c r="I10" s="242">
        <f t="shared" ref="I10:AN10" si="9">IF(I$4=1,H10,IF(AND(I$4=2,H$4=1),$E10,IF(AND(I$4=2,H$4=2),H10*(1+$G10),0)))</f>
        <v>11000</v>
      </c>
      <c r="J10" s="242">
        <f t="shared" si="9"/>
        <v>11000</v>
      </c>
      <c r="K10" s="242">
        <f t="shared" si="9"/>
        <v>11000</v>
      </c>
      <c r="L10" s="242">
        <f t="shared" si="9"/>
        <v>11000</v>
      </c>
      <c r="M10" s="242">
        <f t="shared" si="9"/>
        <v>11000</v>
      </c>
      <c r="N10" s="242">
        <f t="shared" si="9"/>
        <v>11000</v>
      </c>
      <c r="O10" s="242">
        <f t="shared" si="9"/>
        <v>11000</v>
      </c>
      <c r="P10" s="242">
        <f t="shared" si="9"/>
        <v>11000</v>
      </c>
      <c r="Q10" s="242">
        <f t="shared" si="9"/>
        <v>0</v>
      </c>
      <c r="R10" s="242">
        <f t="shared" si="9"/>
        <v>0</v>
      </c>
      <c r="S10" s="242">
        <f t="shared" si="9"/>
        <v>0</v>
      </c>
      <c r="T10" s="242">
        <f t="shared" si="9"/>
        <v>0</v>
      </c>
      <c r="U10" s="242">
        <f t="shared" si="9"/>
        <v>0</v>
      </c>
      <c r="V10" s="242">
        <f t="shared" si="9"/>
        <v>0</v>
      </c>
      <c r="W10" s="242">
        <f t="shared" si="9"/>
        <v>0</v>
      </c>
      <c r="X10" s="242">
        <f t="shared" si="9"/>
        <v>0</v>
      </c>
      <c r="Y10" s="242">
        <f t="shared" si="9"/>
        <v>0</v>
      </c>
      <c r="Z10" s="242">
        <f t="shared" si="9"/>
        <v>0</v>
      </c>
      <c r="AA10" s="242">
        <f t="shared" si="9"/>
        <v>0</v>
      </c>
      <c r="AB10" s="242">
        <f t="shared" si="9"/>
        <v>0</v>
      </c>
      <c r="AC10" s="242">
        <f t="shared" si="9"/>
        <v>0</v>
      </c>
      <c r="AD10" s="242">
        <f t="shared" si="9"/>
        <v>0</v>
      </c>
      <c r="AE10" s="242">
        <f t="shared" si="9"/>
        <v>0</v>
      </c>
      <c r="AF10" s="242">
        <f t="shared" si="9"/>
        <v>0</v>
      </c>
      <c r="AG10" s="242">
        <f t="shared" si="9"/>
        <v>0</v>
      </c>
      <c r="AH10" s="242">
        <f t="shared" si="9"/>
        <v>0</v>
      </c>
      <c r="AI10" s="242">
        <f t="shared" si="9"/>
        <v>0</v>
      </c>
      <c r="AJ10" s="242">
        <f t="shared" si="9"/>
        <v>0</v>
      </c>
      <c r="AK10" s="242">
        <f t="shared" si="9"/>
        <v>0</v>
      </c>
      <c r="AL10" s="242">
        <f t="shared" si="9"/>
        <v>0</v>
      </c>
      <c r="AM10" s="242">
        <f t="shared" si="9"/>
        <v>0</v>
      </c>
      <c r="AN10" s="242">
        <f t="shared" si="9"/>
        <v>0</v>
      </c>
      <c r="AO10" s="242">
        <f t="shared" ref="AO10:BT10" si="10">IF(AO$4=1,AN10,IF(AND(AO$4=2,AN$4=1),$E10,IF(AND(AO$4=2,AN$4=2),AN10*(1+$G10),0)))</f>
        <v>0</v>
      </c>
      <c r="AP10" s="242">
        <f t="shared" si="10"/>
        <v>0</v>
      </c>
      <c r="AQ10" s="242">
        <f t="shared" si="10"/>
        <v>0</v>
      </c>
      <c r="AR10" s="242">
        <f t="shared" si="10"/>
        <v>0</v>
      </c>
      <c r="AS10" s="242">
        <f t="shared" si="10"/>
        <v>0</v>
      </c>
      <c r="AT10" s="242">
        <f t="shared" si="10"/>
        <v>0</v>
      </c>
      <c r="AU10" s="242">
        <f t="shared" si="10"/>
        <v>0</v>
      </c>
      <c r="AV10" s="242">
        <f t="shared" si="10"/>
        <v>0</v>
      </c>
      <c r="AW10" s="242">
        <f t="shared" si="10"/>
        <v>0</v>
      </c>
      <c r="AX10" s="242">
        <f t="shared" si="10"/>
        <v>0</v>
      </c>
      <c r="AY10" s="242">
        <f t="shared" si="10"/>
        <v>0</v>
      </c>
      <c r="AZ10" s="242">
        <f t="shared" si="10"/>
        <v>0</v>
      </c>
      <c r="BA10" s="242">
        <f t="shared" si="10"/>
        <v>0</v>
      </c>
      <c r="BB10" s="242">
        <f t="shared" si="10"/>
        <v>0</v>
      </c>
      <c r="BC10" s="242">
        <f t="shared" si="10"/>
        <v>0</v>
      </c>
      <c r="BD10" s="242">
        <f t="shared" si="10"/>
        <v>0</v>
      </c>
      <c r="BE10" s="242">
        <f t="shared" si="10"/>
        <v>0</v>
      </c>
      <c r="BF10" s="242">
        <f t="shared" si="10"/>
        <v>0</v>
      </c>
      <c r="BG10" s="242">
        <f t="shared" si="10"/>
        <v>0</v>
      </c>
      <c r="BH10" s="242">
        <f t="shared" si="10"/>
        <v>0</v>
      </c>
      <c r="BI10" s="242">
        <f t="shared" si="10"/>
        <v>0</v>
      </c>
      <c r="BJ10" s="242">
        <f t="shared" si="10"/>
        <v>0</v>
      </c>
      <c r="BK10" s="242">
        <f t="shared" si="10"/>
        <v>0</v>
      </c>
      <c r="BL10" s="242">
        <f t="shared" si="10"/>
        <v>0</v>
      </c>
      <c r="BM10" s="242">
        <f t="shared" si="10"/>
        <v>0</v>
      </c>
      <c r="BN10" s="242">
        <f t="shared" si="10"/>
        <v>0</v>
      </c>
      <c r="BO10" s="242">
        <f t="shared" si="10"/>
        <v>0</v>
      </c>
      <c r="BP10" s="242">
        <f t="shared" si="10"/>
        <v>0</v>
      </c>
      <c r="BQ10" s="242">
        <f t="shared" si="10"/>
        <v>0</v>
      </c>
      <c r="BR10" s="242">
        <f t="shared" si="10"/>
        <v>0</v>
      </c>
      <c r="BS10" s="242">
        <f t="shared" si="10"/>
        <v>0</v>
      </c>
      <c r="BT10" s="242">
        <f t="shared" si="10"/>
        <v>0</v>
      </c>
      <c r="BU10" s="242">
        <f t="shared" ref="BU10:CS10" si="11">IF(BU$4=1,BT10,IF(AND(BU$4=2,BT$4=1),$E10,IF(AND(BU$4=2,BT$4=2),BT10*(1+$G10),0)))</f>
        <v>0</v>
      </c>
      <c r="BV10" s="242">
        <f t="shared" si="11"/>
        <v>0</v>
      </c>
      <c r="BW10" s="242">
        <f t="shared" si="11"/>
        <v>0</v>
      </c>
      <c r="BX10" s="242">
        <f t="shared" si="11"/>
        <v>0</v>
      </c>
      <c r="BY10" s="242">
        <f t="shared" si="11"/>
        <v>0</v>
      </c>
      <c r="BZ10" s="242">
        <f t="shared" si="11"/>
        <v>0</v>
      </c>
      <c r="CA10" s="242">
        <f t="shared" si="11"/>
        <v>0</v>
      </c>
      <c r="CB10" s="242">
        <f t="shared" si="11"/>
        <v>0</v>
      </c>
      <c r="CC10" s="242">
        <f t="shared" si="11"/>
        <v>0</v>
      </c>
      <c r="CD10" s="242">
        <f t="shared" si="11"/>
        <v>0</v>
      </c>
      <c r="CE10" s="242">
        <f t="shared" si="11"/>
        <v>0</v>
      </c>
      <c r="CF10" s="242">
        <f t="shared" si="11"/>
        <v>0</v>
      </c>
      <c r="CG10" s="242">
        <f t="shared" si="11"/>
        <v>0</v>
      </c>
      <c r="CH10" s="242">
        <f t="shared" si="11"/>
        <v>0</v>
      </c>
      <c r="CI10" s="242">
        <f t="shared" si="11"/>
        <v>0</v>
      </c>
      <c r="CJ10" s="242">
        <f t="shared" si="11"/>
        <v>0</v>
      </c>
      <c r="CK10" s="242">
        <f t="shared" si="11"/>
        <v>0</v>
      </c>
      <c r="CL10" s="242">
        <f t="shared" si="11"/>
        <v>0</v>
      </c>
      <c r="CM10" s="242">
        <f t="shared" si="11"/>
        <v>0</v>
      </c>
      <c r="CN10" s="242">
        <f t="shared" si="11"/>
        <v>0</v>
      </c>
      <c r="CO10" s="242">
        <f t="shared" si="11"/>
        <v>0</v>
      </c>
      <c r="CP10" s="242">
        <f t="shared" si="11"/>
        <v>0</v>
      </c>
      <c r="CQ10" s="242">
        <f t="shared" si="11"/>
        <v>0</v>
      </c>
      <c r="CR10" s="242">
        <f t="shared" si="11"/>
        <v>0</v>
      </c>
      <c r="CS10" s="242">
        <f t="shared" si="11"/>
        <v>0</v>
      </c>
    </row>
    <row r="11" spans="1:97" ht="15.75">
      <c r="A11" s="254"/>
      <c r="B11" s="30" t="s">
        <v>50</v>
      </c>
      <c r="C11" s="237">
        <v>0</v>
      </c>
      <c r="D11" s="22">
        <f t="shared" si="3"/>
        <v>0</v>
      </c>
      <c r="E11" s="237"/>
      <c r="F11" s="22">
        <f t="shared" si="4"/>
        <v>0</v>
      </c>
      <c r="G11" s="238"/>
      <c r="H11" s="242">
        <f t="shared" si="5"/>
        <v>0</v>
      </c>
      <c r="I11" s="242">
        <f t="shared" ref="I11:AN11" si="12">IF(I$4=1,H11,IF(AND(I$4=2,H$4=1),$E11,IF(AND(I$4=2,H$4=2),H11*(1+$G11),0)))</f>
        <v>0</v>
      </c>
      <c r="J11" s="242">
        <f t="shared" si="12"/>
        <v>0</v>
      </c>
      <c r="K11" s="242">
        <f t="shared" si="12"/>
        <v>0</v>
      </c>
      <c r="L11" s="242">
        <f t="shared" si="12"/>
        <v>0</v>
      </c>
      <c r="M11" s="242">
        <f t="shared" si="12"/>
        <v>0</v>
      </c>
      <c r="N11" s="242">
        <f t="shared" si="12"/>
        <v>0</v>
      </c>
      <c r="O11" s="242">
        <f t="shared" si="12"/>
        <v>0</v>
      </c>
      <c r="P11" s="242">
        <f t="shared" si="12"/>
        <v>0</v>
      </c>
      <c r="Q11" s="242">
        <f t="shared" si="12"/>
        <v>0</v>
      </c>
      <c r="R11" s="242">
        <f t="shared" si="12"/>
        <v>0</v>
      </c>
      <c r="S11" s="242">
        <f t="shared" si="12"/>
        <v>0</v>
      </c>
      <c r="T11" s="242">
        <f t="shared" si="12"/>
        <v>0</v>
      </c>
      <c r="U11" s="242">
        <f t="shared" si="12"/>
        <v>0</v>
      </c>
      <c r="V11" s="242">
        <f t="shared" si="12"/>
        <v>0</v>
      </c>
      <c r="W11" s="242">
        <f t="shared" si="12"/>
        <v>0</v>
      </c>
      <c r="X11" s="242">
        <f t="shared" si="12"/>
        <v>0</v>
      </c>
      <c r="Y11" s="242">
        <f t="shared" si="12"/>
        <v>0</v>
      </c>
      <c r="Z11" s="242">
        <f t="shared" si="12"/>
        <v>0</v>
      </c>
      <c r="AA11" s="242">
        <f t="shared" si="12"/>
        <v>0</v>
      </c>
      <c r="AB11" s="242">
        <f t="shared" si="12"/>
        <v>0</v>
      </c>
      <c r="AC11" s="242">
        <f t="shared" si="12"/>
        <v>0</v>
      </c>
      <c r="AD11" s="242">
        <f t="shared" si="12"/>
        <v>0</v>
      </c>
      <c r="AE11" s="242">
        <f t="shared" si="12"/>
        <v>0</v>
      </c>
      <c r="AF11" s="242">
        <f t="shared" si="12"/>
        <v>0</v>
      </c>
      <c r="AG11" s="242">
        <f t="shared" si="12"/>
        <v>0</v>
      </c>
      <c r="AH11" s="242">
        <f t="shared" si="12"/>
        <v>0</v>
      </c>
      <c r="AI11" s="242">
        <f t="shared" si="12"/>
        <v>0</v>
      </c>
      <c r="AJ11" s="242">
        <f t="shared" si="12"/>
        <v>0</v>
      </c>
      <c r="AK11" s="242">
        <f t="shared" si="12"/>
        <v>0</v>
      </c>
      <c r="AL11" s="242">
        <f t="shared" si="12"/>
        <v>0</v>
      </c>
      <c r="AM11" s="242">
        <f t="shared" si="12"/>
        <v>0</v>
      </c>
      <c r="AN11" s="242">
        <f t="shared" si="12"/>
        <v>0</v>
      </c>
      <c r="AO11" s="242">
        <f t="shared" ref="AO11:BT11" si="13">IF(AO$4=1,AN11,IF(AND(AO$4=2,AN$4=1),$E11,IF(AND(AO$4=2,AN$4=2),AN11*(1+$G11),0)))</f>
        <v>0</v>
      </c>
      <c r="AP11" s="242">
        <f t="shared" si="13"/>
        <v>0</v>
      </c>
      <c r="AQ11" s="242">
        <f t="shared" si="13"/>
        <v>0</v>
      </c>
      <c r="AR11" s="242">
        <f t="shared" si="13"/>
        <v>0</v>
      </c>
      <c r="AS11" s="242">
        <f t="shared" si="13"/>
        <v>0</v>
      </c>
      <c r="AT11" s="242">
        <f t="shared" si="13"/>
        <v>0</v>
      </c>
      <c r="AU11" s="242">
        <f t="shared" si="13"/>
        <v>0</v>
      </c>
      <c r="AV11" s="242">
        <f t="shared" si="13"/>
        <v>0</v>
      </c>
      <c r="AW11" s="242">
        <f t="shared" si="13"/>
        <v>0</v>
      </c>
      <c r="AX11" s="242">
        <f t="shared" si="13"/>
        <v>0</v>
      </c>
      <c r="AY11" s="242">
        <f t="shared" si="13"/>
        <v>0</v>
      </c>
      <c r="AZ11" s="242">
        <f t="shared" si="13"/>
        <v>0</v>
      </c>
      <c r="BA11" s="242">
        <f t="shared" si="13"/>
        <v>0</v>
      </c>
      <c r="BB11" s="242">
        <f t="shared" si="13"/>
        <v>0</v>
      </c>
      <c r="BC11" s="242">
        <f t="shared" si="13"/>
        <v>0</v>
      </c>
      <c r="BD11" s="242">
        <f t="shared" si="13"/>
        <v>0</v>
      </c>
      <c r="BE11" s="242">
        <f t="shared" si="13"/>
        <v>0</v>
      </c>
      <c r="BF11" s="242">
        <f t="shared" si="13"/>
        <v>0</v>
      </c>
      <c r="BG11" s="242">
        <f t="shared" si="13"/>
        <v>0</v>
      </c>
      <c r="BH11" s="242">
        <f t="shared" si="13"/>
        <v>0</v>
      </c>
      <c r="BI11" s="242">
        <f t="shared" si="13"/>
        <v>0</v>
      </c>
      <c r="BJ11" s="242">
        <f t="shared" si="13"/>
        <v>0</v>
      </c>
      <c r="BK11" s="242">
        <f t="shared" si="13"/>
        <v>0</v>
      </c>
      <c r="BL11" s="242">
        <f t="shared" si="13"/>
        <v>0</v>
      </c>
      <c r="BM11" s="242">
        <f t="shared" si="13"/>
        <v>0</v>
      </c>
      <c r="BN11" s="242">
        <f t="shared" si="13"/>
        <v>0</v>
      </c>
      <c r="BO11" s="242">
        <f t="shared" si="13"/>
        <v>0</v>
      </c>
      <c r="BP11" s="242">
        <f t="shared" si="13"/>
        <v>0</v>
      </c>
      <c r="BQ11" s="242">
        <f t="shared" si="13"/>
        <v>0</v>
      </c>
      <c r="BR11" s="242">
        <f t="shared" si="13"/>
        <v>0</v>
      </c>
      <c r="BS11" s="242">
        <f t="shared" si="13"/>
        <v>0</v>
      </c>
      <c r="BT11" s="242">
        <f t="shared" si="13"/>
        <v>0</v>
      </c>
      <c r="BU11" s="242">
        <f t="shared" ref="BU11:CS11" si="14">IF(BU$4=1,BT11,IF(AND(BU$4=2,BT$4=1),$E11,IF(AND(BU$4=2,BT$4=2),BT11*(1+$G11),0)))</f>
        <v>0</v>
      </c>
      <c r="BV11" s="242">
        <f t="shared" si="14"/>
        <v>0</v>
      </c>
      <c r="BW11" s="242">
        <f t="shared" si="14"/>
        <v>0</v>
      </c>
      <c r="BX11" s="242">
        <f t="shared" si="14"/>
        <v>0</v>
      </c>
      <c r="BY11" s="242">
        <f t="shared" si="14"/>
        <v>0</v>
      </c>
      <c r="BZ11" s="242">
        <f t="shared" si="14"/>
        <v>0</v>
      </c>
      <c r="CA11" s="242">
        <f t="shared" si="14"/>
        <v>0</v>
      </c>
      <c r="CB11" s="242">
        <f t="shared" si="14"/>
        <v>0</v>
      </c>
      <c r="CC11" s="242">
        <f t="shared" si="14"/>
        <v>0</v>
      </c>
      <c r="CD11" s="242">
        <f t="shared" si="14"/>
        <v>0</v>
      </c>
      <c r="CE11" s="242">
        <f t="shared" si="14"/>
        <v>0</v>
      </c>
      <c r="CF11" s="242">
        <f t="shared" si="14"/>
        <v>0</v>
      </c>
      <c r="CG11" s="242">
        <f t="shared" si="14"/>
        <v>0</v>
      </c>
      <c r="CH11" s="242">
        <f t="shared" si="14"/>
        <v>0</v>
      </c>
      <c r="CI11" s="242">
        <f t="shared" si="14"/>
        <v>0</v>
      </c>
      <c r="CJ11" s="242">
        <f t="shared" si="14"/>
        <v>0</v>
      </c>
      <c r="CK11" s="242">
        <f t="shared" si="14"/>
        <v>0</v>
      </c>
      <c r="CL11" s="242">
        <f t="shared" si="14"/>
        <v>0</v>
      </c>
      <c r="CM11" s="242">
        <f t="shared" si="14"/>
        <v>0</v>
      </c>
      <c r="CN11" s="242">
        <f t="shared" si="14"/>
        <v>0</v>
      </c>
      <c r="CO11" s="242">
        <f t="shared" si="14"/>
        <v>0</v>
      </c>
      <c r="CP11" s="242">
        <f t="shared" si="14"/>
        <v>0</v>
      </c>
      <c r="CQ11" s="242">
        <f t="shared" si="14"/>
        <v>0</v>
      </c>
      <c r="CR11" s="242">
        <f t="shared" si="14"/>
        <v>0</v>
      </c>
      <c r="CS11" s="242">
        <f t="shared" si="14"/>
        <v>0</v>
      </c>
    </row>
    <row r="12" spans="1:97" ht="31.5">
      <c r="A12" s="254"/>
      <c r="B12" s="30" t="s">
        <v>51</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5000</v>
      </c>
      <c r="P12" s="19">
        <f t="shared" si="15"/>
        <v>5000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54"/>
      <c r="B13" s="30" t="s">
        <v>52</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1000</v>
      </c>
      <c r="P13" s="19">
        <f t="shared" si="18"/>
        <v>1000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54"/>
      <c r="B14" s="30" t="s">
        <v>53</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6000</v>
      </c>
      <c r="P14" s="19">
        <f t="shared" si="21"/>
        <v>6000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54"/>
      <c r="B15" s="30" t="s">
        <v>54</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5500</v>
      </c>
      <c r="P15" s="19">
        <f t="shared" si="24"/>
        <v>5500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54"/>
      <c r="B16" s="30" t="s">
        <v>55</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13500</v>
      </c>
      <c r="P16" s="19">
        <f t="shared" si="27"/>
        <v>13500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54"/>
      <c r="B17" s="30" t="s">
        <v>56</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5000</v>
      </c>
      <c r="P17" s="19">
        <f t="shared" si="30"/>
        <v>5000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54"/>
      <c r="B18" s="30" t="s">
        <v>58</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2000</v>
      </c>
      <c r="P18" s="19">
        <f t="shared" si="33"/>
        <v>2000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54"/>
      <c r="B19" s="30" t="s">
        <v>57</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5000</v>
      </c>
      <c r="P19" s="19">
        <f t="shared" si="36"/>
        <v>5000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54"/>
      <c r="B20" s="30" t="s">
        <v>60</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2000</v>
      </c>
      <c r="P20" s="19">
        <f t="shared" si="39"/>
        <v>2000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54"/>
      <c r="B21" s="30" t="s">
        <v>62</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2000</v>
      </c>
      <c r="P21" s="19">
        <f t="shared" si="42"/>
        <v>2000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54"/>
      <c r="B22" s="30" t="s">
        <v>61</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4000</v>
      </c>
      <c r="P22" s="19">
        <f t="shared" si="45"/>
        <v>4000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54"/>
      <c r="B23" s="30" t="s">
        <v>69</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5000</v>
      </c>
      <c r="P23" s="19">
        <f t="shared" si="48"/>
        <v>5000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54"/>
      <c r="B24" s="30" t="s">
        <v>64</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3500</v>
      </c>
      <c r="P24" s="19">
        <f t="shared" si="51"/>
        <v>3500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54"/>
      <c r="B25" s="30" t="s">
        <v>59</v>
      </c>
      <c r="C25" s="237">
        <v>0</v>
      </c>
      <c r="D25" s="22">
        <f t="shared" si="3"/>
        <v>0</v>
      </c>
      <c r="E25" s="237">
        <v>100000</v>
      </c>
      <c r="F25" s="22">
        <f t="shared" si="4"/>
        <v>8333.3333333333339</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0</v>
      </c>
      <c r="P25" s="19">
        <f t="shared" si="54"/>
        <v>0</v>
      </c>
      <c r="Q25" s="19">
        <f t="shared" si="54"/>
        <v>100000</v>
      </c>
      <c r="R25" s="19">
        <f t="shared" si="54"/>
        <v>102499.99999999999</v>
      </c>
      <c r="S25" s="19">
        <f t="shared" si="54"/>
        <v>105062.49999999997</v>
      </c>
      <c r="T25" s="19">
        <f t="shared" si="54"/>
        <v>107689.06249999996</v>
      </c>
      <c r="U25" s="19">
        <f t="shared" si="54"/>
        <v>110381.28906249994</v>
      </c>
      <c r="V25" s="19">
        <f t="shared" si="54"/>
        <v>113140.82128906243</v>
      </c>
      <c r="W25" s="19">
        <f t="shared" si="54"/>
        <v>115969.34182128898</v>
      </c>
      <c r="X25" s="19">
        <f t="shared" si="54"/>
        <v>118868.5753668212</v>
      </c>
      <c r="Y25" s="19">
        <f t="shared" si="54"/>
        <v>121840.28975099172</v>
      </c>
      <c r="Z25" s="19">
        <f t="shared" si="54"/>
        <v>124886.29699476651</v>
      </c>
      <c r="AA25" s="19">
        <f t="shared" si="54"/>
        <v>128008.45441963566</v>
      </c>
      <c r="AB25" s="19">
        <f t="shared" si="54"/>
        <v>131208.66578012652</v>
      </c>
      <c r="AC25" s="19">
        <f t="shared" si="54"/>
        <v>134488.88242462967</v>
      </c>
      <c r="AD25" s="19">
        <f t="shared" si="54"/>
        <v>137851.10448524539</v>
      </c>
      <c r="AE25" s="19">
        <f t="shared" si="54"/>
        <v>141297.38209737651</v>
      </c>
      <c r="AF25" s="19">
        <f t="shared" si="54"/>
        <v>144829.81664981091</v>
      </c>
      <c r="AG25" s="19">
        <f t="shared" si="54"/>
        <v>148450.56206605615</v>
      </c>
      <c r="AH25" s="19">
        <f t="shared" si="54"/>
        <v>152161.82611770753</v>
      </c>
      <c r="AI25" s="19">
        <f t="shared" si="54"/>
        <v>155965.87177065021</v>
      </c>
      <c r="AJ25" s="19">
        <f t="shared" si="54"/>
        <v>159865.01856491645</v>
      </c>
      <c r="AK25" s="19">
        <f t="shared" si="54"/>
        <v>163861.64402903934</v>
      </c>
      <c r="AL25" s="19">
        <f t="shared" si="54"/>
        <v>167958.1851297653</v>
      </c>
      <c r="AM25" s="19">
        <f t="shared" si="54"/>
        <v>172157.13975800943</v>
      </c>
      <c r="AN25" s="19">
        <f t="shared" si="54"/>
        <v>176461.06825195966</v>
      </c>
      <c r="AO25" s="19">
        <f t="shared" ref="AO25:BT25" si="55">IF(AO$4=1,AN25,IF(AND(AO$4=2,AN$4=1),$E25,IF(AND(AO$4=2,AN$4=2),AN25*(1+$G25),0)))</f>
        <v>180872.59495825865</v>
      </c>
      <c r="AP25" s="19">
        <f t="shared" si="55"/>
        <v>185394.40983221511</v>
      </c>
      <c r="AQ25" s="19">
        <f t="shared" si="55"/>
        <v>190029.27007802046</v>
      </c>
      <c r="AR25" s="19">
        <f t="shared" si="55"/>
        <v>194780.00182997095</v>
      </c>
      <c r="AS25" s="19">
        <f t="shared" si="55"/>
        <v>199649.50187572019</v>
      </c>
      <c r="AT25" s="19">
        <f t="shared" si="55"/>
        <v>204640.73942261317</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54"/>
      <c r="B26" s="30" t="s">
        <v>79</v>
      </c>
      <c r="C26" s="243"/>
      <c r="D26" s="22">
        <f t="shared" si="3"/>
        <v>0</v>
      </c>
      <c r="E26" s="237"/>
      <c r="F26" s="22">
        <f t="shared" si="4"/>
        <v>0</v>
      </c>
      <c r="G26" s="281"/>
      <c r="H26" s="239"/>
      <c r="I26" s="239"/>
      <c r="J26" s="239"/>
      <c r="K26" s="239"/>
      <c r="L26" s="239"/>
      <c r="M26" s="239"/>
      <c r="N26" s="239"/>
      <c r="O26" s="239"/>
      <c r="P26" s="239"/>
      <c r="Q26" s="239"/>
      <c r="R26" s="239"/>
      <c r="S26" s="239"/>
      <c r="T26" s="239"/>
      <c r="U26" s="239">
        <f>U25*-0.23</f>
        <v>-25387.696484374988</v>
      </c>
      <c r="V26" s="239">
        <f t="shared" ref="V26:AI26" si="57">V25*-0.23</f>
        <v>-26022.388896484361</v>
      </c>
      <c r="W26" s="239">
        <f t="shared" si="57"/>
        <v>-26672.948618896466</v>
      </c>
      <c r="X26" s="239">
        <f t="shared" si="57"/>
        <v>-27339.772334368878</v>
      </c>
      <c r="Y26" s="239">
        <f t="shared" si="57"/>
        <v>-28023.266642728096</v>
      </c>
      <c r="Z26" s="239">
        <f t="shared" si="57"/>
        <v>-28723.8483087963</v>
      </c>
      <c r="AA26" s="239">
        <f t="shared" si="57"/>
        <v>-29441.944516516203</v>
      </c>
      <c r="AB26" s="239">
        <f t="shared" si="57"/>
        <v>-30177.993129429102</v>
      </c>
      <c r="AC26" s="239">
        <f t="shared" si="57"/>
        <v>-30932.442957664825</v>
      </c>
      <c r="AD26" s="239">
        <f t="shared" si="57"/>
        <v>-31705.754031606441</v>
      </c>
      <c r="AE26" s="239">
        <f t="shared" si="57"/>
        <v>-32498.397882396599</v>
      </c>
      <c r="AF26" s="239">
        <f t="shared" si="57"/>
        <v>-33310.857829456509</v>
      </c>
      <c r="AG26" s="239">
        <f t="shared" si="57"/>
        <v>-34143.629275192914</v>
      </c>
      <c r="AH26" s="239">
        <f t="shared" si="57"/>
        <v>-34997.220007072734</v>
      </c>
      <c r="AI26" s="239">
        <f t="shared" si="57"/>
        <v>-35872.150507249549</v>
      </c>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55"/>
      <c r="B27" s="30"/>
      <c r="C27" s="243"/>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55"/>
      <c r="B28" s="30"/>
      <c r="C28" s="243"/>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55"/>
      <c r="B29" s="30"/>
      <c r="C29" s="243"/>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55"/>
      <c r="B30" s="30"/>
      <c r="C30" s="243"/>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55"/>
      <c r="B31" s="30"/>
      <c r="C31" s="243"/>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55"/>
      <c r="B32" s="30"/>
      <c r="C32" s="243"/>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55"/>
      <c r="B33" s="30"/>
      <c r="C33" s="243"/>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55"/>
      <c r="B34" s="30"/>
      <c r="C34" s="243"/>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55"/>
      <c r="B35" s="30"/>
      <c r="C35" s="243"/>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55"/>
      <c r="B36" s="30"/>
      <c r="C36" s="243"/>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63</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76500</v>
      </c>
      <c r="N38" s="16">
        <f t="shared" si="58"/>
        <v>76500</v>
      </c>
      <c r="O38" s="16">
        <f t="shared" si="58"/>
        <v>76500</v>
      </c>
      <c r="P38" s="16">
        <f t="shared" si="58"/>
        <v>76500</v>
      </c>
      <c r="Q38" s="16">
        <f t="shared" si="58"/>
        <v>100000</v>
      </c>
      <c r="R38" s="16">
        <f t="shared" si="58"/>
        <v>102499.99999999999</v>
      </c>
      <c r="S38" s="16">
        <f t="shared" si="58"/>
        <v>105062.49999999997</v>
      </c>
      <c r="T38" s="16">
        <f t="shared" si="58"/>
        <v>107689.06249999996</v>
      </c>
      <c r="U38" s="16">
        <f t="shared" si="58"/>
        <v>84993.592578124953</v>
      </c>
      <c r="V38" s="16">
        <f t="shared" si="58"/>
        <v>87118.432392578063</v>
      </c>
      <c r="W38" s="16">
        <f t="shared" si="58"/>
        <v>89296.393202392515</v>
      </c>
      <c r="X38" s="16">
        <f t="shared" si="58"/>
        <v>91528.803032452328</v>
      </c>
      <c r="Y38" s="16">
        <f t="shared" si="58"/>
        <v>93817.023108263631</v>
      </c>
      <c r="Z38" s="16">
        <f t="shared" si="58"/>
        <v>96162.448685970216</v>
      </c>
      <c r="AA38" s="16">
        <f t="shared" si="58"/>
        <v>98566.509903119455</v>
      </c>
      <c r="AB38" s="16">
        <f t="shared" si="58"/>
        <v>101030.67265069742</v>
      </c>
      <c r="AC38" s="16">
        <f t="shared" si="58"/>
        <v>103556.43946696485</v>
      </c>
      <c r="AD38" s="16">
        <f t="shared" si="58"/>
        <v>106145.35045363895</v>
      </c>
      <c r="AE38" s="16">
        <f t="shared" si="58"/>
        <v>108798.98421497991</v>
      </c>
      <c r="AF38" s="16">
        <f t="shared" si="58"/>
        <v>111518.9588203544</v>
      </c>
      <c r="AG38" s="16">
        <f t="shared" si="58"/>
        <v>114306.93279086324</v>
      </c>
      <c r="AH38" s="16">
        <f t="shared" si="58"/>
        <v>117164.60611063481</v>
      </c>
      <c r="AI38" s="16">
        <f t="shared" si="58"/>
        <v>120093.72126340066</v>
      </c>
      <c r="AJ38" s="16">
        <f t="shared" si="58"/>
        <v>159865.01856491645</v>
      </c>
      <c r="AK38" s="16">
        <f t="shared" si="58"/>
        <v>163861.64402903934</v>
      </c>
      <c r="AL38" s="16">
        <f t="shared" si="58"/>
        <v>167958.1851297653</v>
      </c>
      <c r="AM38" s="16">
        <f t="shared" si="58"/>
        <v>172157.13975800943</v>
      </c>
      <c r="AN38" s="16">
        <f t="shared" si="58"/>
        <v>176461.06825195966</v>
      </c>
      <c r="AO38" s="16">
        <f t="shared" si="58"/>
        <v>180872.59495825865</v>
      </c>
      <c r="AP38" s="16">
        <f t="shared" si="58"/>
        <v>185394.40983221511</v>
      </c>
      <c r="AQ38" s="16">
        <f t="shared" si="58"/>
        <v>190029.27007802046</v>
      </c>
      <c r="AR38" s="16">
        <f t="shared" si="58"/>
        <v>194780.00182997095</v>
      </c>
      <c r="AS38" s="16">
        <f t="shared" si="58"/>
        <v>199649.50187572019</v>
      </c>
      <c r="AT38" s="16">
        <f t="shared" si="58"/>
        <v>204640.73942261317</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67</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0</v>
      </c>
      <c r="P40" s="16">
        <f>IF(P4=2, IF(Sheet2!K23&gt;Sheet2!K24,Sheet2!K23,Sheet2!K24),0)</f>
        <v>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80000</v>
      </c>
      <c r="AP40" s="16">
        <f>IF(AP4=2, IF(Sheet2!AK23&gt;Sheet2!AK24,Sheet2!AK23,Sheet2!AK24),0)</f>
        <v>80000</v>
      </c>
      <c r="AQ40" s="16">
        <f>IF(AQ4=2, IF(Sheet2!AL23&gt;Sheet2!AL24,Sheet2!AL23,Sheet2!AL24),0)</f>
        <v>80000</v>
      </c>
      <c r="AR40" s="16">
        <f>IF(AR4=2, IF(Sheet2!AM23&gt;Sheet2!AM24,Sheet2!AM23,Sheet2!AM24),0)</f>
        <v>80000</v>
      </c>
      <c r="AS40" s="16">
        <f>IF(AS4=2, IF(Sheet2!AN23&gt;Sheet2!AN24,Sheet2!AN23,Sheet2!AN24),0)</f>
        <v>80000</v>
      </c>
      <c r="AT40" s="16">
        <f>IF(AT4=2, IF(Sheet2!AO23&gt;Sheet2!AO24,Sheet2!AO23,Sheet2!AO24),0)</f>
        <v>80000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68</v>
      </c>
      <c r="H41" s="16">
        <f t="shared" ref="H41:AM41" si="60">IF(H4=2,H40-H38,0)</f>
        <v>0</v>
      </c>
      <c r="I41" s="16">
        <f t="shared" si="60"/>
        <v>0</v>
      </c>
      <c r="J41" s="16">
        <f t="shared" si="60"/>
        <v>0</v>
      </c>
      <c r="K41" s="16">
        <f t="shared" si="60"/>
        <v>0</v>
      </c>
      <c r="L41" s="16">
        <f t="shared" si="60"/>
        <v>0</v>
      </c>
      <c r="M41" s="16">
        <f t="shared" si="60"/>
        <v>0</v>
      </c>
      <c r="N41" s="16">
        <f t="shared" si="60"/>
        <v>0</v>
      </c>
      <c r="O41" s="16">
        <f t="shared" si="60"/>
        <v>0</v>
      </c>
      <c r="P41" s="16">
        <f t="shared" si="60"/>
        <v>0</v>
      </c>
      <c r="Q41" s="16">
        <f t="shared" si="60"/>
        <v>-20000</v>
      </c>
      <c r="R41" s="16">
        <f t="shared" si="60"/>
        <v>-22499.999999999985</v>
      </c>
      <c r="S41" s="16">
        <f t="shared" si="60"/>
        <v>-25062.499999999971</v>
      </c>
      <c r="T41" s="16">
        <f t="shared" si="60"/>
        <v>-27689.062499999956</v>
      </c>
      <c r="U41" s="16">
        <f t="shared" si="60"/>
        <v>-4993.5925781249534</v>
      </c>
      <c r="V41" s="16">
        <f t="shared" si="60"/>
        <v>-7118.4323925780627</v>
      </c>
      <c r="W41" s="16">
        <f t="shared" si="60"/>
        <v>-9296.3932023925154</v>
      </c>
      <c r="X41" s="16">
        <f t="shared" si="60"/>
        <v>-11528.803032452328</v>
      </c>
      <c r="Y41" s="16">
        <f t="shared" si="60"/>
        <v>-13817.023108263631</v>
      </c>
      <c r="Z41" s="16">
        <f t="shared" si="60"/>
        <v>-16162.448685970216</v>
      </c>
      <c r="AA41" s="16">
        <f t="shared" si="60"/>
        <v>-18566.509903119455</v>
      </c>
      <c r="AB41" s="16">
        <f t="shared" si="60"/>
        <v>-21030.672650697423</v>
      </c>
      <c r="AC41" s="16">
        <f t="shared" si="60"/>
        <v>-23556.439466964846</v>
      </c>
      <c r="AD41" s="16">
        <f t="shared" si="60"/>
        <v>-26145.350453638952</v>
      </c>
      <c r="AE41" s="16">
        <f t="shared" si="60"/>
        <v>-28798.984214979908</v>
      </c>
      <c r="AF41" s="16">
        <f t="shared" si="60"/>
        <v>-31518.958820354397</v>
      </c>
      <c r="AG41" s="16">
        <f t="shared" si="60"/>
        <v>-34306.93279086324</v>
      </c>
      <c r="AH41" s="16">
        <f t="shared" si="60"/>
        <v>-37164.606110634806</v>
      </c>
      <c r="AI41" s="16">
        <f t="shared" si="60"/>
        <v>-40093.721263400657</v>
      </c>
      <c r="AJ41" s="16">
        <f t="shared" si="60"/>
        <v>-79865.018564916449</v>
      </c>
      <c r="AK41" s="16">
        <f t="shared" si="60"/>
        <v>-83861.644029039337</v>
      </c>
      <c r="AL41" s="16">
        <f t="shared" si="60"/>
        <v>-87958.185129765305</v>
      </c>
      <c r="AM41" s="16">
        <f t="shared" si="60"/>
        <v>-92157.139758009434</v>
      </c>
      <c r="AN41" s="16">
        <f t="shared" ref="AN41:BS41" si="61">IF(AN4=2,AN40-AN38,0)</f>
        <v>-96461.068251959659</v>
      </c>
      <c r="AO41" s="16">
        <f t="shared" si="61"/>
        <v>-100872.59495825865</v>
      </c>
      <c r="AP41" s="16">
        <f t="shared" si="61"/>
        <v>-105394.40983221511</v>
      </c>
      <c r="AQ41" s="16">
        <f t="shared" si="61"/>
        <v>-110029.27007802046</v>
      </c>
      <c r="AR41" s="16">
        <f t="shared" si="61"/>
        <v>-114780.00182997095</v>
      </c>
      <c r="AS41" s="16">
        <f t="shared" si="61"/>
        <v>-119649.50187572019</v>
      </c>
      <c r="AT41" s="16">
        <f t="shared" si="61"/>
        <v>-124640.73942261317</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22" activePane="bottomRight" state="frozen"/>
      <selection pane="topRight" activeCell="B1" sqref="B1"/>
      <selection pane="bottomLeft" activeCell="A6" sqref="A6"/>
      <selection pane="bottomRight" activeCell="C19" sqref="C19"/>
    </sheetView>
  </sheetViews>
  <sheetFormatPr defaultRowHeight="14.25"/>
  <cols>
    <col min="1" max="1" width="27" customWidth="1"/>
    <col min="6" max="7" width="11.73046875" bestFit="1" customWidth="1"/>
    <col min="94" max="94" width="13.3984375" bestFit="1" customWidth="1"/>
  </cols>
  <sheetData>
    <row r="1" spans="1:92" ht="78.400000000000006" customHeight="1">
      <c r="B1" s="401" t="s">
        <v>335</v>
      </c>
      <c r="C1" s="402"/>
      <c r="D1" s="402"/>
      <c r="E1" s="402"/>
      <c r="F1" s="402"/>
      <c r="G1" s="402"/>
      <c r="H1" s="402"/>
      <c r="I1" s="402"/>
      <c r="J1" s="402"/>
      <c r="K1" s="402"/>
      <c r="L1" s="402"/>
      <c r="M1" s="402"/>
      <c r="N1" s="402"/>
      <c r="O1" s="402"/>
      <c r="P1" s="402"/>
      <c r="Q1" s="402"/>
    </row>
    <row r="2" spans="1:92" s="10" customFormat="1" ht="42.75">
      <c r="B2" s="10" t="s">
        <v>40</v>
      </c>
      <c r="C2" s="10" t="s">
        <v>7</v>
      </c>
      <c r="D2" s="10" t="s">
        <v>8</v>
      </c>
      <c r="E2" s="10" t="s">
        <v>9</v>
      </c>
      <c r="F2" s="10" t="s">
        <v>10</v>
      </c>
      <c r="G2" s="10" t="s">
        <v>36</v>
      </c>
    </row>
    <row r="3" spans="1:92">
      <c r="A3">
        <f>B3+1</f>
        <v>21</v>
      </c>
      <c r="B3" s="240">
        <v>20</v>
      </c>
      <c r="C3">
        <f>Input!C4-Input!C3</f>
        <v>9</v>
      </c>
      <c r="D3">
        <f>Input!C6-Input!C4</f>
        <v>30</v>
      </c>
      <c r="E3">
        <f>IF(Input!C5&gt;Input!C3, Input!C5-Input!C3, 0)</f>
        <v>12</v>
      </c>
      <c r="F3" s="2">
        <v>0.3</v>
      </c>
      <c r="G3" s="2">
        <v>0.6</v>
      </c>
    </row>
    <row r="5" spans="1:92" s="1" customFormat="1">
      <c r="B5" s="1" t="s">
        <v>6</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0.19029262691611393</v>
      </c>
      <c r="D6" s="1">
        <f t="shared" ref="D6:BO8" ca="1" si="0">RAND()</f>
        <v>0.39058050331521421</v>
      </c>
      <c r="E6" s="1">
        <f t="shared" ca="1" si="0"/>
        <v>6.6123737979144948E-2</v>
      </c>
      <c r="F6" s="1">
        <f t="shared" ca="1" si="0"/>
        <v>0.26870043677421473</v>
      </c>
      <c r="G6" s="1">
        <f t="shared" ca="1" si="0"/>
        <v>0.15767334261821664</v>
      </c>
      <c r="H6" s="1">
        <f t="shared" ca="1" si="0"/>
        <v>0.38478487500850445</v>
      </c>
      <c r="I6" s="1">
        <f t="shared" ca="1" si="0"/>
        <v>0.88712542333438871</v>
      </c>
      <c r="J6" s="1">
        <f t="shared" ca="1" si="0"/>
        <v>0.79083844185351149</v>
      </c>
      <c r="K6" s="1">
        <f t="shared" ca="1" si="0"/>
        <v>0.65971471351908795</v>
      </c>
      <c r="L6" s="1">
        <f t="shared" ca="1" si="0"/>
        <v>0.63787263480945289</v>
      </c>
      <c r="M6" s="1">
        <f t="shared" ca="1" si="0"/>
        <v>0.77143138344059414</v>
      </c>
      <c r="N6" s="1">
        <f t="shared" ca="1" si="0"/>
        <v>0.19651190379655059</v>
      </c>
      <c r="O6" s="1">
        <f t="shared" ca="1" si="0"/>
        <v>0.76874469033998183</v>
      </c>
      <c r="P6" s="1">
        <f t="shared" ca="1" si="0"/>
        <v>0.23384684512376908</v>
      </c>
      <c r="Q6" s="1">
        <f t="shared" ca="1" si="0"/>
        <v>0.81216644254705483</v>
      </c>
      <c r="R6" s="1">
        <f t="shared" ca="1" si="0"/>
        <v>0.32664954083598507</v>
      </c>
      <c r="S6" s="1">
        <f t="shared" ca="1" si="0"/>
        <v>0.24994619132695239</v>
      </c>
      <c r="T6" s="1">
        <f t="shared" ca="1" si="0"/>
        <v>0.85752104254393513</v>
      </c>
      <c r="U6" s="1">
        <f t="shared" ca="1" si="0"/>
        <v>0.46960852374109141</v>
      </c>
      <c r="V6" s="1">
        <f t="shared" ca="1" si="0"/>
        <v>0.29519463688682945</v>
      </c>
      <c r="W6" s="1">
        <f t="shared" ca="1" si="0"/>
        <v>0.5028728365498002</v>
      </c>
      <c r="X6" s="1">
        <f t="shared" ca="1" si="0"/>
        <v>0.18785334525507724</v>
      </c>
      <c r="Y6" s="1">
        <f t="shared" ca="1" si="0"/>
        <v>0.37419895062315378</v>
      </c>
      <c r="Z6" s="1">
        <f t="shared" ca="1" si="0"/>
        <v>0.69442351827589954</v>
      </c>
      <c r="AA6" s="1">
        <f t="shared" ca="1" si="0"/>
        <v>0.23736431036542793</v>
      </c>
      <c r="AB6" s="1">
        <f t="shared" ca="1" si="0"/>
        <v>0.79418657693617611</v>
      </c>
      <c r="AC6" s="1">
        <f t="shared" ca="1" si="0"/>
        <v>0.42523854923130566</v>
      </c>
      <c r="AD6" s="1">
        <f t="shared" ca="1" si="0"/>
        <v>0.15177132865044707</v>
      </c>
      <c r="AE6" s="1">
        <f t="shared" ca="1" si="0"/>
        <v>0.64133578904247524</v>
      </c>
      <c r="AF6" s="1">
        <f t="shared" ca="1" si="0"/>
        <v>0.99647503170285023</v>
      </c>
      <c r="AG6" s="1">
        <f t="shared" ca="1" si="0"/>
        <v>0.7349450532899614</v>
      </c>
      <c r="AH6" s="1">
        <f t="shared" ca="1" si="0"/>
        <v>0.17505262585705195</v>
      </c>
      <c r="AI6" s="1">
        <f t="shared" ca="1" si="0"/>
        <v>0.48916506401603288</v>
      </c>
      <c r="AJ6" s="1">
        <f t="shared" ca="1" si="0"/>
        <v>0.80549198610595296</v>
      </c>
      <c r="AK6" s="1">
        <f t="shared" ca="1" si="0"/>
        <v>0.32974062340509525</v>
      </c>
      <c r="AL6" s="1">
        <f t="shared" ca="1" si="0"/>
        <v>0.13915325702509529</v>
      </c>
      <c r="AM6" s="1">
        <f t="shared" ca="1" si="0"/>
        <v>0.43281169117373686</v>
      </c>
      <c r="AN6" s="1">
        <f t="shared" ca="1" si="0"/>
        <v>0.75709564154918929</v>
      </c>
      <c r="AO6" s="1">
        <f t="shared" ca="1" si="0"/>
        <v>0.35281895654458495</v>
      </c>
      <c r="AP6" s="1">
        <f t="shared" ca="1" si="0"/>
        <v>1.2410230285980317E-2</v>
      </c>
      <c r="AQ6" s="1">
        <f t="shared" ca="1" si="0"/>
        <v>0.49412924603333286</v>
      </c>
      <c r="AR6" s="1">
        <f t="shared" ca="1" si="0"/>
        <v>0.85383964309479854</v>
      </c>
      <c r="AS6" s="1">
        <f t="shared" ca="1" si="0"/>
        <v>9.5001667416227842E-2</v>
      </c>
      <c r="AT6" s="1">
        <f t="shared" ca="1" si="0"/>
        <v>0.39171257058295805</v>
      </c>
      <c r="AU6" s="1">
        <f t="shared" ca="1" si="0"/>
        <v>0.58743719505691516</v>
      </c>
      <c r="AV6" s="1">
        <f t="shared" ca="1" si="0"/>
        <v>0.81337063778488161</v>
      </c>
      <c r="AW6" s="1">
        <f t="shared" ca="1" si="0"/>
        <v>0.79466213731318613</v>
      </c>
      <c r="AX6" s="1">
        <f t="shared" ca="1" si="0"/>
        <v>0.41614181288769614</v>
      </c>
      <c r="AY6" s="1">
        <f t="shared" ca="1" si="0"/>
        <v>0.2293732933707614</v>
      </c>
      <c r="AZ6" s="1">
        <f t="shared" ca="1" si="0"/>
        <v>0.18294756027544445</v>
      </c>
      <c r="BA6" s="1">
        <f t="shared" ca="1" si="0"/>
        <v>0.19953088073277203</v>
      </c>
      <c r="BB6" s="1">
        <f t="shared" ca="1" si="0"/>
        <v>0.11742452303087192</v>
      </c>
      <c r="BC6" s="1">
        <f t="shared" ca="1" si="0"/>
        <v>0.39663878324142554</v>
      </c>
      <c r="BD6" s="1">
        <f t="shared" ca="1" si="0"/>
        <v>0.1260511512540502</v>
      </c>
      <c r="BE6" s="1">
        <f t="shared" ca="1" si="0"/>
        <v>0.45018822504861178</v>
      </c>
      <c r="BF6" s="1">
        <f t="shared" ca="1" si="0"/>
        <v>0.49462158381676069</v>
      </c>
      <c r="BG6" s="1">
        <f t="shared" ca="1" si="0"/>
        <v>0.96008276801945647</v>
      </c>
      <c r="BH6" s="1">
        <f t="shared" ca="1" si="0"/>
        <v>0.45332276249955306</v>
      </c>
      <c r="BI6" s="1">
        <f t="shared" ca="1" si="0"/>
        <v>0.12304119060817575</v>
      </c>
      <c r="BJ6" s="1">
        <f t="shared" ca="1" si="0"/>
        <v>0.15121342591225506</v>
      </c>
      <c r="BK6" s="1">
        <f t="shared" ca="1" si="0"/>
        <v>0.17734952343685673</v>
      </c>
      <c r="BL6" s="1">
        <f t="shared" ca="1" si="0"/>
        <v>2.7584507980927486E-2</v>
      </c>
      <c r="BM6" s="1">
        <f t="shared" ca="1" si="0"/>
        <v>0.10110891396555222</v>
      </c>
      <c r="BN6" s="1">
        <f t="shared" ca="1" si="0"/>
        <v>0.85975791053904316</v>
      </c>
      <c r="BO6" s="1">
        <f t="shared" ca="1" si="0"/>
        <v>0.37559776244626608</v>
      </c>
      <c r="BP6" s="1">
        <f t="shared" ref="BP6:CN8" ca="1" si="1">RAND()</f>
        <v>0.79455081484645451</v>
      </c>
      <c r="BQ6" s="1">
        <f t="shared" ca="1" si="1"/>
        <v>0.85598393059207467</v>
      </c>
      <c r="BR6" s="1">
        <f t="shared" ca="1" si="1"/>
        <v>0.44356937305473543</v>
      </c>
      <c r="BS6" s="1">
        <f t="shared" ca="1" si="1"/>
        <v>0.71902558948801809</v>
      </c>
      <c r="BT6" s="1">
        <f t="shared" ca="1" si="1"/>
        <v>0.37433434335451532</v>
      </c>
      <c r="BU6" s="1">
        <f t="shared" ca="1" si="1"/>
        <v>0.194239067278561</v>
      </c>
      <c r="BV6" s="1">
        <f t="shared" ca="1" si="1"/>
        <v>0.52866019930430364</v>
      </c>
      <c r="BW6" s="1">
        <f t="shared" ca="1" si="1"/>
        <v>0.18644407529885298</v>
      </c>
      <c r="BX6" s="1">
        <f t="shared" ca="1" si="1"/>
        <v>0.69885373191370481</v>
      </c>
      <c r="BY6" s="1">
        <f t="shared" ca="1" si="1"/>
        <v>0.23979911090126493</v>
      </c>
      <c r="BZ6" s="1">
        <f t="shared" ca="1" si="1"/>
        <v>0.44258430216914046</v>
      </c>
      <c r="CA6" s="1">
        <f t="shared" ca="1" si="1"/>
        <v>0.65265865136592915</v>
      </c>
      <c r="CB6" s="1">
        <f t="shared" ca="1" si="1"/>
        <v>0.56012162047509639</v>
      </c>
      <c r="CC6" s="1">
        <f t="shared" ca="1" si="1"/>
        <v>0.98577216949777124</v>
      </c>
      <c r="CD6" s="1">
        <f t="shared" ca="1" si="1"/>
        <v>0.46016253817157104</v>
      </c>
      <c r="CE6" s="1">
        <f t="shared" ca="1" si="1"/>
        <v>0.98928516101028341</v>
      </c>
      <c r="CF6" s="1">
        <f t="shared" ca="1" si="1"/>
        <v>0.56798042680209826</v>
      </c>
      <c r="CG6" s="1">
        <f t="shared" ca="1" si="1"/>
        <v>0.27633288467468564</v>
      </c>
      <c r="CH6" s="1">
        <f t="shared" ca="1" si="1"/>
        <v>0.34042508788105863</v>
      </c>
      <c r="CI6" s="1">
        <f t="shared" ca="1" si="1"/>
        <v>0.61226576407391764</v>
      </c>
      <c r="CJ6" s="1">
        <f t="shared" ca="1" si="1"/>
        <v>0.99519653403979103</v>
      </c>
      <c r="CK6" s="1">
        <f t="shared" ca="1" si="1"/>
        <v>0.91068567762227626</v>
      </c>
      <c r="CL6" s="1">
        <f t="shared" ca="1" si="1"/>
        <v>0.13416923633763655</v>
      </c>
      <c r="CM6" s="1">
        <f t="shared" ca="1" si="1"/>
        <v>0.53798714217380461</v>
      </c>
      <c r="CN6" s="1">
        <f t="shared" ca="1" si="1"/>
        <v>0.48623105598438132</v>
      </c>
    </row>
    <row r="7" spans="1:92">
      <c r="C7" s="1">
        <f ca="1">RAND()</f>
        <v>0.90273291943895717</v>
      </c>
      <c r="D7" s="1">
        <f t="shared" ca="1" si="0"/>
        <v>0.66785996860994468</v>
      </c>
      <c r="E7" s="1">
        <f t="shared" ca="1" si="0"/>
        <v>0.1803867350722631</v>
      </c>
      <c r="F7" s="1">
        <f t="shared" ca="1" si="0"/>
        <v>0.39075280235867782</v>
      </c>
      <c r="G7" s="1">
        <f t="shared" ca="1" si="0"/>
        <v>0.33519645353343408</v>
      </c>
      <c r="H7" s="1">
        <f t="shared" ca="1" si="0"/>
        <v>0.26738984667001464</v>
      </c>
      <c r="I7" s="1">
        <f t="shared" ca="1" si="0"/>
        <v>0.77533867440649773</v>
      </c>
      <c r="J7" s="1">
        <f t="shared" ca="1" si="0"/>
        <v>0.6464455442301007</v>
      </c>
      <c r="K7" s="1">
        <f t="shared" ca="1" si="0"/>
        <v>0.96197555959455172</v>
      </c>
      <c r="L7" s="1">
        <f t="shared" ca="1" si="0"/>
        <v>0.18043736523148479</v>
      </c>
      <c r="M7" s="1">
        <f t="shared" ca="1" si="0"/>
        <v>0.76479151165410697</v>
      </c>
      <c r="N7" s="1">
        <f t="shared" ca="1" si="0"/>
        <v>0.34931463158487341</v>
      </c>
      <c r="O7" s="1">
        <f t="shared" ca="1" si="0"/>
        <v>0.61265288126563644</v>
      </c>
      <c r="P7" s="1">
        <f t="shared" ca="1" si="0"/>
        <v>0.16262402408602006</v>
      </c>
      <c r="Q7" s="1">
        <f t="shared" ca="1" si="0"/>
        <v>0.35196663880149548</v>
      </c>
      <c r="R7" s="1">
        <f t="shared" ca="1" si="0"/>
        <v>0.9428247558287286</v>
      </c>
      <c r="S7" s="1">
        <f t="shared" ca="1" si="0"/>
        <v>0.82223227796506615</v>
      </c>
      <c r="T7" s="1">
        <f t="shared" ca="1" si="0"/>
        <v>0.66249637902692993</v>
      </c>
      <c r="U7" s="1">
        <f t="shared" ca="1" si="0"/>
        <v>0.9449669806218951</v>
      </c>
      <c r="V7" s="1">
        <f t="shared" ca="1" si="0"/>
        <v>0.54089407038203796</v>
      </c>
      <c r="W7" s="1">
        <f t="shared" ca="1" si="0"/>
        <v>0.47340699759662619</v>
      </c>
      <c r="X7" s="1">
        <f t="shared" ca="1" si="0"/>
        <v>0.97447013093132218</v>
      </c>
      <c r="Y7" s="1">
        <f t="shared" ca="1" si="0"/>
        <v>0.16635804572705826</v>
      </c>
      <c r="Z7" s="1">
        <f t="shared" ca="1" si="0"/>
        <v>0.63489902685693356</v>
      </c>
      <c r="AA7" s="1">
        <f t="shared" ca="1" si="0"/>
        <v>0.17254169226304428</v>
      </c>
      <c r="AB7" s="1">
        <f t="shared" ca="1" si="0"/>
        <v>0.87373644057817634</v>
      </c>
      <c r="AC7" s="1">
        <f t="shared" ca="1" si="0"/>
        <v>0.47373419482536783</v>
      </c>
      <c r="AD7" s="1">
        <f t="shared" ca="1" si="0"/>
        <v>0.32032070832630988</v>
      </c>
      <c r="AE7" s="1">
        <f t="shared" ca="1" si="0"/>
        <v>0.53392713248693757</v>
      </c>
      <c r="AF7" s="1">
        <f t="shared" ca="1" si="0"/>
        <v>0.54991019412602993</v>
      </c>
      <c r="AG7" s="1">
        <f t="shared" ca="1" si="0"/>
        <v>0.74896939963865727</v>
      </c>
      <c r="AH7" s="1">
        <f t="shared" ca="1" si="0"/>
        <v>0.94049221529628857</v>
      </c>
      <c r="AI7" s="1">
        <f t="shared" ca="1" si="0"/>
        <v>0.50567268689008227</v>
      </c>
      <c r="AJ7" s="1">
        <f t="shared" ca="1" si="0"/>
        <v>0.71365453007950141</v>
      </c>
      <c r="AK7" s="1">
        <f t="shared" ca="1" si="0"/>
        <v>0.88531076533363307</v>
      </c>
      <c r="AL7" s="1">
        <f t="shared" ca="1" si="0"/>
        <v>0.39076026979794887</v>
      </c>
      <c r="AM7" s="1">
        <f t="shared" ca="1" si="0"/>
        <v>0.33307781065873643</v>
      </c>
      <c r="AN7" s="1">
        <f t="shared" ca="1" si="0"/>
        <v>0.81480754434339497</v>
      </c>
      <c r="AO7" s="1">
        <f t="shared" ca="1" si="0"/>
        <v>0.50023128875049738</v>
      </c>
      <c r="AP7" s="1">
        <f t="shared" ca="1" si="0"/>
        <v>0.88484163897436274</v>
      </c>
      <c r="AQ7" s="1">
        <f t="shared" ca="1" si="0"/>
        <v>0.37413323010546062</v>
      </c>
      <c r="AR7" s="1">
        <f t="shared" ca="1" si="0"/>
        <v>0.28420093936608337</v>
      </c>
      <c r="AS7" s="1">
        <f t="shared" ca="1" si="0"/>
        <v>0.66894060171805048</v>
      </c>
      <c r="AT7" s="1">
        <f t="shared" ca="1" si="0"/>
        <v>0.51753636266478809</v>
      </c>
      <c r="AU7" s="1">
        <f t="shared" ca="1" si="0"/>
        <v>0.27481462659685207</v>
      </c>
      <c r="AV7" s="1">
        <f t="shared" ca="1" si="0"/>
        <v>0.53562119187043211</v>
      </c>
      <c r="AW7" s="1">
        <f t="shared" ca="1" si="0"/>
        <v>0.66011660242035097</v>
      </c>
      <c r="AX7" s="1">
        <f t="shared" ca="1" si="0"/>
        <v>0.46525919942661176</v>
      </c>
      <c r="AY7" s="1">
        <f t="shared" ca="1" si="0"/>
        <v>0.6330713542569556</v>
      </c>
      <c r="AZ7" s="1">
        <f t="shared" ca="1" si="0"/>
        <v>0.69260570028528567</v>
      </c>
      <c r="BA7" s="1">
        <f t="shared" ca="1" si="0"/>
        <v>0.95253924927040778</v>
      </c>
      <c r="BB7" s="1">
        <f t="shared" ca="1" si="0"/>
        <v>0.77579999309140812</v>
      </c>
      <c r="BC7" s="1">
        <f t="shared" ca="1" si="0"/>
        <v>0.59115854126880441</v>
      </c>
      <c r="BD7" s="1">
        <f t="shared" ca="1" si="0"/>
        <v>0.88996878740475149</v>
      </c>
      <c r="BE7" s="1">
        <f t="shared" ca="1" si="0"/>
        <v>0.37404918982053148</v>
      </c>
      <c r="BF7" s="1">
        <f t="shared" ca="1" si="0"/>
        <v>0.20930486531463866</v>
      </c>
      <c r="BG7" s="1">
        <f t="shared" ca="1" si="0"/>
        <v>0.41432507815113684</v>
      </c>
      <c r="BH7" s="1">
        <f t="shared" ca="1" si="0"/>
        <v>0.75418894253414059</v>
      </c>
      <c r="BI7" s="1">
        <f t="shared" ca="1" si="0"/>
        <v>0.90415209414067621</v>
      </c>
      <c r="BJ7" s="1">
        <f t="shared" ca="1" si="0"/>
        <v>0.52345371198651558</v>
      </c>
      <c r="BK7" s="1">
        <f t="shared" ca="1" si="0"/>
        <v>0.92931203630445069</v>
      </c>
      <c r="BL7" s="1">
        <f t="shared" ca="1" si="0"/>
        <v>0.176985197310641</v>
      </c>
      <c r="BM7" s="1">
        <f t="shared" ca="1" si="0"/>
        <v>0.25638565145346759</v>
      </c>
      <c r="BN7" s="1">
        <f t="shared" ca="1" si="0"/>
        <v>0.53104813608677415</v>
      </c>
      <c r="BO7" s="1">
        <f t="shared" ca="1" si="0"/>
        <v>0.46096574591638129</v>
      </c>
      <c r="BP7" s="1">
        <f t="shared" ca="1" si="1"/>
        <v>0.83292070607853796</v>
      </c>
      <c r="BQ7" s="1">
        <f t="shared" ca="1" si="1"/>
        <v>0.30290714551725906</v>
      </c>
      <c r="BR7" s="1">
        <f t="shared" ca="1" si="1"/>
        <v>0.6378175036027266</v>
      </c>
      <c r="BS7" s="1">
        <f t="shared" ca="1" si="1"/>
        <v>0.62071130547346864</v>
      </c>
      <c r="BT7" s="1">
        <f t="shared" ca="1" si="1"/>
        <v>0.6451800933242241</v>
      </c>
      <c r="BU7" s="1">
        <f t="shared" ca="1" si="1"/>
        <v>0.53140579686498579</v>
      </c>
      <c r="BV7" s="1">
        <f t="shared" ca="1" si="1"/>
        <v>0.82517336324475432</v>
      </c>
      <c r="BW7" s="1">
        <f t="shared" ca="1" si="1"/>
        <v>0.48227326226987166</v>
      </c>
      <c r="BX7" s="1">
        <f t="shared" ca="1" si="1"/>
        <v>0.85490925391361428</v>
      </c>
      <c r="BY7" s="1">
        <f t="shared" ca="1" si="1"/>
        <v>0.96289426434160807</v>
      </c>
      <c r="BZ7" s="1">
        <f t="shared" ca="1" si="1"/>
        <v>0.90343042965626175</v>
      </c>
      <c r="CA7" s="1">
        <f t="shared" ca="1" si="1"/>
        <v>0.14739851590311126</v>
      </c>
      <c r="CB7" s="1">
        <f t="shared" ca="1" si="1"/>
        <v>0.90692839500656186</v>
      </c>
      <c r="CC7" s="1">
        <f t="shared" ca="1" si="1"/>
        <v>0.33869986896399751</v>
      </c>
      <c r="CD7" s="1">
        <f t="shared" ca="1" si="1"/>
        <v>0.33047244381272001</v>
      </c>
      <c r="CE7" s="1">
        <f t="shared" ca="1" si="1"/>
        <v>0.27436725230740278</v>
      </c>
      <c r="CF7" s="1">
        <f t="shared" ca="1" si="1"/>
        <v>0.95173101548254524</v>
      </c>
      <c r="CG7" s="1">
        <f t="shared" ca="1" si="1"/>
        <v>0.44371354356406367</v>
      </c>
      <c r="CH7" s="1">
        <f t="shared" ca="1" si="1"/>
        <v>0.37837366764659419</v>
      </c>
      <c r="CI7" s="1">
        <f t="shared" ca="1" si="1"/>
        <v>0.21433100539196692</v>
      </c>
      <c r="CJ7" s="1">
        <f t="shared" ca="1" si="1"/>
        <v>0.22744683544805744</v>
      </c>
      <c r="CK7" s="1">
        <f t="shared" ca="1" si="1"/>
        <v>0.20846670307459603</v>
      </c>
      <c r="CL7" s="1">
        <f t="shared" ca="1" si="1"/>
        <v>0.27258984727141022</v>
      </c>
      <c r="CM7" s="1">
        <f t="shared" ca="1" si="1"/>
        <v>0.87813498888596297</v>
      </c>
      <c r="CN7" s="1">
        <f t="shared" ca="1" si="1"/>
        <v>7.4821203990975138E-2</v>
      </c>
    </row>
    <row r="8" spans="1:92">
      <c r="C8" s="1">
        <f ca="1">RAND()</f>
        <v>0.10524002458813808</v>
      </c>
      <c r="D8" s="1">
        <f t="shared" ca="1" si="0"/>
        <v>0.63866742282336564</v>
      </c>
      <c r="E8" s="1">
        <f t="shared" ca="1" si="0"/>
        <v>0.96368094470762056</v>
      </c>
      <c r="F8" s="1">
        <f t="shared" ca="1" si="0"/>
        <v>0.69659171157887256</v>
      </c>
      <c r="G8" s="1">
        <f t="shared" ca="1" si="0"/>
        <v>0.64143284134797729</v>
      </c>
      <c r="H8" s="1">
        <f t="shared" ca="1" si="0"/>
        <v>0.98711056608278136</v>
      </c>
      <c r="I8" s="1">
        <f t="shared" ca="1" si="0"/>
        <v>0.65866246953421048</v>
      </c>
      <c r="J8" s="1">
        <f t="shared" ca="1" si="0"/>
        <v>0.34409657314108943</v>
      </c>
      <c r="K8" s="1">
        <f t="shared" ca="1" si="0"/>
        <v>4.1233931229518239E-2</v>
      </c>
      <c r="L8" s="1">
        <f t="shared" ca="1" si="0"/>
        <v>0.58243972975722913</v>
      </c>
      <c r="M8" s="1">
        <f t="shared" ca="1" si="0"/>
        <v>0.19329463163992278</v>
      </c>
      <c r="N8" s="1">
        <f t="shared" ca="1" si="0"/>
        <v>0.68619722696289176</v>
      </c>
      <c r="O8" s="1">
        <f t="shared" ca="1" si="0"/>
        <v>0.46144962595006833</v>
      </c>
      <c r="P8" s="1">
        <f t="shared" ca="1" si="0"/>
        <v>0.90483746939408471</v>
      </c>
      <c r="Q8" s="1">
        <f t="shared" ca="1" si="0"/>
        <v>0.61986063069201136</v>
      </c>
      <c r="R8" s="1">
        <f t="shared" ca="1" si="0"/>
        <v>0.94316187203563584</v>
      </c>
      <c r="S8" s="1">
        <f t="shared" ca="1" si="0"/>
        <v>0.77161174713550973</v>
      </c>
      <c r="T8" s="1">
        <f t="shared" ca="1" si="0"/>
        <v>0.66573311325710172</v>
      </c>
      <c r="U8" s="1">
        <f t="shared" ca="1" si="0"/>
        <v>0.48250928782326408</v>
      </c>
      <c r="V8" s="1">
        <f t="shared" ca="1" si="0"/>
        <v>0.30636626132181022</v>
      </c>
      <c r="W8" s="1">
        <f t="shared" ca="1" si="0"/>
        <v>0.43776285833864392</v>
      </c>
      <c r="X8" s="1">
        <f t="shared" ca="1" si="0"/>
        <v>0.95588676079373136</v>
      </c>
      <c r="Y8" s="1">
        <f t="shared" ca="1" si="0"/>
        <v>0.21956631412509586</v>
      </c>
      <c r="Z8" s="1">
        <f t="shared" ca="1" si="0"/>
        <v>0.43024946250985097</v>
      </c>
      <c r="AA8" s="1">
        <f t="shared" ca="1" si="0"/>
        <v>0.66354399055244084</v>
      </c>
      <c r="AB8" s="1">
        <f t="shared" ca="1" si="0"/>
        <v>0.87013248051841974</v>
      </c>
      <c r="AC8" s="1">
        <f t="shared" ca="1" si="0"/>
        <v>0.85861969840841257</v>
      </c>
      <c r="AD8" s="1">
        <f t="shared" ca="1" si="0"/>
        <v>5.6677934450885203E-2</v>
      </c>
      <c r="AE8" s="1">
        <f t="shared" ca="1" si="0"/>
        <v>0.32480284119053171</v>
      </c>
      <c r="AF8" s="1">
        <f t="shared" ca="1" si="0"/>
        <v>0.36989423896927809</v>
      </c>
      <c r="AG8" s="1">
        <f t="shared" ca="1" si="0"/>
        <v>0.4605069570871767</v>
      </c>
      <c r="AH8" s="1">
        <f t="shared" ca="1" si="0"/>
        <v>0.87183956844038635</v>
      </c>
      <c r="AI8" s="1">
        <f t="shared" ca="1" si="0"/>
        <v>0.36442137869692093</v>
      </c>
      <c r="AJ8" s="1">
        <f t="shared" ca="1" si="0"/>
        <v>0.51183903869294511</v>
      </c>
      <c r="AK8" s="1">
        <f t="shared" ca="1" si="0"/>
        <v>0.1498556787511498</v>
      </c>
      <c r="AL8" s="1">
        <f t="shared" ca="1" si="0"/>
        <v>0.13039416886146615</v>
      </c>
      <c r="AM8" s="1">
        <f t="shared" ca="1" si="0"/>
        <v>7.9757221065942852E-2</v>
      </c>
      <c r="AN8" s="1">
        <f t="shared" ca="1" si="0"/>
        <v>0.50606526795391094</v>
      </c>
      <c r="AO8" s="1">
        <f t="shared" ca="1" si="0"/>
        <v>0.80705189061772942</v>
      </c>
      <c r="AP8" s="1">
        <f t="shared" ca="1" si="0"/>
        <v>0.17011936244460601</v>
      </c>
      <c r="AQ8" s="1">
        <f t="shared" ca="1" si="0"/>
        <v>0.30120614534249213</v>
      </c>
      <c r="AR8" s="1">
        <f t="shared" ca="1" si="0"/>
        <v>0.18143962370096955</v>
      </c>
      <c r="AS8" s="1">
        <f t="shared" ca="1" si="0"/>
        <v>0.44985175608639705</v>
      </c>
      <c r="AT8" s="1">
        <f t="shared" ca="1" si="0"/>
        <v>6.1492000182338136E-2</v>
      </c>
      <c r="AU8" s="1">
        <f t="shared" ca="1" si="0"/>
        <v>0.12247536036742535</v>
      </c>
      <c r="AV8" s="1">
        <f t="shared" ca="1" si="0"/>
        <v>0.72429876787998704</v>
      </c>
      <c r="AW8" s="1">
        <f t="shared" ca="1" si="0"/>
        <v>0.28661813052348484</v>
      </c>
      <c r="AX8" s="1">
        <f t="shared" ca="1" si="0"/>
        <v>0.25457209706005723</v>
      </c>
      <c r="AY8" s="1">
        <f t="shared" ca="1" si="0"/>
        <v>0.7199766935652957</v>
      </c>
      <c r="AZ8" s="1">
        <f t="shared" ca="1" si="0"/>
        <v>0.93934285863673472</v>
      </c>
      <c r="BA8" s="1">
        <f t="shared" ca="1" si="0"/>
        <v>0.26934576678113642</v>
      </c>
      <c r="BB8" s="1">
        <f t="shared" ca="1" si="0"/>
        <v>0.97054565130722137</v>
      </c>
      <c r="BC8" s="1">
        <f t="shared" ca="1" si="0"/>
        <v>0.49934984366881696</v>
      </c>
      <c r="BD8" s="1">
        <f t="shared" ca="1" si="0"/>
        <v>0.95405312431665401</v>
      </c>
      <c r="BE8" s="1">
        <f t="shared" ca="1" si="0"/>
        <v>0.81994474423177699</v>
      </c>
      <c r="BF8" s="1">
        <f t="shared" ca="1" si="0"/>
        <v>0.44684830003831555</v>
      </c>
      <c r="BG8" s="1">
        <f t="shared" ca="1" si="0"/>
        <v>8.8020071540574563E-2</v>
      </c>
      <c r="BH8" s="1">
        <f t="shared" ca="1" si="0"/>
        <v>0.9976552097805681</v>
      </c>
      <c r="BI8" s="1">
        <f t="shared" ca="1" si="0"/>
        <v>0.16255143160978813</v>
      </c>
      <c r="BJ8" s="1">
        <f t="shared" ca="1" si="0"/>
        <v>0.59215473689762887</v>
      </c>
      <c r="BK8" s="1">
        <f t="shared" ca="1" si="0"/>
        <v>0.81001925935348629</v>
      </c>
      <c r="BL8" s="1">
        <f t="shared" ca="1" si="0"/>
        <v>0.25512065270131101</v>
      </c>
      <c r="BM8" s="1">
        <f t="shared" ca="1" si="0"/>
        <v>0.17802218010924054</v>
      </c>
      <c r="BN8" s="1">
        <f t="shared" ca="1" si="0"/>
        <v>0.23089476460470826</v>
      </c>
      <c r="BO8" s="1">
        <f ca="1">RAND()</f>
        <v>9.8779610051359712E-2</v>
      </c>
      <c r="BP8" s="1">
        <f t="shared" ca="1" si="1"/>
        <v>0.73883207262429684</v>
      </c>
      <c r="BQ8" s="1">
        <f t="shared" ca="1" si="1"/>
        <v>0.43077165057263223</v>
      </c>
      <c r="BR8" s="1">
        <f t="shared" ca="1" si="1"/>
        <v>0.16595880955662434</v>
      </c>
      <c r="BS8" s="1">
        <f t="shared" ca="1" si="1"/>
        <v>0.72944630593986515</v>
      </c>
      <c r="BT8" s="1">
        <f t="shared" ca="1" si="1"/>
        <v>0.77296057914901428</v>
      </c>
      <c r="BU8" s="1">
        <f t="shared" ca="1" si="1"/>
        <v>0.93697903616474743</v>
      </c>
      <c r="BV8" s="1">
        <f t="shared" ca="1" si="1"/>
        <v>0.1891484671458894</v>
      </c>
      <c r="BW8" s="1">
        <f t="shared" ca="1" si="1"/>
        <v>0.48698259454109349</v>
      </c>
      <c r="BX8" s="1">
        <f t="shared" ca="1" si="1"/>
        <v>0.10938883263775534</v>
      </c>
      <c r="BY8" s="1">
        <f t="shared" ca="1" si="1"/>
        <v>0.74743330834396049</v>
      </c>
      <c r="BZ8" s="1">
        <f t="shared" ca="1" si="1"/>
        <v>0.46175108398413267</v>
      </c>
      <c r="CA8" s="1">
        <f t="shared" ca="1" si="1"/>
        <v>4.4840506913919942E-2</v>
      </c>
      <c r="CB8" s="1">
        <f t="shared" ca="1" si="1"/>
        <v>0.80413954698039458</v>
      </c>
      <c r="CC8" s="1">
        <f t="shared" ca="1" si="1"/>
        <v>0.36816946717755805</v>
      </c>
      <c r="CD8" s="1">
        <f t="shared" ca="1" si="1"/>
        <v>0.467938892847376</v>
      </c>
      <c r="CE8" s="1">
        <f t="shared" ca="1" si="1"/>
        <v>0.38020845724445285</v>
      </c>
      <c r="CF8" s="1">
        <f t="shared" ca="1" si="1"/>
        <v>0.41475497543604833</v>
      </c>
      <c r="CG8" s="1">
        <f t="shared" ca="1" si="1"/>
        <v>2.6146804441413374E-2</v>
      </c>
      <c r="CH8" s="1">
        <f t="shared" ca="1" si="1"/>
        <v>0.15374468851523759</v>
      </c>
      <c r="CI8" s="1">
        <f t="shared" ca="1" si="1"/>
        <v>0.32311068250342567</v>
      </c>
      <c r="CJ8" s="1">
        <f t="shared" ca="1" si="1"/>
        <v>0.49393638367251314</v>
      </c>
      <c r="CK8" s="1">
        <f t="shared" ca="1" si="1"/>
        <v>0.65187106738463518</v>
      </c>
      <c r="CL8" s="1">
        <f t="shared" ca="1" si="1"/>
        <v>0.64076394369963885</v>
      </c>
      <c r="CM8" s="1">
        <f t="shared" ca="1" si="1"/>
        <v>0.89589100350013573</v>
      </c>
      <c r="CN8" s="1">
        <f t="shared" ca="1" si="1"/>
        <v>0.87770943604664953</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1</v>
      </c>
      <c r="K9">
        <f t="shared" si="2"/>
        <v>1</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2</v>
      </c>
      <c r="AK9">
        <f t="shared" si="2"/>
        <v>2</v>
      </c>
      <c r="AL9">
        <f t="shared" si="2"/>
        <v>2</v>
      </c>
      <c r="AM9">
        <f t="shared" si="2"/>
        <v>2</v>
      </c>
      <c r="AN9">
        <f t="shared" si="2"/>
        <v>2</v>
      </c>
      <c r="AO9">
        <f t="shared" si="2"/>
        <v>2</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0</v>
      </c>
      <c r="K10">
        <f t="shared" si="4"/>
        <v>0</v>
      </c>
      <c r="L10">
        <f t="shared" si="4"/>
        <v>0</v>
      </c>
      <c r="M10">
        <f t="shared" si="4"/>
        <v>0</v>
      </c>
      <c r="N10">
        <f t="shared" si="4"/>
        <v>0</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1</v>
      </c>
      <c r="AK10">
        <f t="shared" si="4"/>
        <v>1</v>
      </c>
      <c r="AL10">
        <f t="shared" si="4"/>
        <v>1</v>
      </c>
      <c r="AM10">
        <f t="shared" si="4"/>
        <v>1</v>
      </c>
      <c r="AN10">
        <f t="shared" si="4"/>
        <v>1</v>
      </c>
      <c r="AO10">
        <f t="shared" si="4"/>
        <v>1</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0</v>
      </c>
      <c r="K11">
        <f t="shared" si="6"/>
        <v>0</v>
      </c>
      <c r="L11">
        <f t="shared" si="6"/>
        <v>0.01</v>
      </c>
      <c r="M11">
        <f t="shared" si="6"/>
        <v>0.02</v>
      </c>
      <c r="N11">
        <f t="shared" si="6"/>
        <v>0.03</v>
      </c>
      <c r="O11">
        <f t="shared" si="6"/>
        <v>0.04</v>
      </c>
      <c r="P11">
        <f t="shared" si="6"/>
        <v>0.05</v>
      </c>
      <c r="Q11">
        <f t="shared" si="6"/>
        <v>6.0000000000000005E-2</v>
      </c>
      <c r="R11">
        <f t="shared" si="6"/>
        <v>7.0000000000000007E-2</v>
      </c>
      <c r="S11">
        <f t="shared" si="6"/>
        <v>0.08</v>
      </c>
      <c r="T11">
        <f t="shared" si="6"/>
        <v>0.09</v>
      </c>
      <c r="U11">
        <f t="shared" si="6"/>
        <v>9.9999999999999992E-2</v>
      </c>
      <c r="V11">
        <f t="shared" si="6"/>
        <v>0.10999999999999999</v>
      </c>
      <c r="W11">
        <f t="shared" si="6"/>
        <v>0.11999999999999998</v>
      </c>
      <c r="X11">
        <f t="shared" si="6"/>
        <v>0.12999999999999998</v>
      </c>
      <c r="Y11">
        <f t="shared" si="6"/>
        <v>0.13999999999999999</v>
      </c>
      <c r="Z11">
        <f t="shared" si="6"/>
        <v>0.15</v>
      </c>
      <c r="AA11">
        <f t="shared" si="6"/>
        <v>0.16</v>
      </c>
      <c r="AB11">
        <f t="shared" si="6"/>
        <v>0.17</v>
      </c>
      <c r="AC11">
        <f t="shared" si="6"/>
        <v>0.18000000000000002</v>
      </c>
      <c r="AD11">
        <f t="shared" si="6"/>
        <v>0.19000000000000003</v>
      </c>
      <c r="AE11">
        <f t="shared" si="6"/>
        <v>0.20000000000000004</v>
      </c>
      <c r="AF11">
        <f t="shared" si="6"/>
        <v>0.21000000000000005</v>
      </c>
      <c r="AG11">
        <f t="shared" si="6"/>
        <v>0.22000000000000006</v>
      </c>
      <c r="AH11">
        <f t="shared" si="6"/>
        <v>0.23000000000000007</v>
      </c>
      <c r="AI11">
        <f t="shared" si="6"/>
        <v>0.24000000000000007</v>
      </c>
      <c r="AJ11">
        <f t="shared" si="6"/>
        <v>0.25000000000000006</v>
      </c>
      <c r="AK11">
        <f t="shared" si="6"/>
        <v>0.26000000000000006</v>
      </c>
      <c r="AL11">
        <f t="shared" si="6"/>
        <v>0.27000000000000007</v>
      </c>
      <c r="AM11">
        <f t="shared" si="6"/>
        <v>0.28000000000000008</v>
      </c>
      <c r="AN11">
        <f t="shared" si="6"/>
        <v>0.29000000000000009</v>
      </c>
      <c r="AO11">
        <f t="shared" si="6"/>
        <v>0.3000000000000001</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0</v>
      </c>
      <c r="K12">
        <f t="shared" si="8"/>
        <v>0</v>
      </c>
      <c r="L12">
        <f t="shared" si="8"/>
        <v>0.02</v>
      </c>
      <c r="M12">
        <f t="shared" si="8"/>
        <v>0.04</v>
      </c>
      <c r="N12">
        <f t="shared" si="8"/>
        <v>0.06</v>
      </c>
      <c r="O12">
        <f t="shared" si="8"/>
        <v>0.08</v>
      </c>
      <c r="P12">
        <f t="shared" si="8"/>
        <v>0.1</v>
      </c>
      <c r="Q12">
        <f t="shared" si="8"/>
        <v>0.12000000000000001</v>
      </c>
      <c r="R12">
        <f t="shared" si="8"/>
        <v>0.14000000000000001</v>
      </c>
      <c r="S12">
        <f t="shared" si="8"/>
        <v>0.16</v>
      </c>
      <c r="T12">
        <f t="shared" si="8"/>
        <v>0.18</v>
      </c>
      <c r="U12">
        <f t="shared" si="8"/>
        <v>0.19999999999999998</v>
      </c>
      <c r="V12">
        <f t="shared" si="8"/>
        <v>0.21999999999999997</v>
      </c>
      <c r="W12">
        <f t="shared" si="8"/>
        <v>0.23999999999999996</v>
      </c>
      <c r="X12">
        <f t="shared" si="8"/>
        <v>0.25999999999999995</v>
      </c>
      <c r="Y12">
        <f t="shared" si="8"/>
        <v>0.27999999999999997</v>
      </c>
      <c r="Z12">
        <f t="shared" si="8"/>
        <v>0.3</v>
      </c>
      <c r="AA12">
        <f t="shared" si="8"/>
        <v>0.32</v>
      </c>
      <c r="AB12">
        <f t="shared" si="8"/>
        <v>0.34</v>
      </c>
      <c r="AC12">
        <f t="shared" si="8"/>
        <v>0.36000000000000004</v>
      </c>
      <c r="AD12">
        <f t="shared" si="8"/>
        <v>0.38000000000000006</v>
      </c>
      <c r="AE12">
        <f t="shared" si="8"/>
        <v>0.40000000000000008</v>
      </c>
      <c r="AF12">
        <f t="shared" si="8"/>
        <v>0.4200000000000001</v>
      </c>
      <c r="AG12">
        <f t="shared" si="8"/>
        <v>0.44000000000000011</v>
      </c>
      <c r="AH12">
        <f t="shared" si="8"/>
        <v>0.46000000000000013</v>
      </c>
      <c r="AI12">
        <f t="shared" si="8"/>
        <v>0.48000000000000015</v>
      </c>
      <c r="AJ12">
        <f t="shared" si="8"/>
        <v>0.50000000000000011</v>
      </c>
      <c r="AK12">
        <f t="shared" si="8"/>
        <v>0.52000000000000013</v>
      </c>
      <c r="AL12">
        <f t="shared" si="8"/>
        <v>0.54000000000000015</v>
      </c>
      <c r="AM12">
        <f t="shared" si="8"/>
        <v>0.56000000000000016</v>
      </c>
      <c r="AN12">
        <f t="shared" si="8"/>
        <v>0.58000000000000018</v>
      </c>
      <c r="AO12">
        <f t="shared" si="8"/>
        <v>0.6000000000000002</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-9.0273291943895717E-2</v>
      </c>
      <c r="D13">
        <f t="shared" ref="D13:BO13" ca="1" si="10">IF(D9&lt;&gt;0, IF(D6&lt;=0.1, D7*(0.15)*-1+(-0.1), IF(D6&lt;=0.3, D7*(0.1)*-1, IF(D6&lt;=0.875, D7*(0.1), D7*0.1+0.1))), 0)</f>
        <v>6.678599686099447E-2</v>
      </c>
      <c r="E13">
        <f t="shared" ca="1" si="10"/>
        <v>-0.12705801026083946</v>
      </c>
      <c r="F13">
        <f t="shared" ca="1" si="10"/>
        <v>-3.9075280235867788E-2</v>
      </c>
      <c r="G13">
        <f t="shared" ca="1" si="10"/>
        <v>-3.3519645353343411E-2</v>
      </c>
      <c r="H13">
        <f t="shared" ca="1" si="10"/>
        <v>2.6738984667001465E-2</v>
      </c>
      <c r="I13">
        <f t="shared" ca="1" si="10"/>
        <v>0.17753386744064978</v>
      </c>
      <c r="J13">
        <f t="shared" ca="1" si="10"/>
        <v>6.4644554423010078E-2</v>
      </c>
      <c r="K13">
        <f t="shared" ca="1" si="10"/>
        <v>9.6197555959455172E-2</v>
      </c>
      <c r="L13">
        <f t="shared" ca="1" si="10"/>
        <v>1.8043736523148481E-2</v>
      </c>
      <c r="M13">
        <f t="shared" ca="1" si="10"/>
        <v>7.6479151165410708E-2</v>
      </c>
      <c r="N13">
        <f t="shared" ca="1" si="10"/>
        <v>-3.4931463158487344E-2</v>
      </c>
      <c r="O13">
        <f t="shared" ca="1" si="10"/>
        <v>6.126528812656365E-2</v>
      </c>
      <c r="P13">
        <f t="shared" ca="1" si="10"/>
        <v>-1.6262402408602005E-2</v>
      </c>
      <c r="Q13">
        <f t="shared" ca="1" si="10"/>
        <v>3.5196663880149547E-2</v>
      </c>
      <c r="R13">
        <f t="shared" ca="1" si="10"/>
        <v>9.4282475582872866E-2</v>
      </c>
      <c r="S13">
        <f t="shared" ca="1" si="10"/>
        <v>-8.2223227796506621E-2</v>
      </c>
      <c r="T13">
        <f t="shared" ca="1" si="10"/>
        <v>6.624963790269299E-2</v>
      </c>
      <c r="U13">
        <f t="shared" ca="1" si="10"/>
        <v>9.4496698062189521E-2</v>
      </c>
      <c r="V13">
        <f t="shared" ca="1" si="10"/>
        <v>-5.40894070382038E-2</v>
      </c>
      <c r="W13">
        <f t="shared" ca="1" si="10"/>
        <v>4.7340699759662624E-2</v>
      </c>
      <c r="X13">
        <f t="shared" ca="1" si="10"/>
        <v>-9.7447013093132223E-2</v>
      </c>
      <c r="Y13">
        <f t="shared" ca="1" si="10"/>
        <v>1.6635804572705828E-2</v>
      </c>
      <c r="Z13">
        <f t="shared" ca="1" si="10"/>
        <v>6.3489902685693364E-2</v>
      </c>
      <c r="AA13">
        <f t="shared" ca="1" si="10"/>
        <v>-1.725416922630443E-2</v>
      </c>
      <c r="AB13">
        <f t="shared" ca="1" si="10"/>
        <v>8.737364405781764E-2</v>
      </c>
      <c r="AC13">
        <f t="shared" ca="1" si="10"/>
        <v>4.7373419482536788E-2</v>
      </c>
      <c r="AD13">
        <f t="shared" ca="1" si="10"/>
        <v>-3.2032070832630988E-2</v>
      </c>
      <c r="AE13">
        <f t="shared" ca="1" si="10"/>
        <v>5.3392713248693761E-2</v>
      </c>
      <c r="AF13">
        <f t="shared" ca="1" si="10"/>
        <v>0.15499101941260301</v>
      </c>
      <c r="AG13">
        <f t="shared" ca="1" si="10"/>
        <v>7.4896939963865733E-2</v>
      </c>
      <c r="AH13">
        <f t="shared" ca="1" si="10"/>
        <v>-9.4049221529628857E-2</v>
      </c>
      <c r="AI13">
        <f t="shared" ca="1" si="10"/>
        <v>5.0567268689008231E-2</v>
      </c>
      <c r="AJ13">
        <f t="shared" ca="1" si="10"/>
        <v>7.136545300795015E-2</v>
      </c>
      <c r="AK13">
        <f t="shared" ca="1" si="10"/>
        <v>8.8531076533363312E-2</v>
      </c>
      <c r="AL13">
        <f t="shared" ca="1" si="10"/>
        <v>-3.9076026979794891E-2</v>
      </c>
      <c r="AM13">
        <f t="shared" ca="1" si="10"/>
        <v>3.3307781065873641E-2</v>
      </c>
      <c r="AN13">
        <f t="shared" ca="1" si="10"/>
        <v>8.1480754434339497E-2</v>
      </c>
      <c r="AO13">
        <f t="shared" ca="1" si="10"/>
        <v>5.0023128875049741E-2</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si="12"/>
        <v>0</v>
      </c>
      <c r="K14">
        <f t="shared" si="12"/>
        <v>0</v>
      </c>
      <c r="L14">
        <f t="shared" si="12"/>
        <v>0</v>
      </c>
      <c r="M14">
        <f t="shared" si="12"/>
        <v>0</v>
      </c>
      <c r="N14">
        <f t="shared" si="12"/>
        <v>0</v>
      </c>
      <c r="O14">
        <f t="shared" ca="1" si="12"/>
        <v>0</v>
      </c>
      <c r="P14">
        <f t="shared" ca="1" si="12"/>
        <v>0</v>
      </c>
      <c r="Q14">
        <f t="shared" ca="1" si="12"/>
        <v>0</v>
      </c>
      <c r="R14">
        <f t="shared" ca="1" si="12"/>
        <v>0</v>
      </c>
      <c r="S14">
        <f t="shared" ca="1" si="12"/>
        <v>0</v>
      </c>
      <c r="T14">
        <f t="shared" ca="1" si="12"/>
        <v>0</v>
      </c>
      <c r="U14">
        <f t="shared" ca="1" si="12"/>
        <v>0</v>
      </c>
      <c r="V14">
        <f ca="1">IF(V10=1, IF(V8&lt;V11, V12, 0), 0)</f>
        <v>0</v>
      </c>
      <c r="W14">
        <f t="shared" ca="1" si="12"/>
        <v>0</v>
      </c>
      <c r="X14">
        <f t="shared" ca="1" si="12"/>
        <v>0</v>
      </c>
      <c r="Y14">
        <f t="shared" ca="1" si="12"/>
        <v>0</v>
      </c>
      <c r="Z14">
        <f t="shared" ca="1" si="12"/>
        <v>0</v>
      </c>
      <c r="AA14">
        <f t="shared" ca="1" si="12"/>
        <v>0</v>
      </c>
      <c r="AB14">
        <f t="shared" ca="1" si="12"/>
        <v>0</v>
      </c>
      <c r="AC14">
        <f t="shared" ca="1" si="12"/>
        <v>0</v>
      </c>
      <c r="AD14">
        <f t="shared" ca="1" si="12"/>
        <v>0.38000000000000006</v>
      </c>
      <c r="AE14">
        <f ca="1">IF(AE10=1, IF(AE8&lt;AE11, AE12, 0), 0)</f>
        <v>0</v>
      </c>
      <c r="AF14">
        <f t="shared" ca="1" si="12"/>
        <v>0</v>
      </c>
      <c r="AG14">
        <f t="shared" ca="1" si="12"/>
        <v>0</v>
      </c>
      <c r="AH14">
        <f t="shared" ca="1" si="12"/>
        <v>0</v>
      </c>
      <c r="AI14">
        <f t="shared" ca="1" si="12"/>
        <v>0</v>
      </c>
      <c r="AJ14">
        <f t="shared" ca="1" si="12"/>
        <v>0</v>
      </c>
      <c r="AK14">
        <f t="shared" ca="1" si="12"/>
        <v>0.52000000000000013</v>
      </c>
      <c r="AL14">
        <f t="shared" ca="1" si="12"/>
        <v>0.54000000000000015</v>
      </c>
      <c r="AM14">
        <f t="shared" ca="1" si="12"/>
        <v>0.56000000000000016</v>
      </c>
      <c r="AN14">
        <f t="shared" ca="1" si="12"/>
        <v>0</v>
      </c>
      <c r="AO14">
        <f t="shared" ca="1"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12</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1</v>
      </c>
      <c r="AK16">
        <f>IF(AND(Input!$C$8&gt;0, AK9&lt;&gt;0), 1,0)</f>
        <v>1</v>
      </c>
      <c r="AL16">
        <f>IF(AND(Input!$C$8&gt;0, AL9&lt;&gt;0), 1,0)</f>
        <v>1</v>
      </c>
      <c r="AM16">
        <f>IF(AND(Input!$C$8&gt;0, AM9&lt;&gt;0), 1,0)</f>
        <v>1</v>
      </c>
      <c r="AN16">
        <f>IF(AND(Input!$C$8&gt;0, AN9&lt;&gt;0), 1,0)</f>
        <v>1</v>
      </c>
      <c r="AO16">
        <f>IF(AND(Input!$C$8&gt;0, AO9&lt;&gt;0), 1,0)</f>
        <v>1</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11</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1</v>
      </c>
      <c r="AK17">
        <f>IF(AND(Input!$C$9&gt;0, AK9&lt;&gt;0), 1,0)</f>
        <v>1</v>
      </c>
      <c r="AL17">
        <f>IF(AND(Input!$C$9&gt;0, AL9&lt;&gt;0), 1,0)</f>
        <v>1</v>
      </c>
      <c r="AM17">
        <f>IF(AND(Input!$C$9&gt;0, AM9&lt;&gt;0), 1,0)</f>
        <v>1</v>
      </c>
      <c r="AN17">
        <f>IF(AND(Input!$C$9&gt;0, AN9&lt;&gt;0), 1,0)</f>
        <v>1</v>
      </c>
      <c r="AO17">
        <f>IF(AND(Input!$C$9&gt;0, AO9&lt;&gt;0), 1,0)</f>
        <v>1</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13</v>
      </c>
      <c r="C18">
        <f>IF(AND(C9=1,C5&gt;Input!$C$12),Input!$C$11+C21,0)+C70</f>
        <v>12852</v>
      </c>
      <c r="D18">
        <f>IF(AND(D9=1,D5&gt;Input!$C$12),Input!$C$11+D21,0)+D70</f>
        <v>12852</v>
      </c>
      <c r="E18">
        <f>IF(AND(E9=1,E5&gt;Input!$C$12),Input!$C$11+E21,0)+E70</f>
        <v>12852</v>
      </c>
      <c r="F18">
        <f>IF(AND(F9=1,F5&gt;Input!$C$12),Input!$C$11+F21,0)+F70</f>
        <v>12852</v>
      </c>
      <c r="G18">
        <f>IF(AND(G9=1,G5&gt;Input!$C$12),Input!$C$11+G21,0)+G70</f>
        <v>12852</v>
      </c>
      <c r="H18">
        <f>IF(AND(H9=1,H5&gt;Input!$C$12),Input!$C$11+H21,0)+H70</f>
        <v>12852</v>
      </c>
      <c r="I18">
        <f>IF(AND(I9=1,I5&gt;Input!$C$12),Input!$C$11+I21,0)+I70</f>
        <v>12852</v>
      </c>
      <c r="J18">
        <f>IF(AND(J9=1,J5&gt;Input!$C$12),Input!$C$11+J21,0)+J70</f>
        <v>12852</v>
      </c>
      <c r="K18">
        <f>IF(AND(K9=1,K5&gt;Input!$C$12),Input!$C$11+K21,0)+K70</f>
        <v>12852</v>
      </c>
      <c r="L18">
        <f>IF(AND(L9=1,L5&gt;Input!$C$12),Input!$C$11+L21,0)+L70</f>
        <v>0</v>
      </c>
      <c r="M18">
        <f>IF(AND(M9=1,M5&gt;Input!$C$12),Input!$C$11+M21,0)+M70</f>
        <v>0</v>
      </c>
      <c r="N18">
        <f>IF(AND(N9=1,N5&gt;Input!$C$12),Input!$C$11+N21,0)+N70</f>
        <v>0</v>
      </c>
      <c r="O18">
        <f>IF(AND(O9=1,O5&gt;Input!$C$12),Input!$C$11+O21,0)+O70</f>
        <v>0</v>
      </c>
      <c r="P18">
        <f>IF(AND(P9=1,P5&gt;Input!$C$12),Input!$C$11+P21,0)+P70</f>
        <v>0</v>
      </c>
      <c r="Q18">
        <f>IF(AND(Q9=1,Q5&gt;Input!$C$12),Input!$C$11+Q21,0)+Q70</f>
        <v>0</v>
      </c>
      <c r="R18">
        <f>IF(AND(R9=1,R5&gt;Input!$C$12),Input!$C$11+R21,0)+R70</f>
        <v>0</v>
      </c>
      <c r="S18">
        <f>IF(AND(S9=1,S5&gt;Input!$C$12),Input!$C$11+S21,0)+S70</f>
        <v>0</v>
      </c>
      <c r="T18">
        <f>IF(AND(T9=1,T5&gt;Input!$C$12),Input!$C$11+T21,0)+T70</f>
        <v>0</v>
      </c>
      <c r="U18">
        <f>IF(AND(U9=1,U5&gt;Input!$C$12),Input!$C$11+U21,0)+U70</f>
        <v>0</v>
      </c>
      <c r="V18">
        <f>IF(AND(V9=1,V5&gt;Input!$C$12),Input!$C$11+V21,0)+V70</f>
        <v>0</v>
      </c>
      <c r="W18">
        <f>IF(AND(W9=1,W5&gt;Input!$C$12),Input!$C$11+W21,0)+W70</f>
        <v>0</v>
      </c>
      <c r="X18">
        <f>IF(AND(X9=1,X5&gt;Input!$C$12),Input!$C$11+X21,0)+X70</f>
        <v>0</v>
      </c>
      <c r="Y18">
        <f>IF(AND(Y9=1,Y5&gt;Input!$C$12),Input!$C$11+Y21,0)+Y70</f>
        <v>0</v>
      </c>
      <c r="Z18">
        <f>IF(AND(Z9=1,Z5&gt;Input!$C$12),Input!$C$11+Z21,0)+Z70</f>
        <v>0</v>
      </c>
      <c r="AA18">
        <f>IF(AND(AA9=1,AA5&gt;Input!$C$12),Input!$C$11+AA21,0)+AA70</f>
        <v>0</v>
      </c>
      <c r="AB18">
        <f>IF(AND(AB9=1,AB5&gt;Input!$C$12),Input!$C$11+AB21,0)+AB70</f>
        <v>0</v>
      </c>
      <c r="AC18">
        <f>IF(AND(AC9=1,AC5&gt;Input!$C$12),Input!$C$11+AC21,0)+AC70</f>
        <v>0</v>
      </c>
      <c r="AD18">
        <f>IF(AND(AD9=1,AD5&gt;Input!$C$12),Input!$C$11+AD21,0)+AD70</f>
        <v>0</v>
      </c>
      <c r="AE18">
        <f>IF(AND(AE9=1,AE5&gt;Input!$C$12),Input!$C$11+AE21,0)+AE70</f>
        <v>0</v>
      </c>
      <c r="AF18">
        <f>IF(AND(AF9=1,AF5&gt;Input!$C$12),Input!$C$11+AF21,0)+AF70</f>
        <v>0</v>
      </c>
      <c r="AG18">
        <f>IF(AND(AG9=1,AG5&gt;Input!$C$12),Input!$C$11+AG21,0)+AG70</f>
        <v>0</v>
      </c>
      <c r="AH18">
        <f>IF(AND(AH9=1,AH5&gt;Input!$C$12),Input!$C$11+AH21,0)+AH70</f>
        <v>0</v>
      </c>
      <c r="AI18">
        <f>IF(AND(AI9=1,AI5&gt;Input!$C$12),Input!$C$11+AI21,0)+AI70</f>
        <v>0</v>
      </c>
      <c r="AJ18">
        <f>IF(AND(AJ9=1,AJ5&gt;Input!$C$12),Input!$C$11+AJ21,0)+AJ70</f>
        <v>0</v>
      </c>
      <c r="AK18">
        <f>IF(AND(AK9=1,AK5&gt;Input!$C$12),Input!$C$11+AK21,0)+AK70</f>
        <v>0</v>
      </c>
      <c r="AL18">
        <f>IF(AND(AL9=1,AL5&gt;Input!$C$12),Input!$C$11+AL21,0)+AL70</f>
        <v>0</v>
      </c>
      <c r="AM18">
        <f>IF(AND(AM9=1,AM5&gt;Input!$C$12),Input!$C$11+AM21,0)+AM70</f>
        <v>0</v>
      </c>
      <c r="AN18">
        <f>IF(AND(AN9=1,AN5&gt;Input!$C$12),Input!$C$11+AN21,0)+AN70</f>
        <v>0</v>
      </c>
      <c r="AO18">
        <f>IF(AND(AO9=1,AO5&gt;Input!$C$12),Input!$C$11+AO21,0)+AO70</f>
        <v>0</v>
      </c>
      <c r="AP18">
        <f>IF(AND(AP9=1,AP5&gt;Input!$C$12),Input!$C$11+AP21,0)+AP70</f>
        <v>0</v>
      </c>
      <c r="AQ18">
        <f>IF(AND(AQ9=1,AQ5&gt;Input!$C$12),Input!$C$11+AQ21,0)+AQ70</f>
        <v>0</v>
      </c>
      <c r="AR18">
        <f>IF(AND(AR9=1,AR5&gt;Input!$C$12),Input!$C$11+AR21,0)+AR70</f>
        <v>0</v>
      </c>
      <c r="AS18">
        <f>IF(AND(AS9=1,AS5&gt;Input!$C$12),Input!$C$11+AS21,0)+AS70</f>
        <v>0</v>
      </c>
      <c r="AT18">
        <f>IF(AND(AT9=1,AT5&gt;Input!$C$12),Input!$C$11+AT21,0)+AT70</f>
        <v>0</v>
      </c>
      <c r="AU18">
        <f>IF(AND(AU9=1,AU5&gt;Input!$C$12),Input!$C$11+AU21,0)+AU70</f>
        <v>0</v>
      </c>
      <c r="AV18">
        <f>IF(AND(AV9=1,AV5&gt;Input!$C$12),Input!$C$11+AV21,0)+AV70</f>
        <v>0</v>
      </c>
      <c r="AW18">
        <f>IF(AND(AW9=1,AW5&gt;Input!$C$12),Input!$C$11+AW21,0)+AW70</f>
        <v>0</v>
      </c>
      <c r="AX18">
        <f>IF(AND(AX9=1,AX5&gt;Input!$C$12),Input!$C$11+AX21,0)+AX70</f>
        <v>0</v>
      </c>
      <c r="AY18">
        <f>IF(AND(AY9=1,AY5&gt;Input!$C$12),Input!$C$11+AY21,0)+AY70</f>
        <v>0</v>
      </c>
      <c r="AZ18">
        <f>IF(AND(AZ9=1,AZ5&gt;Input!$C$12),Input!$C$11+AZ21,0)+AZ70</f>
        <v>0</v>
      </c>
      <c r="BA18">
        <f>IF(AND(BA9=1,BA5&gt;Input!$C$12),Input!$C$11+BA21,0)+BA70</f>
        <v>0</v>
      </c>
      <c r="BB18">
        <f>IF(AND(BB9=1,BB5&gt;Input!$C$12),Input!$C$11+BB21,0)+BB70</f>
        <v>0</v>
      </c>
      <c r="BC18">
        <f>IF(AND(BC9=1,BC5&gt;Input!$C$12),Input!$C$11+BC21,0)+BC70</f>
        <v>0</v>
      </c>
      <c r="BD18">
        <f>IF(AND(BD9=1,BD5&gt;Input!$C$12),Input!$C$11+BD21,0)+BD70</f>
        <v>0</v>
      </c>
      <c r="BE18">
        <f>IF(AND(BE9=1,BE5&gt;Input!$C$12),Input!$C$11+BE21,0)+BE70</f>
        <v>0</v>
      </c>
      <c r="BF18">
        <f>IF(AND(BF9=1,BF5&gt;Input!$C$12),Input!$C$11+BF21,0)+BF70</f>
        <v>0</v>
      </c>
      <c r="BG18">
        <f>IF(AND(BG9=1,BG5&gt;Input!$C$12),Input!$C$11+BG21,0)+BG70</f>
        <v>0</v>
      </c>
      <c r="BH18">
        <f>IF(AND(BH9=1,BH5&gt;Input!$C$12),Input!$C$11+BH21,0)+BH70</f>
        <v>0</v>
      </c>
      <c r="BI18">
        <f>IF(AND(BI9=1,BI5&gt;Input!$C$12),Input!$C$11+BI21,0)+BI70</f>
        <v>0</v>
      </c>
      <c r="BJ18">
        <f>IF(AND(BJ9=1,BJ5&gt;Input!$C$12),Input!$C$11+BJ21,0)+BJ70</f>
        <v>0</v>
      </c>
      <c r="BK18">
        <f>IF(AND(BK9=1,BK5&gt;Input!$C$12),Input!$C$11+BK21,0)+BK70</f>
        <v>0</v>
      </c>
      <c r="BL18">
        <f>IF(AND(BL9=1,BL5&gt;Input!$C$12),Input!$C$11+BL21,0)+BL70</f>
        <v>0</v>
      </c>
      <c r="BM18">
        <f>IF(AND(BM9=1,BM5&gt;Input!$C$12),Input!$C$11+BM21,0)+BM70</f>
        <v>0</v>
      </c>
      <c r="BN18">
        <f>IF(AND(BN9=1,BN5&gt;Input!$C$12),Input!$C$11+BN21,0)+BN70</f>
        <v>0</v>
      </c>
      <c r="BO18">
        <f>IF(AND(BO9=1,BO5&gt;Input!$C$12),Input!$C$11+BO21,0)+BO70</f>
        <v>0</v>
      </c>
      <c r="BP18">
        <f>IF(AND(BP9=1,BP5&gt;Input!$C$12),Input!$C$11+BP21,0)+BP70</f>
        <v>0</v>
      </c>
      <c r="BQ18">
        <f>IF(AND(BQ9=1,BQ5&gt;Input!$C$12),Input!$C$11+BQ21,0)+BQ70</f>
        <v>0</v>
      </c>
      <c r="BR18">
        <f>IF(AND(BR9=1,BR5&gt;Input!$C$12),Input!$C$11+BR21,0)+BR70</f>
        <v>0</v>
      </c>
      <c r="BS18">
        <f>IF(AND(BS9=1,BS5&gt;Input!$C$12),Input!$C$11+BS21,0)+BS70</f>
        <v>0</v>
      </c>
      <c r="BT18">
        <f>IF(AND(BT9=1,BT5&gt;Input!$C$12),Input!$C$11+BT21,0)+BT70</f>
        <v>0</v>
      </c>
      <c r="BU18">
        <f>IF(AND(BU9=1,BU5&gt;Input!$C$12),Input!$C$11+BU21,0)+BU70</f>
        <v>0</v>
      </c>
      <c r="BV18">
        <f>IF(AND(BV9=1,BV5&gt;Input!$C$12),Input!$C$11+BV21,0)+BV70</f>
        <v>0</v>
      </c>
      <c r="BW18">
        <f>IF(AND(BW9=1,BW5&gt;Input!$C$12),Input!$C$11+BW21,0)+BW70</f>
        <v>0</v>
      </c>
      <c r="BX18">
        <f>IF(AND(BX9=1,BX5&gt;Input!$C$12),Input!$C$11+BX21,0)+BX70</f>
        <v>0</v>
      </c>
      <c r="BY18">
        <f>IF(AND(BY9=1,BY5&gt;Input!$C$12),Input!$C$11+BY21,0)+BY70</f>
        <v>0</v>
      </c>
      <c r="BZ18">
        <f>IF(AND(BZ9=1,BZ5&gt;Input!$C$12),Input!$C$11+BZ21,0)+BZ70</f>
        <v>0</v>
      </c>
      <c r="CA18">
        <f>IF(AND(CA9=1,CA5&gt;Input!$C$12),Input!$C$11+CA21,0)+CA70</f>
        <v>0</v>
      </c>
      <c r="CB18">
        <f>IF(AND(CB9=1,CB5&gt;Input!$C$12),Input!$C$11+CB21,0)+CB70</f>
        <v>0</v>
      </c>
      <c r="CC18">
        <f>IF(AND(CC9=1,CC5&gt;Input!$C$12),Input!$C$11+CC21,0)+CC70</f>
        <v>0</v>
      </c>
      <c r="CD18">
        <f>IF(AND(CD9=1,CD5&gt;Input!$C$12),Input!$C$11+CD21,0)+CD70</f>
        <v>0</v>
      </c>
      <c r="CE18">
        <f>IF(AND(CE9=1,CE5&gt;Input!$C$12),Input!$C$11+CE21,0)+CE70</f>
        <v>0</v>
      </c>
      <c r="CF18">
        <f>IF(AND(CF9=1,CF5&gt;Input!$C$12),Input!$C$11+CF21,0)+CF70</f>
        <v>0</v>
      </c>
      <c r="CG18">
        <f>IF(AND(CG9=1,CG5&gt;Input!$C$12),Input!$C$11+CG21,0)+CG70</f>
        <v>0</v>
      </c>
      <c r="CH18">
        <f>IF(AND(CH9=1,CH5&gt;Input!$C$12),Input!$C$11+CH21,0)+CH70</f>
        <v>0</v>
      </c>
      <c r="CI18">
        <f>IF(AND(CI9=1,CI5&gt;Input!$C$12),Input!$C$11+CI21,0)+CI70</f>
        <v>0</v>
      </c>
      <c r="CJ18">
        <f>IF(AND(CJ9=1,CJ5&gt;Input!$C$12),Input!$C$11+CJ21,0)+CJ70</f>
        <v>0</v>
      </c>
      <c r="CK18">
        <f>IF(AND(CK9=1,CK5&gt;Input!$C$12),Input!$C$11+CK21,0)+CK70</f>
        <v>0</v>
      </c>
      <c r="CL18">
        <f>IF(AND(CL9=1,CL5&gt;Input!$C$12),Input!$C$11+CL21,0)+CL70</f>
        <v>0</v>
      </c>
      <c r="CM18">
        <f>IF(AND(CM9=1,CM5&gt;Input!$C$12),Input!$C$11+CM21,0)+CM70</f>
        <v>0</v>
      </c>
      <c r="CN18">
        <f>IF(AND(CN9=1,CN5&gt;Input!$C$12),Input!$C$11+CN21,0)+CN70</f>
        <v>0</v>
      </c>
    </row>
    <row r="19" spans="1:94" s="249" customFormat="1" ht="36">
      <c r="A19" s="14" t="s">
        <v>38</v>
      </c>
      <c r="C19" s="250">
        <v>1000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v>0</v>
      </c>
      <c r="V19" s="250">
        <v>0</v>
      </c>
      <c r="W19" s="250">
        <v>0</v>
      </c>
      <c r="X19" s="250">
        <v>0</v>
      </c>
      <c r="Y19" s="250">
        <v>0</v>
      </c>
      <c r="Z19" s="250">
        <v>0</v>
      </c>
      <c r="AA19" s="250">
        <v>0</v>
      </c>
      <c r="AB19" s="250">
        <v>0</v>
      </c>
      <c r="AC19" s="250">
        <v>0</v>
      </c>
      <c r="AD19" s="250">
        <v>0</v>
      </c>
      <c r="AE19" s="250">
        <v>0</v>
      </c>
      <c r="AF19" s="250">
        <v>0</v>
      </c>
      <c r="AG19" s="250">
        <v>0</v>
      </c>
      <c r="AH19" s="250">
        <v>0</v>
      </c>
      <c r="AI19" s="250">
        <v>0</v>
      </c>
      <c r="AJ19" s="250">
        <v>0</v>
      </c>
      <c r="AK19" s="250">
        <v>0</v>
      </c>
      <c r="AL19" s="250">
        <v>0</v>
      </c>
      <c r="AM19" s="250">
        <v>0</v>
      </c>
      <c r="AN19" s="250">
        <v>0</v>
      </c>
      <c r="AO19" s="250">
        <v>0</v>
      </c>
      <c r="AP19" s="250">
        <v>0</v>
      </c>
      <c r="AQ19" s="250">
        <v>0</v>
      </c>
      <c r="AR19" s="250">
        <v>0</v>
      </c>
      <c r="AS19" s="250">
        <v>0</v>
      </c>
      <c r="AT19" s="250">
        <v>0</v>
      </c>
      <c r="AU19" s="250">
        <v>0</v>
      </c>
      <c r="AV19" s="250">
        <v>0</v>
      </c>
      <c r="AW19" s="250">
        <v>0</v>
      </c>
      <c r="AX19" s="250">
        <v>0</v>
      </c>
      <c r="AY19" s="250">
        <v>0</v>
      </c>
      <c r="AZ19" s="250">
        <v>0</v>
      </c>
      <c r="BA19" s="250">
        <v>0</v>
      </c>
      <c r="BB19" s="250">
        <v>0</v>
      </c>
      <c r="BC19" s="250">
        <v>0</v>
      </c>
      <c r="BD19" s="250">
        <v>0</v>
      </c>
      <c r="BE19" s="250">
        <v>0</v>
      </c>
      <c r="BF19" s="250">
        <v>0</v>
      </c>
      <c r="BG19" s="250">
        <v>0</v>
      </c>
      <c r="BH19" s="250">
        <v>0</v>
      </c>
      <c r="BI19" s="250">
        <v>0</v>
      </c>
      <c r="BJ19" s="250">
        <v>0</v>
      </c>
      <c r="BK19" s="250">
        <v>0</v>
      </c>
      <c r="BL19" s="250">
        <v>0</v>
      </c>
      <c r="BM19" s="250">
        <v>0</v>
      </c>
      <c r="BN19" s="250">
        <v>0</v>
      </c>
      <c r="BO19" s="250">
        <v>0</v>
      </c>
      <c r="BP19" s="250">
        <v>0</v>
      </c>
      <c r="BQ19" s="250">
        <v>0</v>
      </c>
      <c r="BR19" s="250">
        <v>0</v>
      </c>
      <c r="BS19" s="250">
        <v>0</v>
      </c>
      <c r="BT19" s="250">
        <v>0</v>
      </c>
      <c r="BU19" s="250">
        <v>0</v>
      </c>
      <c r="BV19" s="250">
        <v>0</v>
      </c>
      <c r="BW19" s="250">
        <v>0</v>
      </c>
      <c r="BX19" s="250">
        <v>0</v>
      </c>
      <c r="BY19" s="250">
        <v>0</v>
      </c>
      <c r="BZ19" s="250">
        <v>0</v>
      </c>
      <c r="CA19" s="250">
        <v>0</v>
      </c>
      <c r="CB19" s="250">
        <v>0</v>
      </c>
      <c r="CC19" s="250">
        <v>0</v>
      </c>
      <c r="CD19" s="250">
        <v>0</v>
      </c>
      <c r="CE19" s="250">
        <v>0</v>
      </c>
      <c r="CF19" s="250">
        <v>0</v>
      </c>
      <c r="CG19" s="250">
        <v>0</v>
      </c>
      <c r="CH19" s="250">
        <v>0</v>
      </c>
      <c r="CI19" s="250">
        <v>0</v>
      </c>
      <c r="CJ19" s="250">
        <v>0</v>
      </c>
      <c r="CK19" s="250">
        <v>0</v>
      </c>
      <c r="CL19" s="250">
        <v>0</v>
      </c>
      <c r="CM19" s="250">
        <v>0</v>
      </c>
      <c r="CN19" s="250">
        <v>0</v>
      </c>
    </row>
    <row r="20" spans="1:94">
      <c r="A20" t="s">
        <v>14</v>
      </c>
      <c r="C20">
        <f>IF(AND(C9=1,C5&gt;Input!$C$14),Input!$C$13+C19,0+C19)</f>
        <v>36000</v>
      </c>
      <c r="D20">
        <f>IF(AND(D9=1,D5&gt;Input!$C$14),Input!$C$13+D19,0+D19)</f>
        <v>35000</v>
      </c>
      <c r="E20">
        <f>IF(AND(E9=1,E5&gt;Input!$C$14),Input!$C$13+E19,0+E19)</f>
        <v>35000</v>
      </c>
      <c r="F20">
        <f>IF(AND(F9=1,F5&gt;Input!$C$14),Input!$C$13+F19,0+F19)</f>
        <v>35000</v>
      </c>
      <c r="G20">
        <f>IF(AND(G9=1,G5&gt;Input!$C$14),Input!$C$13+G19,0+G19)</f>
        <v>35000</v>
      </c>
      <c r="H20">
        <f>IF(AND(H9=1,H5&gt;Input!$C$14),Input!$C$13+H19,0+H19)</f>
        <v>35000</v>
      </c>
      <c r="I20">
        <f>IF(AND(I9=1,I5&gt;Input!$C$14),Input!$C$13+I19,0+I19)</f>
        <v>35000</v>
      </c>
      <c r="J20">
        <f>IF(AND(J9=1,J5&gt;Input!$C$14),Input!$C$13+J19,0+J19)</f>
        <v>35000</v>
      </c>
      <c r="K20">
        <f>IF(AND(K9=1,K5&gt;Input!$C$14),Input!$C$13+K19,0+K19)</f>
        <v>35000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49" customFormat="1" ht="36">
      <c r="A21" s="14" t="s">
        <v>37</v>
      </c>
      <c r="C21" s="250">
        <v>0</v>
      </c>
      <c r="D21" s="250">
        <v>0</v>
      </c>
      <c r="E21" s="250">
        <v>0</v>
      </c>
      <c r="F21" s="250">
        <v>0</v>
      </c>
      <c r="G21" s="250">
        <v>0</v>
      </c>
      <c r="H21" s="250">
        <v>0</v>
      </c>
      <c r="I21" s="250">
        <v>0</v>
      </c>
      <c r="J21" s="250">
        <v>0</v>
      </c>
      <c r="K21" s="250">
        <v>0</v>
      </c>
      <c r="L21" s="250">
        <v>0</v>
      </c>
      <c r="M21" s="250">
        <v>0</v>
      </c>
      <c r="N21" s="250">
        <v>0</v>
      </c>
      <c r="O21" s="250">
        <v>0</v>
      </c>
      <c r="P21" s="250">
        <v>0</v>
      </c>
      <c r="Q21" s="250">
        <v>0</v>
      </c>
      <c r="R21" s="250">
        <v>0</v>
      </c>
      <c r="S21" s="250">
        <v>0</v>
      </c>
      <c r="T21" s="250">
        <v>0</v>
      </c>
      <c r="U21" s="250">
        <v>0</v>
      </c>
      <c r="V21" s="250">
        <v>0</v>
      </c>
      <c r="W21" s="250">
        <v>0</v>
      </c>
      <c r="X21" s="250">
        <v>0</v>
      </c>
      <c r="Y21" s="250">
        <v>0</v>
      </c>
      <c r="Z21" s="250">
        <v>0</v>
      </c>
      <c r="AA21" s="250">
        <v>0</v>
      </c>
      <c r="AB21" s="250">
        <v>0</v>
      </c>
      <c r="AC21" s="250">
        <v>0</v>
      </c>
      <c r="AD21" s="250">
        <v>0</v>
      </c>
      <c r="AE21" s="250">
        <v>0</v>
      </c>
      <c r="AF21" s="250">
        <v>0</v>
      </c>
      <c r="AG21" s="250">
        <v>0</v>
      </c>
      <c r="AH21" s="250">
        <v>0</v>
      </c>
      <c r="AI21" s="250">
        <v>0</v>
      </c>
      <c r="AJ21" s="250">
        <v>0</v>
      </c>
      <c r="AK21" s="250">
        <v>0</v>
      </c>
      <c r="AL21" s="250">
        <v>0</v>
      </c>
      <c r="AM21" s="250">
        <v>0</v>
      </c>
      <c r="AN21" s="250">
        <v>0</v>
      </c>
      <c r="AO21" s="250">
        <v>0</v>
      </c>
      <c r="AP21" s="250">
        <v>0</v>
      </c>
      <c r="AQ21" s="250">
        <v>0</v>
      </c>
      <c r="AR21" s="250">
        <v>0</v>
      </c>
      <c r="AS21" s="250">
        <v>0</v>
      </c>
      <c r="AT21" s="250">
        <v>0</v>
      </c>
      <c r="AU21" s="250">
        <v>0</v>
      </c>
      <c r="AV21" s="250">
        <v>0</v>
      </c>
      <c r="AW21" s="250">
        <v>0</v>
      </c>
      <c r="AX21" s="250">
        <v>0</v>
      </c>
      <c r="AY21" s="250">
        <v>0</v>
      </c>
      <c r="AZ21" s="250">
        <v>0</v>
      </c>
      <c r="BA21" s="250">
        <v>0</v>
      </c>
      <c r="BB21" s="250">
        <v>0</v>
      </c>
      <c r="BC21" s="250">
        <v>0</v>
      </c>
      <c r="BD21" s="250">
        <v>0</v>
      </c>
      <c r="BE21" s="250">
        <v>0</v>
      </c>
      <c r="BF21" s="250">
        <v>0</v>
      </c>
      <c r="BG21" s="250">
        <v>0</v>
      </c>
      <c r="BH21" s="250">
        <v>0</v>
      </c>
      <c r="BI21" s="250">
        <v>0</v>
      </c>
      <c r="BJ21" s="250">
        <v>0</v>
      </c>
      <c r="BK21" s="250">
        <v>0</v>
      </c>
      <c r="BL21" s="250">
        <v>0</v>
      </c>
      <c r="BM21" s="250">
        <v>0</v>
      </c>
      <c r="BN21" s="250">
        <v>0</v>
      </c>
      <c r="BO21" s="250">
        <v>0</v>
      </c>
      <c r="BP21" s="250">
        <v>0</v>
      </c>
      <c r="BQ21" s="250">
        <v>0</v>
      </c>
      <c r="BR21" s="250">
        <v>0</v>
      </c>
      <c r="BS21" s="250">
        <v>0</v>
      </c>
      <c r="BT21" s="250">
        <v>0</v>
      </c>
      <c r="BU21" s="250">
        <v>0</v>
      </c>
      <c r="BV21" s="250">
        <v>0</v>
      </c>
      <c r="BW21" s="250">
        <v>0</v>
      </c>
      <c r="BX21" s="250">
        <v>0</v>
      </c>
      <c r="BY21" s="250">
        <v>0</v>
      </c>
      <c r="BZ21" s="250">
        <v>0</v>
      </c>
      <c r="CA21" s="250">
        <v>0</v>
      </c>
      <c r="CB21" s="250">
        <v>0</v>
      </c>
      <c r="CC21" s="250">
        <v>0</v>
      </c>
      <c r="CD21" s="250">
        <v>0</v>
      </c>
      <c r="CE21" s="250">
        <v>0</v>
      </c>
      <c r="CF21" s="250">
        <v>0</v>
      </c>
      <c r="CG21" s="250">
        <v>0</v>
      </c>
      <c r="CH21" s="250">
        <v>0</v>
      </c>
      <c r="CI21" s="250">
        <v>0</v>
      </c>
      <c r="CJ21" s="250">
        <v>0</v>
      </c>
      <c r="CK21" s="250">
        <v>0</v>
      </c>
      <c r="CL21" s="250">
        <v>0</v>
      </c>
      <c r="CM21" s="250">
        <v>0</v>
      </c>
      <c r="CN21" s="250">
        <v>0</v>
      </c>
    </row>
    <row r="22" spans="1:94" s="249" customFormat="1" ht="36">
      <c r="A22" s="14" t="s">
        <v>39</v>
      </c>
      <c r="C22" s="250">
        <v>0</v>
      </c>
      <c r="D22" s="250">
        <v>0</v>
      </c>
      <c r="E22" s="250">
        <v>0</v>
      </c>
      <c r="F22" s="250">
        <v>0</v>
      </c>
      <c r="G22" s="250">
        <v>0</v>
      </c>
      <c r="H22" s="250">
        <v>0</v>
      </c>
      <c r="I22" s="250">
        <v>0</v>
      </c>
      <c r="J22" s="250">
        <v>0</v>
      </c>
      <c r="K22" s="250">
        <v>0</v>
      </c>
      <c r="L22" s="250">
        <v>0</v>
      </c>
      <c r="M22" s="250">
        <v>0</v>
      </c>
      <c r="N22" s="250">
        <v>0</v>
      </c>
      <c r="O22" s="250">
        <v>0</v>
      </c>
      <c r="P22" s="250">
        <v>0</v>
      </c>
      <c r="Q22" s="250">
        <v>0</v>
      </c>
      <c r="R22" s="250">
        <v>0</v>
      </c>
      <c r="S22" s="250">
        <v>0</v>
      </c>
      <c r="T22" s="250">
        <v>0</v>
      </c>
      <c r="U22" s="250">
        <v>0</v>
      </c>
      <c r="V22" s="250">
        <v>0</v>
      </c>
      <c r="W22" s="250">
        <v>0</v>
      </c>
      <c r="X22" s="250">
        <v>0</v>
      </c>
      <c r="Y22" s="250">
        <v>0</v>
      </c>
      <c r="Z22" s="250">
        <v>0</v>
      </c>
      <c r="AA22" s="250">
        <v>0</v>
      </c>
      <c r="AB22" s="250">
        <v>0</v>
      </c>
      <c r="AC22" s="250">
        <v>0</v>
      </c>
      <c r="AD22" s="250">
        <v>0</v>
      </c>
      <c r="AE22" s="250">
        <v>0</v>
      </c>
      <c r="AF22" s="250">
        <v>0</v>
      </c>
      <c r="AG22" s="250">
        <v>0</v>
      </c>
      <c r="AH22" s="250">
        <v>0</v>
      </c>
      <c r="AI22" s="250">
        <v>0</v>
      </c>
      <c r="AJ22" s="250">
        <v>0</v>
      </c>
      <c r="AK22" s="250">
        <v>0</v>
      </c>
      <c r="AL22" s="250">
        <v>0</v>
      </c>
      <c r="AM22" s="250">
        <v>0</v>
      </c>
      <c r="AN22" s="250">
        <v>0</v>
      </c>
      <c r="AO22" s="250">
        <v>0</v>
      </c>
      <c r="AP22" s="250">
        <v>0</v>
      </c>
      <c r="AQ22" s="250">
        <v>0</v>
      </c>
      <c r="AR22" s="250">
        <v>0</v>
      </c>
      <c r="AS22" s="250">
        <v>0</v>
      </c>
      <c r="AT22" s="250">
        <v>0</v>
      </c>
      <c r="AU22" s="250">
        <v>0</v>
      </c>
      <c r="AV22" s="250">
        <v>0</v>
      </c>
      <c r="AW22" s="250">
        <v>0</v>
      </c>
      <c r="AX22" s="250">
        <v>0</v>
      </c>
      <c r="AY22" s="250">
        <v>0</v>
      </c>
      <c r="AZ22" s="250">
        <v>0</v>
      </c>
      <c r="BA22" s="250">
        <v>0</v>
      </c>
      <c r="BB22" s="250">
        <v>0</v>
      </c>
      <c r="BC22" s="250">
        <v>0</v>
      </c>
      <c r="BD22" s="250">
        <v>0</v>
      </c>
      <c r="BE22" s="250">
        <v>0</v>
      </c>
      <c r="BF22" s="250">
        <v>0</v>
      </c>
      <c r="BG22" s="250">
        <v>0</v>
      </c>
      <c r="BH22" s="250">
        <v>0</v>
      </c>
      <c r="BI22" s="250">
        <v>0</v>
      </c>
      <c r="BJ22" s="250">
        <v>0</v>
      </c>
      <c r="BK22" s="250">
        <v>0</v>
      </c>
      <c r="BL22" s="250">
        <v>0</v>
      </c>
      <c r="BM22" s="250">
        <v>0</v>
      </c>
      <c r="BN22" s="250">
        <v>0</v>
      </c>
      <c r="BO22" s="250">
        <v>0</v>
      </c>
      <c r="BP22" s="250">
        <v>0</v>
      </c>
      <c r="BQ22" s="250">
        <v>0</v>
      </c>
      <c r="BR22" s="250">
        <v>0</v>
      </c>
      <c r="BS22" s="250">
        <v>0</v>
      </c>
      <c r="BT22" s="250">
        <v>0</v>
      </c>
      <c r="BU22" s="250">
        <v>0</v>
      </c>
      <c r="BV22" s="250">
        <v>0</v>
      </c>
      <c r="BW22" s="250">
        <v>0</v>
      </c>
      <c r="BX22" s="250">
        <v>0</v>
      </c>
      <c r="BY22" s="250">
        <v>0</v>
      </c>
      <c r="BZ22" s="250">
        <v>0</v>
      </c>
      <c r="CA22" s="250">
        <v>0</v>
      </c>
      <c r="CB22" s="250">
        <v>0</v>
      </c>
      <c r="CC22" s="250">
        <v>0</v>
      </c>
      <c r="CD22" s="250">
        <v>0</v>
      </c>
      <c r="CE22" s="250">
        <v>0</v>
      </c>
      <c r="CF22" s="250">
        <v>0</v>
      </c>
      <c r="CG22" s="250">
        <v>0</v>
      </c>
      <c r="CH22" s="250">
        <v>0</v>
      </c>
      <c r="CI22" s="250">
        <v>0</v>
      </c>
      <c r="CJ22" s="250">
        <v>0</v>
      </c>
      <c r="CK22" s="250">
        <v>0</v>
      </c>
      <c r="CL22" s="250">
        <v>0</v>
      </c>
      <c r="CM22" s="250">
        <v>0</v>
      </c>
      <c r="CN22" s="250">
        <v>0</v>
      </c>
    </row>
    <row r="23" spans="1:94">
      <c r="A23" t="s">
        <v>15</v>
      </c>
      <c r="C23">
        <f>IF(C9=2,Input!$C$15+C22, 0)</f>
        <v>0</v>
      </c>
      <c r="D23">
        <f>IF(D9=2,Input!$C$15+D22, 0)</f>
        <v>0</v>
      </c>
      <c r="E23">
        <f>IF(E9=2,Input!$C$15+E22, 0)</f>
        <v>0</v>
      </c>
      <c r="F23">
        <f>IF(F9=2,Input!$C$15+F22, 0)</f>
        <v>0</v>
      </c>
      <c r="G23">
        <f>IF(G9=2,Input!$C$15+G22, 0)</f>
        <v>0</v>
      </c>
      <c r="H23">
        <f>IF(H9=2,Input!$C$15+H22, 0)</f>
        <v>0</v>
      </c>
      <c r="I23">
        <f>IF(I9=2,Input!$C$15+I22, 0)</f>
        <v>0</v>
      </c>
      <c r="J23">
        <f>IF(J9=2,Input!$C$15+J22, 0)</f>
        <v>0</v>
      </c>
      <c r="K23">
        <f>IF(K9=2,Input!$C$15+K22, 0)</f>
        <v>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80000</v>
      </c>
      <c r="AK23">
        <f>IF(AK9=2,Input!$C$15+AK22, 0)</f>
        <v>80000</v>
      </c>
      <c r="AL23">
        <f>IF(AL9=2,Input!$C$15+AL22, 0)</f>
        <v>80000</v>
      </c>
      <c r="AM23">
        <f>IF(AM9=2,Input!$C$15+AM22, 0)</f>
        <v>80000</v>
      </c>
      <c r="AN23">
        <f>IF(AN9=2,Input!$C$15+AN22, 0)</f>
        <v>80000</v>
      </c>
      <c r="AO23">
        <f>IF(AO9=2,Input!$C$15+AO22, 0)</f>
        <v>80000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28</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16</v>
      </c>
      <c r="C25">
        <f>C23*C14</f>
        <v>0</v>
      </c>
      <c r="D25">
        <f t="shared" ref="D25:BO25" si="14">D23*D14</f>
        <v>0</v>
      </c>
      <c r="E25">
        <f t="shared" si="14"/>
        <v>0</v>
      </c>
      <c r="F25">
        <f t="shared" si="14"/>
        <v>0</v>
      </c>
      <c r="G25">
        <f t="shared" si="14"/>
        <v>0</v>
      </c>
      <c r="H25">
        <f t="shared" si="14"/>
        <v>0</v>
      </c>
      <c r="I25">
        <f t="shared" si="14"/>
        <v>0</v>
      </c>
      <c r="J25">
        <f t="shared" si="14"/>
        <v>0</v>
      </c>
      <c r="K25">
        <f t="shared" si="14"/>
        <v>0</v>
      </c>
      <c r="L25">
        <f t="shared" si="14"/>
        <v>0</v>
      </c>
      <c r="M25">
        <f t="shared" si="14"/>
        <v>0</v>
      </c>
      <c r="N25">
        <f t="shared" si="14"/>
        <v>0</v>
      </c>
      <c r="O25">
        <f t="shared" ca="1" si="14"/>
        <v>0</v>
      </c>
      <c r="P25">
        <f t="shared" ca="1" si="14"/>
        <v>0</v>
      </c>
      <c r="Q25">
        <f t="shared" ca="1" si="14"/>
        <v>0</v>
      </c>
      <c r="R25">
        <f t="shared" ca="1" si="14"/>
        <v>0</v>
      </c>
      <c r="S25">
        <f t="shared" ca="1" si="14"/>
        <v>0</v>
      </c>
      <c r="T25">
        <f t="shared" ca="1" si="14"/>
        <v>0</v>
      </c>
      <c r="U25">
        <f t="shared" ca="1" si="14"/>
        <v>0</v>
      </c>
      <c r="V25">
        <f t="shared" ca="1" si="14"/>
        <v>0</v>
      </c>
      <c r="W25">
        <f t="shared" ca="1" si="14"/>
        <v>0</v>
      </c>
      <c r="X25">
        <f t="shared" ca="1" si="14"/>
        <v>0</v>
      </c>
      <c r="Y25">
        <f t="shared" ca="1" si="14"/>
        <v>0</v>
      </c>
      <c r="Z25">
        <f t="shared" ca="1" si="14"/>
        <v>0</v>
      </c>
      <c r="AA25">
        <f t="shared" ca="1" si="14"/>
        <v>0</v>
      </c>
      <c r="AB25">
        <f t="shared" ca="1" si="14"/>
        <v>0</v>
      </c>
      <c r="AC25">
        <f t="shared" ca="1" si="14"/>
        <v>0</v>
      </c>
      <c r="AD25">
        <f t="shared" ca="1" si="14"/>
        <v>30400.000000000004</v>
      </c>
      <c r="AE25">
        <f t="shared" ca="1" si="14"/>
        <v>0</v>
      </c>
      <c r="AF25">
        <f t="shared" ca="1" si="14"/>
        <v>0</v>
      </c>
      <c r="AG25">
        <f t="shared" ca="1" si="14"/>
        <v>0</v>
      </c>
      <c r="AH25">
        <f t="shared" ca="1" si="14"/>
        <v>0</v>
      </c>
      <c r="AI25">
        <f t="shared" ca="1" si="14"/>
        <v>0</v>
      </c>
      <c r="AJ25">
        <f t="shared" ca="1" si="14"/>
        <v>0</v>
      </c>
      <c r="AK25">
        <f t="shared" ca="1" si="14"/>
        <v>41600.000000000007</v>
      </c>
      <c r="AL25">
        <f t="shared" ca="1" si="14"/>
        <v>43200.000000000015</v>
      </c>
      <c r="AM25">
        <f t="shared" ca="1" si="14"/>
        <v>44800.000000000015</v>
      </c>
      <c r="AN25">
        <f t="shared" ca="1" si="14"/>
        <v>0</v>
      </c>
      <c r="AO25">
        <f t="shared" ca="1"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160000.00000000006</v>
      </c>
    </row>
    <row r="26" spans="1:94">
      <c r="A26" t="s">
        <v>17</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IF(Input!$C$19="n", IF(J24=0,J23+J25,J24+J25),  IF(J24=0,J23+J25+(-1*Budget!O41),J24+J25+(-1*Budget!O41)))</f>
        <v>0</v>
      </c>
      <c r="K26">
        <f>IF(Input!$C$19="n", IF(K24=0,K23+K25,K24+K25),  IF(K24=0,K23+K25+(-1*Budget!P41),K24+K25+(-1*Budget!P41)))</f>
        <v>0</v>
      </c>
      <c r="L26">
        <f>IF(Input!$C$19="n", IF(L24=0,L23+L25,L24+L25),  IF(L24=0,L23+L25+(-1*Budget!Q41),L24+L25+(-1*Budget!Q41)))</f>
        <v>100000</v>
      </c>
      <c r="M26">
        <f>IF(Input!$C$19="n", IF(M24=0,M23+M25,M24+M25),  IF(M24=0,M23+M25+(-1*Budget!R41),M24+M25+(-1*Budget!R41)))</f>
        <v>102499.99999999999</v>
      </c>
      <c r="N26">
        <f>IF(Input!$C$19="n", IF(N24=0,N23+N25,N24+N25),  IF(N24=0,N23+N25+(-1*Budget!S41),N24+N25+(-1*Budget!S41)))</f>
        <v>105062.49999999997</v>
      </c>
      <c r="O26">
        <f ca="1">IF(Input!$C$19="n", IF(O24=0,O23+O25,O24+O25),  IF(O24=0,O23+O25+(-1*Budget!T41),O24+O25+(-1*Budget!T41)))</f>
        <v>107689.06249999996</v>
      </c>
      <c r="P26">
        <f ca="1">IF(Input!$C$19="n", IF(P24=0,P23+P25,P24+P25),  IF(P24=0,P23+P25+(-1*Budget!U41),P24+P25+(-1*Budget!U41)))</f>
        <v>84993.592578124953</v>
      </c>
      <c r="Q26">
        <f ca="1">IF(Input!$C$19="n", IF(Q24=0,Q23+Q25,Q24+Q25),  IF(Q24=0,Q23+Q25+(-1*Budget!V41),Q24+Q25+(-1*Budget!V41)))</f>
        <v>87118.432392578063</v>
      </c>
      <c r="R26">
        <f ca="1">IF(Input!$C$19="n", IF(R24=0,R23+R25,R24+R25),  IF(R24=0,R23+R25+(-1*Budget!W41),R24+R25+(-1*Budget!W41)))</f>
        <v>89296.393202392515</v>
      </c>
      <c r="S26">
        <f ca="1">IF(Input!$C$19="n", IF(S24=0,S23+S25,S24+S25),  IF(S24=0,S23+S25+(-1*Budget!X41),S24+S25+(-1*Budget!X41)))</f>
        <v>91528.803032452328</v>
      </c>
      <c r="T26">
        <f ca="1">IF(Input!$C$19="n", IF(T24=0,T23+T25,T24+T25),  IF(T24=0,T23+T25+(-1*Budget!Y41),T24+T25+(-1*Budget!Y41)))</f>
        <v>93817.023108263631</v>
      </c>
      <c r="U26">
        <f ca="1">IF(Input!$C$19="n", IF(U24=0,U23+U25,U24+U25),  IF(U24=0,U23+U25+(-1*Budget!Z41),U24+U25+(-1*Budget!Z41)))</f>
        <v>96162.448685970216</v>
      </c>
      <c r="V26">
        <f ca="1">IF(Input!$C$19="n", IF(V24=0,V23+V25,V24+V25),  IF(V24=0,V23+V25+(-1*Budget!AA41),V24+V25+(-1*Budget!AA41)))</f>
        <v>98566.509903119455</v>
      </c>
      <c r="W26">
        <f ca="1">IF(Input!$C$19="n", IF(W24=0,W23+W25,W24+W25),  IF(W24=0,W23+W25+(-1*Budget!AB41),W24+W25+(-1*Budget!AB41)))</f>
        <v>101030.67265069742</v>
      </c>
      <c r="X26">
        <f ca="1">IF(Input!$C$19="n", IF(X24=0,X23+X25,X24+X25),  IF(X24=0,X23+X25+(-1*Budget!AC41),X24+X25+(-1*Budget!AC41)))</f>
        <v>103556.43946696485</v>
      </c>
      <c r="Y26">
        <f ca="1">IF(Input!$C$19="n", IF(Y24=0,Y23+Y25,Y24+Y25),  IF(Y24=0,Y23+Y25+(-1*Budget!AD41),Y24+Y25+(-1*Budget!AD41)))</f>
        <v>106145.35045363895</v>
      </c>
      <c r="Z26">
        <f ca="1">IF(Input!$C$19="n", IF(Z24=0,Z23+Z25,Z24+Z25),  IF(Z24=0,Z23+Z25+(-1*Budget!AE41),Z24+Z25+(-1*Budget!AE41)))</f>
        <v>108798.98421497991</v>
      </c>
      <c r="AA26">
        <f ca="1">IF(Input!$C$19="n", IF(AA24=0,AA23+AA25,AA24+AA25),  IF(AA24=0,AA23+AA25+(-1*Budget!AF41),AA24+AA25+(-1*Budget!AF41)))</f>
        <v>111518.9588203544</v>
      </c>
      <c r="AB26">
        <f ca="1">IF(Input!$C$19="n", IF(AB24=0,AB23+AB25,AB24+AB25),  IF(AB24=0,AB23+AB25+(-1*Budget!AG41),AB24+AB25+(-1*Budget!AG41)))</f>
        <v>114306.93279086324</v>
      </c>
      <c r="AC26">
        <f ca="1">IF(Input!$C$19="n", IF(AC24=0,AC23+AC25,AC24+AC25),  IF(AC24=0,AC23+AC25+(-1*Budget!AH41),AC24+AC25+(-1*Budget!AH41)))</f>
        <v>117164.60611063481</v>
      </c>
      <c r="AD26">
        <f ca="1">IF(Input!$C$19="n", IF(AD24=0,AD23+AD25,AD24+AD25),  IF(AD24=0,AD23+AD25+(-1*Budget!AI41),AD24+AD25+(-1*Budget!AI41)))</f>
        <v>150493.72126340066</v>
      </c>
      <c r="AE26">
        <f ca="1">IF(Input!$C$19="n", IF(AE24=0,AE23+AE25,AE24+AE25),  IF(AE24=0,AE23+AE25+(-1*Budget!AJ41),AE24+AE25+(-1*Budget!AJ41)))</f>
        <v>159865.01856491645</v>
      </c>
      <c r="AF26">
        <f ca="1">IF(Input!$C$19="n", IF(AF24=0,AF23+AF25,AF24+AF25),  IF(AF24=0,AF23+AF25+(-1*Budget!AK41),AF24+AF25+(-1*Budget!AK41)))</f>
        <v>163861.64402903934</v>
      </c>
      <c r="AG26">
        <f ca="1">IF(Input!$C$19="n", IF(AG24=0,AG23+AG25,AG24+AG25),  IF(AG24=0,AG23+AG25+(-1*Budget!AL41),AG24+AG25+(-1*Budget!AL41)))</f>
        <v>167958.1851297653</v>
      </c>
      <c r="AH26">
        <f ca="1">IF(Input!$C$19="n", IF(AH24=0,AH23+AH25,AH24+AH25),  IF(AH24=0,AH23+AH25+(-1*Budget!AM41),AH24+AH25+(-1*Budget!AM41)))</f>
        <v>172157.13975800943</v>
      </c>
      <c r="AI26">
        <f ca="1">IF(Input!$C$19="n", IF(AI24=0,AI23+AI25,AI24+AI25),  IF(AI24=0,AI23+AI25+(-1*Budget!AN41),AI24+AI25+(-1*Budget!AN41)))</f>
        <v>176461.06825195966</v>
      </c>
      <c r="AJ26">
        <f ca="1">IF(Input!$C$19="n", IF(AJ24=0,AJ23+AJ25,AJ24+AJ25),  IF(AJ24=0,AJ23+AJ25+(-1*Budget!AO41),AJ24+AJ25+(-1*Budget!AO41)))</f>
        <v>180872.59495825865</v>
      </c>
      <c r="AK26">
        <f ca="1">IF(Input!$C$19="n", IF(AK24=0,AK23+AK25,AK24+AK25),  IF(AK24=0,AK23+AK25+(-1*Budget!AP41),AK24+AK25+(-1*Budget!AP41)))</f>
        <v>226994.40983221511</v>
      </c>
      <c r="AL26">
        <f ca="1">IF(Input!$C$19="n", IF(AL24=0,AL23+AL25,AL24+AL25),  IF(AL24=0,AL23+AL25+(-1*Budget!AQ41),AL24+AL25+(-1*Budget!AQ41)))</f>
        <v>233229.27007802046</v>
      </c>
      <c r="AM26">
        <f ca="1">IF(Input!$C$19="n", IF(AM24=0,AM23+AM25,AM24+AM25),  IF(AM24=0,AM23+AM25+(-1*Budget!AR41),AM24+AM25+(-1*Budget!AR41)))</f>
        <v>239580.00182997098</v>
      </c>
      <c r="AN26">
        <f ca="1">IF(Input!$C$19="n", IF(AN24=0,AN23+AN25,AN24+AN25),  IF(AN24=0,AN23+AN25+(-1*Budget!AS41),AN24+AN25+(-1*Budget!AS41)))</f>
        <v>199649.50187572019</v>
      </c>
      <c r="AO26">
        <f ca="1">IF(Input!$C$19="n", IF(AO24=0,AO23+AO25,AO24+AO25),  IF(AO24=0,AO23+AO25+(-1*Budget!AT41),AO24+AO25+(-1*Budget!AT41)))</f>
        <v>204640.73942261317</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20</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IF(J9=1, Input!$F$19, IF(Sheet2!J9=2, J66, 0))</f>
        <v>0.24</v>
      </c>
      <c r="K28">
        <f>IF(K9=1, Input!$F$19, IF(Sheet2!K9=2, K66, 0))</f>
        <v>0.24</v>
      </c>
      <c r="L28">
        <f>IF(L9=1, Input!$F$19, IF(Sheet2!L9=2, L66, 0))</f>
        <v>8.5455599999999979E-2</v>
      </c>
      <c r="M28">
        <f>IF(M9=1, Input!$F$19, IF(Sheet2!M9=2, M66, 0))</f>
        <v>8.8049589530041619E-2</v>
      </c>
      <c r="N28">
        <f>IF(N9=1, Input!$F$19, IF(Sheet2!N9=2, N66, 0))</f>
        <v>9.0613442538133929E-2</v>
      </c>
      <c r="O28">
        <f ca="1">IF(O9=1, Input!$F$19, IF(Sheet2!O9=2, O66, 0))</f>
        <v>9.3146297599324579E-2</v>
      </c>
      <c r="P28">
        <f ca="1">IF(P9=1, Input!$F$19, IF(Sheet2!P9=2, P66, 0))</f>
        <v>0.10522725013970137</v>
      </c>
      <c r="Q28">
        <f ca="1">IF(Q9=1, Input!$F$19, IF(Sheet2!Q9=2, Q66, 0))</f>
        <v>0.10580917954868951</v>
      </c>
      <c r="R28">
        <f ca="1">IF(R9=1, Input!$F$19, IF(Sheet2!R9=2, R66, 0))</f>
        <v>0.10636623673926711</v>
      </c>
      <c r="S28">
        <f ca="1">IF(S9=1, Input!$F$19, IF(Sheet2!S9=2, S66, 0))</f>
        <v>0.10689954291621007</v>
      </c>
      <c r="T28">
        <f ca="1">IF(T9=1, Input!$F$19, IF(Sheet2!T9=2, T66, 0))</f>
        <v>0.10741016714319654</v>
      </c>
      <c r="U28">
        <f ca="1">IF(U9=1, Input!$F$19, IF(Sheet2!U9=2, U66, 0))</f>
        <v>8.1285495353984286E-2</v>
      </c>
      <c r="V28">
        <f ca="1">IF(V9=1, Input!$F$19, IF(Sheet2!V9=2, V66, 0))</f>
        <v>8.3925221179576515E-2</v>
      </c>
      <c r="W28">
        <f ca="1">IF(W9=1, Input!$F$19, IF(Sheet2!W9=2, W66, 0))</f>
        <v>8.6536392084269664E-2</v>
      </c>
      <c r="X28">
        <f ca="1">IF(X9=1, Input!$F$19, IF(Sheet2!X9=2, X66, 0))</f>
        <v>8.9117978105098375E-2</v>
      </c>
      <c r="Y28">
        <f ca="1">IF(Y9=1, Input!$F$19, IF(Sheet2!Y9=2, Y66, 0))</f>
        <v>9.1669057588949804E-2</v>
      </c>
      <c r="Z28">
        <f ca="1">IF(Z9=1, Input!$F$19, IF(Sheet2!Z9=2, Z66, 0))</f>
        <v>9.4188810542357143E-2</v>
      </c>
      <c r="AA28">
        <f ca="1">IF(AA9=1, Input!$F$19, IF(Sheet2!AA9=2, AA66, 0))</f>
        <v>9.667651233664537E-2</v>
      </c>
      <c r="AB28">
        <f ca="1">IF(AB9=1, Input!$F$19, IF(Sheet2!AB9=2, AB66, 0))</f>
        <v>9.913152775045507E-2</v>
      </c>
      <c r="AC28">
        <f ca="1">IF(AC9=1, Input!$F$19, IF(Sheet2!AC9=2, AC66, 0))</f>
        <v>0.1015533053325568</v>
      </c>
      <c r="AD28">
        <f ca="1">IF(AD9=1, Input!$F$19, IF(Sheet2!AD9=2, AD66, 0))</f>
        <v>0.12415582554591142</v>
      </c>
      <c r="AE28">
        <f ca="1">IF(AE9=1, Input!$F$19, IF(Sheet2!AE9=2, AE66, 0))</f>
        <v>0.12907016267721627</v>
      </c>
      <c r="AF28">
        <f ca="1">IF(AF9=1, Input!$F$19, IF(Sheet2!AF9=2, AF66, 0))</f>
        <v>0.13101892342927496</v>
      </c>
      <c r="AG28">
        <f ca="1">IF(AG9=1, Input!$F$19, IF(Sheet2!AG9=2, AG66, 0))</f>
        <v>0.13293311729375731</v>
      </c>
      <c r="AH28">
        <f ca="1">IF(AH9=1, Input!$F$19, IF(Sheet2!AH9=2, AH66, 0))</f>
        <v>0.13481296269394125</v>
      </c>
      <c r="AI28">
        <f ca="1">IF(AI9=1, Input!$F$19, IF(Sheet2!AI9=2, AI66, 0))</f>
        <v>0.13665870282588305</v>
      </c>
      <c r="AJ28">
        <f ca="1">IF(AJ9=1, Input!$F$19, IF(Sheet2!AJ9=2, AJ66, 0))</f>
        <v>0.1384706036038082</v>
      </c>
      <c r="AK28">
        <f ca="1">IF(AK9=1, Input!$F$19, IF(Sheet2!AK9=2, AK66, 0))</f>
        <v>0.15560385202651997</v>
      </c>
      <c r="AL28">
        <f ca="1">IF(AL9=1, Input!$F$19, IF(Sheet2!AL9=2, AL66, 0))</f>
        <v>0.15765521929787427</v>
      </c>
      <c r="AM28">
        <f ca="1">IF(AM9=1, Input!$F$19, IF(Sheet2!AM9=2, AM66, 0))</f>
        <v>0.15964561184015263</v>
      </c>
      <c r="AN28">
        <f ca="1">IF(AN9=1, Input!$F$19, IF(Sheet2!AN9=2, AN66, 0))</f>
        <v>0.14538582139392933</v>
      </c>
      <c r="AO28">
        <f ca="1">IF(AO9=1, Input!$F$19, IF(Sheet2!AO9=2, AO66, 0))</f>
        <v>0.14733857414055679</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21</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IF(J9=1,Input!$F$8*J28+Input!$F$7*Input!$F$20*J17, IF(J9=2, J28*(Input!$C$8/(Input!$C$8+Input!$C$9))+Sheet2!J67*(Input!$C$9/(Input!$C$8+Input!$C$9)),0))</f>
        <v>0.18149999999999999</v>
      </c>
      <c r="K29">
        <f>IF(K9=1,Input!$F$8*K28+Input!$F$7*Input!$F$20*K17, IF(K9=2, K28*(Input!$C$8/(Input!$C$8+Input!$C$9))+Sheet2!K67*(Input!$C$9/(Input!$C$8+Input!$C$9)),0))</f>
        <v>0.18149999999999999</v>
      </c>
      <c r="L29">
        <f>IF(L9=1,Input!$F$8*L28+Input!$F$7*Input!$F$20*L17, IF(L9=2, L28*(Input!$C$8/(Input!$C$8+Input!$C$9))+Sheet2!L67*(Input!$C$9/(Input!$C$8+Input!$C$9)),0))</f>
        <v>8.9109056603773565E-2</v>
      </c>
      <c r="M29">
        <f>IF(M9=1,Input!$F$8*M28+Input!$F$7*Input!$F$20*M17, IF(M9=2, M28*(Input!$C$8/(Input!$C$8+Input!$C$9))+Sheet2!M67*(Input!$C$9/(Input!$C$8+Input!$C$9)),0))</f>
        <v>9.1556216537775112E-2</v>
      </c>
      <c r="N29">
        <f>IF(N9=1,Input!$F$8*N28+Input!$F$7*Input!$F$20*N17, IF(N9=2, N28*(Input!$C$8/(Input!$C$8+Input!$C$9))+Sheet2!N67*(Input!$C$9/(Input!$C$8+Input!$C$9)),0))</f>
        <v>9.3974945790692391E-2</v>
      </c>
      <c r="O29">
        <f ca="1">IF(O9=1,Input!$F$8*O28+Input!$F$7*Input!$F$20*O17, IF(O9=2, O28*(Input!$C$8/(Input!$C$8+Input!$C$9))+Sheet2!O67*(Input!$C$9/(Input!$C$8+Input!$C$9)),0))</f>
        <v>9.6364431697476022E-2</v>
      </c>
      <c r="P29">
        <f ca="1">IF(P9=1,Input!$F$8*P28+Input!$F$7*Input!$F$20*P17, IF(P9=2, P28*(Input!$C$8/(Input!$C$8+Input!$C$9))+Sheet2!P67*(Input!$C$9/(Input!$C$8+Input!$C$9)),0))</f>
        <v>0.10776155673556732</v>
      </c>
      <c r="Q29">
        <f ca="1">IF(Q9=1,Input!$F$8*Q28+Input!$F$7*Input!$F$20*Q17, IF(Q9=2, Q28*(Input!$C$8/(Input!$C$8+Input!$C$9))+Sheet2!Q67*(Input!$C$9/(Input!$C$8+Input!$C$9)),0))</f>
        <v>0.10831054674404671</v>
      </c>
      <c r="R29">
        <f ca="1">IF(R9=1,Input!$F$8*R28+Input!$F$7*Input!$F$20*R17, IF(R9=2, R28*(Input!$C$8/(Input!$C$8+Input!$C$9))+Sheet2!R67*(Input!$C$9/(Input!$C$8+Input!$C$9)),0))</f>
        <v>0.10883607239553501</v>
      </c>
      <c r="S29">
        <f ca="1">IF(S9=1,Input!$F$8*S28+Input!$F$7*Input!$F$20*S17, IF(S9=2, S28*(Input!$C$8/(Input!$C$8+Input!$C$9))+Sheet2!S67*(Input!$C$9/(Input!$C$8+Input!$C$9)),0))</f>
        <v>0.10933919143038685</v>
      </c>
      <c r="T29">
        <f ca="1">IF(T9=1,Input!$F$8*T28+Input!$F$7*Input!$F$20*T17, IF(T9=2, T28*(Input!$C$8/(Input!$C$8+Input!$C$9))+Sheet2!T67*(Input!$C$9/(Input!$C$8+Input!$C$9)),0))</f>
        <v>0.10982091239924202</v>
      </c>
      <c r="U29">
        <f ca="1">IF(U9=1,Input!$F$8*U28+Input!$F$7*Input!$F$20*U17, IF(U9=2, U28*(Input!$C$8/(Input!$C$8+Input!$C$9))+Sheet2!U67*(Input!$C$9/(Input!$C$8+Input!$C$9)),0))</f>
        <v>8.5174995616966301E-2</v>
      </c>
      <c r="V29">
        <f ca="1">IF(V9=1,Input!$F$8*V28+Input!$F$7*Input!$F$20*V17, IF(V9=2, V28*(Input!$C$8/(Input!$C$8+Input!$C$9))+Sheet2!V67*(Input!$C$9/(Input!$C$8+Input!$C$9)),0))</f>
        <v>8.7665302999600486E-2</v>
      </c>
      <c r="W29">
        <f ca="1">IF(W9=1,Input!$F$8*W28+Input!$F$7*Input!$F$20*W17, IF(W9=2, W28*(Input!$C$8/(Input!$C$8+Input!$C$9))+Sheet2!W67*(Input!$C$9/(Input!$C$8+Input!$C$9)),0))</f>
        <v>9.0128671777612884E-2</v>
      </c>
      <c r="X29">
        <f ca="1">IF(X9=1,Input!$F$8*X28+Input!$F$7*Input!$F$20*X17, IF(X9=2, X28*(Input!$C$8/(Input!$C$8+Input!$C$9))+Sheet2!X67*(Input!$C$9/(Input!$C$8+Input!$C$9)),0))</f>
        <v>9.2564130287828658E-2</v>
      </c>
      <c r="Y29">
        <f ca="1">IF(Y9=1,Input!$F$8*Y28+Input!$F$7*Input!$F$20*Y17, IF(Y9=2, Y28*(Input!$C$8/(Input!$C$8+Input!$C$9))+Sheet2!Y67*(Input!$C$9/(Input!$C$8+Input!$C$9)),0))</f>
        <v>9.4970809046179064E-2</v>
      </c>
      <c r="Z29">
        <f ca="1">IF(Z9=1,Input!$F$8*Z28+Input!$F$7*Input!$F$20*Z17, IF(Z9=2, Z28*(Input!$C$8/(Input!$C$8+Input!$C$9))+Sheet2!Z67*(Input!$C$9/(Input!$C$8+Input!$C$9)),0))</f>
        <v>9.7347934473921829E-2</v>
      </c>
      <c r="AA29">
        <f ca="1">IF(AA9=1,Input!$F$8*AA28+Input!$F$7*Input!$F$20*AA17, IF(AA9=2, AA28*(Input!$C$8/(Input!$C$8+Input!$C$9))+Sheet2!AA67*(Input!$C$9/(Input!$C$8+Input!$C$9)),0))</f>
        <v>9.96948229590994E-2</v>
      </c>
      <c r="AB29">
        <f ca="1">IF(AB9=1,Input!$F$8*AB28+Input!$F$7*Input!$F$20*AB17, IF(AB9=2, AB28*(Input!$C$8/(Input!$C$8+Input!$C$9))+Sheet2!AB67*(Input!$C$9/(Input!$C$8+Input!$C$9)),0))</f>
        <v>0.10201087523627837</v>
      </c>
      <c r="AC29">
        <f ca="1">IF(AC9=1,Input!$F$8*AC28+Input!$F$7*Input!$F$20*AC17, IF(AC9=2, AC28*(Input!$C$8/(Input!$C$8+Input!$C$9))+Sheet2!AC67*(Input!$C$9/(Input!$C$8+Input!$C$9)),0))</f>
        <v>0.1042955710684498</v>
      </c>
      <c r="AD29">
        <f ca="1">IF(AD9=1,Input!$F$8*AD28+Input!$F$7*Input!$F$20*AD17, IF(AD9=2, AD28*(Input!$C$8/(Input!$C$8+Input!$C$9))+Sheet2!AD67*(Input!$C$9/(Input!$C$8+Input!$C$9)),0))</f>
        <v>0.12561870334519945</v>
      </c>
      <c r="AE29">
        <f ca="1">IF(AE9=1,Input!$F$8*AE28+Input!$F$7*Input!$F$20*AE17, IF(AE9=2, AE28*(Input!$C$8/(Input!$C$8+Input!$C$9))+Sheet2!AE67*(Input!$C$9/(Input!$C$8+Input!$C$9)),0))</f>
        <v>0.13025487045020404</v>
      </c>
      <c r="AF29">
        <f ca="1">IF(AF9=1,Input!$F$8*AF28+Input!$F$7*Input!$F$20*AF17, IF(AF9=2, AF28*(Input!$C$8/(Input!$C$8+Input!$C$9))+Sheet2!AF67*(Input!$C$9/(Input!$C$8+Input!$C$9)),0))</f>
        <v>0.13209332398988205</v>
      </c>
      <c r="AG29">
        <f ca="1">IF(AG9=1,Input!$F$8*AG28+Input!$F$7*Input!$F$20*AG17, IF(AG9=2, AG28*(Input!$C$8/(Input!$C$8+Input!$C$9))+Sheet2!AG67*(Input!$C$9/(Input!$C$8+Input!$C$9)),0))</f>
        <v>0.13389916725826162</v>
      </c>
      <c r="AH29">
        <f ca="1">IF(AH9=1,Input!$F$8*AH28+Input!$F$7*Input!$F$20*AH17, IF(AH9=2, AH28*(Input!$C$8/(Input!$C$8+Input!$C$9))+Sheet2!AH67*(Input!$C$9/(Input!$C$8+Input!$C$9)),0))</f>
        <v>0.13567260631503891</v>
      </c>
      <c r="AI29">
        <f ca="1">IF(AI9=1,Input!$F$8*AI28+Input!$F$7*Input!$F$20*AI17, IF(AI9=2, AI28*(Input!$C$8/(Input!$C$8+Input!$C$9))+Sheet2!AI67*(Input!$C$9/(Input!$C$8+Input!$C$9)),0))</f>
        <v>0.13741387059045571</v>
      </c>
      <c r="AJ29">
        <f ca="1">IF(AJ9=1,Input!$F$8*AJ28+Input!$F$7*Input!$F$20*AJ17, IF(AJ9=2, AJ28*(Input!$C$8/(Input!$C$8+Input!$C$9))+Sheet2!AJ67*(Input!$C$9/(Input!$C$8+Input!$C$9)),0))</f>
        <v>0.13912321094698887</v>
      </c>
      <c r="AK29">
        <f ca="1">IF(AK9=1,Input!$F$8*AK28+Input!$F$7*Input!$F$20*AK17, IF(AK9=2, AK28*(Input!$C$8/(Input!$C$8+Input!$C$9))+Sheet2!AK67*(Input!$C$9/(Input!$C$8+Input!$C$9)),0))</f>
        <v>0.15528665285520751</v>
      </c>
      <c r="AL29">
        <f ca="1">IF(AL9=1,Input!$F$8*AL28+Input!$F$7*Input!$F$20*AL17, IF(AL9=2, AL28*(Input!$C$8/(Input!$C$8+Input!$C$9))+Sheet2!AL67*(Input!$C$9/(Input!$C$8+Input!$C$9)),0))</f>
        <v>0.1572219049979946</v>
      </c>
      <c r="AM29">
        <f ca="1">IF(AM9=1,Input!$F$8*AM28+Input!$F$7*Input!$F$20*AM17, IF(AM9=2, AM28*(Input!$C$8/(Input!$C$8+Input!$C$9))+Sheet2!AM67*(Input!$C$9/(Input!$C$8+Input!$C$9)),0))</f>
        <v>0.15909963381146475</v>
      </c>
      <c r="AN29">
        <f ca="1">IF(AN9=1,Input!$F$8*AN28+Input!$F$7*Input!$F$20*AN17, IF(AN9=2, AN28*(Input!$C$8/(Input!$C$8+Input!$C$9))+Sheet2!AN67*(Input!$C$9/(Input!$C$8+Input!$C$9)),0))</f>
        <v>0.14564700131502767</v>
      </c>
      <c r="AO29">
        <f ca="1">IF(AO9=1,Input!$F$8*AO28+Input!$F$7*Input!$F$20*AO17, IF(AO9=2, AO28*(Input!$C$8/(Input!$C$8+Input!$C$9))+Sheet2!AO67*(Input!$C$9/(Input!$C$8+Input!$C$9)),0))</f>
        <v>0.14748922088731772</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0</v>
      </c>
      <c r="K30">
        <f>IF(AND(K9=2,Input!$H$2=2), 1+J30, 0)</f>
        <v>0</v>
      </c>
      <c r="L30">
        <f>IF(AND(L9=2,Input!$H$2=2), 1+K30, 0)</f>
        <v>1</v>
      </c>
      <c r="M30">
        <f>IF(AND(M9=2,Input!$H$2=2), 1+L30, 0)</f>
        <v>2</v>
      </c>
      <c r="N30">
        <f>IF(AND(N9=2,Input!$H$2=2), 1+M30, 0)</f>
        <v>3</v>
      </c>
      <c r="O30">
        <f>IF(AND(O9=2,Input!$H$2=2), 1+N30, 0)</f>
        <v>4</v>
      </c>
      <c r="P30">
        <f>IF(AND(P9=2,Input!$H$2=2), 1+O30, 0)</f>
        <v>5</v>
      </c>
      <c r="Q30">
        <f>IF(AND(Q9=2,Input!$H$2=2), 1+P30, 0)</f>
        <v>6</v>
      </c>
      <c r="R30">
        <f>IF(AND(R9=2,Input!$H$2=2), 1+Q30, 0)</f>
        <v>7</v>
      </c>
      <c r="S30">
        <f>IF(AND(S9=2,Input!$H$2=2), 1+R30, 0)</f>
        <v>8</v>
      </c>
      <c r="T30">
        <f>IF(AND(T9=2,Input!$H$2=2), 1+S30, 0)</f>
        <v>9</v>
      </c>
      <c r="U30">
        <f>IF(AND(U9=2,Input!$H$2=2), 1+T30, 0)</f>
        <v>10</v>
      </c>
      <c r="V30">
        <f>IF(AND(V9=2,Input!$H$2=2), 1+U30, 0)</f>
        <v>11</v>
      </c>
      <c r="W30">
        <f>IF(AND(W9=2,Input!$H$2=2), 1+V30, 0)</f>
        <v>12</v>
      </c>
      <c r="X30">
        <f>IF(AND(X9=2,Input!$H$2=2), 1+W30, 0)</f>
        <v>13</v>
      </c>
      <c r="Y30">
        <f>IF(AND(Y9=2,Input!$H$2=2), 1+X30, 0)</f>
        <v>14</v>
      </c>
      <c r="Z30">
        <f>IF(AND(Z9=2,Input!$H$2=2), 1+Y30, 0)</f>
        <v>15</v>
      </c>
      <c r="AA30">
        <f>IF(AND(AA9=2,Input!$H$2=2), 1+Z30, 0)</f>
        <v>16</v>
      </c>
      <c r="AB30">
        <f>IF(AND(AB9=2,Input!$H$2=2), 1+AA30, 0)</f>
        <v>17</v>
      </c>
      <c r="AC30">
        <f>IF(AND(AC9=2,Input!$H$2=2), 1+AB30, 0)</f>
        <v>18</v>
      </c>
      <c r="AD30">
        <f>IF(AND(AD9=2,Input!$H$2=2), 1+AC30, 0)</f>
        <v>19</v>
      </c>
      <c r="AE30">
        <f>IF(AND(AE9=2,Input!$H$2=2), 1+AD30, 0)</f>
        <v>20</v>
      </c>
      <c r="AF30">
        <f>IF(AND(AF9=2,Input!$H$2=2), 1+AE30, 0)</f>
        <v>21</v>
      </c>
      <c r="AG30">
        <f>IF(AND(AG9=2,Input!$H$2=2), 1+AF30, 0)</f>
        <v>22</v>
      </c>
      <c r="AH30">
        <f>IF(AND(AH9=2,Input!$H$2=2), 1+AG30, 0)</f>
        <v>23</v>
      </c>
      <c r="AI30">
        <f>IF(AND(AI9=2,Input!$H$2=2), 1+AH30, 0)</f>
        <v>24</v>
      </c>
      <c r="AJ30">
        <f>IF(AND(AJ9=2,Input!$H$2=2), 1+AI30, 0)</f>
        <v>25</v>
      </c>
      <c r="AK30">
        <f>IF(AND(AK9=2,Input!$H$2=2), 1+AJ30, 0)</f>
        <v>26</v>
      </c>
      <c r="AL30">
        <f>IF(AND(AL9=2,Input!$H$2=2), 1+AK30, 0)</f>
        <v>27</v>
      </c>
      <c r="AM30">
        <f>IF(AND(AM9=2,Input!$H$2=2), 1+AL30, 0)</f>
        <v>28</v>
      </c>
      <c r="AN30">
        <f>IF(AND(AN9=2,Input!$H$2=2), 1+AM30, 0)</f>
        <v>29</v>
      </c>
      <c r="AO30">
        <f>IF(AND(AO9=2,Input!$H$2=2), 1+AN30, 0)</f>
        <v>30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0</v>
      </c>
      <c r="I31">
        <f t="shared" si="16"/>
        <v>0</v>
      </c>
      <c r="J31">
        <f t="shared" si="16"/>
        <v>0</v>
      </c>
      <c r="K31">
        <f t="shared" si="16"/>
        <v>0</v>
      </c>
      <c r="L31">
        <f t="shared" si="16"/>
        <v>3.3333333333333333E-2</v>
      </c>
      <c r="M31">
        <f t="shared" si="16"/>
        <v>6.6666666666666666E-2</v>
      </c>
      <c r="N31">
        <f t="shared" si="16"/>
        <v>0.1</v>
      </c>
      <c r="O31">
        <f t="shared" si="16"/>
        <v>0.13333333333333333</v>
      </c>
      <c r="P31">
        <f t="shared" si="16"/>
        <v>0.16666666666666666</v>
      </c>
      <c r="Q31">
        <f t="shared" si="16"/>
        <v>0.2</v>
      </c>
      <c r="R31">
        <f t="shared" si="16"/>
        <v>0.23333333333333334</v>
      </c>
      <c r="S31">
        <f t="shared" si="16"/>
        <v>0.26666666666666666</v>
      </c>
      <c r="T31">
        <f t="shared" si="16"/>
        <v>0.3</v>
      </c>
      <c r="U31">
        <f t="shared" si="16"/>
        <v>0.33333333333333331</v>
      </c>
      <c r="V31">
        <f t="shared" si="16"/>
        <v>0.36666666666666664</v>
      </c>
      <c r="W31">
        <f t="shared" si="16"/>
        <v>0.4</v>
      </c>
      <c r="X31">
        <f t="shared" si="16"/>
        <v>0.43333333333333335</v>
      </c>
      <c r="Y31">
        <f t="shared" si="16"/>
        <v>0.46666666666666667</v>
      </c>
      <c r="Z31">
        <f t="shared" si="16"/>
        <v>0.5</v>
      </c>
      <c r="AA31">
        <f t="shared" si="16"/>
        <v>0.53333333333333333</v>
      </c>
      <c r="AB31">
        <f t="shared" si="16"/>
        <v>0.56666666666666665</v>
      </c>
      <c r="AC31">
        <f t="shared" si="16"/>
        <v>0.6</v>
      </c>
      <c r="AD31">
        <f t="shared" si="16"/>
        <v>0.6333333333333333</v>
      </c>
      <c r="AE31">
        <f t="shared" si="16"/>
        <v>0.66666666666666663</v>
      </c>
      <c r="AF31">
        <f t="shared" si="16"/>
        <v>0.7</v>
      </c>
      <c r="AG31">
        <f t="shared" si="16"/>
        <v>0.73333333333333328</v>
      </c>
      <c r="AH31">
        <f t="shared" si="16"/>
        <v>0.76666666666666672</v>
      </c>
      <c r="AI31">
        <f t="shared" si="16"/>
        <v>0.8</v>
      </c>
      <c r="AJ31">
        <f t="shared" si="16"/>
        <v>0.83333333333333337</v>
      </c>
      <c r="AK31">
        <f t="shared" si="16"/>
        <v>0.8666666666666667</v>
      </c>
      <c r="AL31">
        <f t="shared" si="16"/>
        <v>0.9</v>
      </c>
      <c r="AM31">
        <f t="shared" si="16"/>
        <v>0.93333333333333335</v>
      </c>
      <c r="AN31">
        <f t="shared" si="16"/>
        <v>0.96666666666666667</v>
      </c>
      <c r="AO31">
        <f t="shared" si="16"/>
        <v>1</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v>
      </c>
      <c r="K32" s="3">
        <f>IF(AND(Input!$H$2=1,Sheet2!K9=2), Input!$F$4, IF(K30&gt;0,((Input!$H$4-Input!$G$4)*Sheet2!K31+Input!$G$4),0))</f>
        <v>0</v>
      </c>
      <c r="L32" s="3">
        <f>IF(AND(Input!$H$2=1,Sheet2!L9=2), Input!$F$4, IF(L30&gt;0,((Input!$H$4-Input!$G$4)*Sheet2!L31+Input!$G$4),0))</f>
        <v>0.34833333333333333</v>
      </c>
      <c r="M32" s="3">
        <f>IF(AND(Input!$H$2=1,Sheet2!M9=2), Input!$F$4, IF(M30&gt;0,((Input!$H$4-Input!$G$4)*Sheet2!M31+Input!$G$4),0))</f>
        <v>0.34666666666666662</v>
      </c>
      <c r="N32" s="3">
        <f>IF(AND(Input!$H$2=1,Sheet2!N9=2), Input!$F$4, IF(N30&gt;0,((Input!$H$4-Input!$G$4)*Sheet2!N31+Input!$G$4),0))</f>
        <v>0.34499999999999997</v>
      </c>
      <c r="O32" s="3">
        <f>IF(AND(Input!$H$2=1,Sheet2!O9=2), Input!$F$4, IF(O30&gt;0,((Input!$H$4-Input!$G$4)*Sheet2!O31+Input!$G$4),0))</f>
        <v>0.34333333333333332</v>
      </c>
      <c r="P32" s="3">
        <f>IF(AND(Input!$H$2=1,Sheet2!P9=2), Input!$F$4, IF(P30&gt;0,((Input!$H$4-Input!$G$4)*Sheet2!P31+Input!$G$4),0))</f>
        <v>0.34166666666666667</v>
      </c>
      <c r="Q32" s="3">
        <f>IF(AND(Input!$H$2=1,Sheet2!Q9=2), Input!$F$4, IF(Q30&gt;0,((Input!$H$4-Input!$G$4)*Sheet2!Q31+Input!$G$4),0))</f>
        <v>0.33999999999999997</v>
      </c>
      <c r="R32" s="3">
        <f>IF(AND(Input!$H$2=1,Sheet2!R9=2), Input!$F$4, IF(R30&gt;0,((Input!$H$4-Input!$G$4)*Sheet2!R31+Input!$G$4),0))</f>
        <v>0.33833333333333332</v>
      </c>
      <c r="S32" s="3">
        <f>IF(AND(Input!$H$2=1,Sheet2!S9=2), Input!$F$4, IF(S30&gt;0,((Input!$H$4-Input!$G$4)*Sheet2!S31+Input!$G$4),0))</f>
        <v>0.33666666666666667</v>
      </c>
      <c r="T32" s="3">
        <f>IF(AND(Input!$H$2=1,Sheet2!T9=2), Input!$F$4, IF(T30&gt;0,((Input!$H$4-Input!$G$4)*Sheet2!T31+Input!$G$4),0))</f>
        <v>0.33499999999999996</v>
      </c>
      <c r="U32" s="3">
        <f>IF(AND(Input!$H$2=1,Sheet2!U9=2), Input!$F$4, IF(U30&gt;0,((Input!$H$4-Input!$G$4)*Sheet2!U31+Input!$G$4),0))</f>
        <v>0.33333333333333331</v>
      </c>
      <c r="V32" s="3">
        <f>IF(AND(Input!$H$2=1,Sheet2!V9=2), Input!$F$4, IF(V30&gt;0,((Input!$H$4-Input!$G$4)*Sheet2!V31+Input!$G$4),0))</f>
        <v>0.33166666666666667</v>
      </c>
      <c r="W32" s="3">
        <f>IF(AND(Input!$H$2=1,Sheet2!W9=2), Input!$F$4, IF(W30&gt;0,((Input!$H$4-Input!$G$4)*Sheet2!W31+Input!$G$4),0))</f>
        <v>0.32999999999999996</v>
      </c>
      <c r="X32" s="3">
        <f>IF(AND(Input!$H$2=1,Sheet2!X9=2), Input!$F$4, IF(X30&gt;0,((Input!$H$4-Input!$G$4)*Sheet2!X31+Input!$G$4),0))</f>
        <v>0.32833333333333331</v>
      </c>
      <c r="Y32" s="3">
        <f>IF(AND(Input!$H$2=1,Sheet2!Y9=2), Input!$F$4, IF(Y30&gt;0,((Input!$H$4-Input!$G$4)*Sheet2!Y31+Input!$G$4),0))</f>
        <v>0.32666666666666666</v>
      </c>
      <c r="Z32" s="3">
        <f>IF(AND(Input!$H$2=1,Sheet2!Z9=2), Input!$F$4, IF(Z30&gt;0,((Input!$H$4-Input!$G$4)*Sheet2!Z31+Input!$G$4),0))</f>
        <v>0.32499999999999996</v>
      </c>
      <c r="AA32" s="3">
        <f>IF(AND(Input!$H$2=1,Sheet2!AA9=2), Input!$F$4, IF(AA30&gt;0,((Input!$H$4-Input!$G$4)*Sheet2!AA31+Input!$G$4),0))</f>
        <v>0.32333333333333331</v>
      </c>
      <c r="AB32" s="3">
        <f>IF(AND(Input!$H$2=1,Sheet2!AB9=2), Input!$F$4, IF(AB30&gt;0,((Input!$H$4-Input!$G$4)*Sheet2!AB31+Input!$G$4),0))</f>
        <v>0.32166666666666666</v>
      </c>
      <c r="AC32" s="3">
        <f>IF(AND(Input!$H$2=1,Sheet2!AC9=2), Input!$F$4, IF(AC30&gt;0,((Input!$H$4-Input!$G$4)*Sheet2!AC31+Input!$G$4),0))</f>
        <v>0.32</v>
      </c>
      <c r="AD32" s="3">
        <f>IF(AND(Input!$H$2=1,Sheet2!AD9=2), Input!$F$4, IF(AD30&gt;0,((Input!$H$4-Input!$G$4)*Sheet2!AD31+Input!$G$4),0))</f>
        <v>0.3183333333333333</v>
      </c>
      <c r="AE32" s="3">
        <f>IF(AND(Input!$H$2=1,Sheet2!AE9=2), Input!$F$4, IF(AE30&gt;0,((Input!$H$4-Input!$G$4)*Sheet2!AE31+Input!$G$4),0))</f>
        <v>0.31666666666666665</v>
      </c>
      <c r="AF32" s="3">
        <f>IF(AND(Input!$H$2=1,Sheet2!AF9=2), Input!$F$4, IF(AF30&gt;0,((Input!$H$4-Input!$G$4)*Sheet2!AF31+Input!$G$4),0))</f>
        <v>0.315</v>
      </c>
      <c r="AG32" s="3">
        <f>IF(AND(Input!$H$2=1,Sheet2!AG9=2), Input!$F$4, IF(AG30&gt;0,((Input!$H$4-Input!$G$4)*Sheet2!AG31+Input!$G$4),0))</f>
        <v>0.31333333333333335</v>
      </c>
      <c r="AH32" s="3">
        <f>IF(AND(Input!$H$2=1,Sheet2!AH9=2), Input!$F$4, IF(AH30&gt;0,((Input!$H$4-Input!$G$4)*Sheet2!AH31+Input!$G$4),0))</f>
        <v>0.31166666666666665</v>
      </c>
      <c r="AI32" s="3">
        <f>IF(AND(Input!$H$2=1,Sheet2!AI9=2), Input!$F$4, IF(AI30&gt;0,((Input!$H$4-Input!$G$4)*Sheet2!AI31+Input!$G$4),0))</f>
        <v>0.31</v>
      </c>
      <c r="AJ32" s="3">
        <f>IF(AND(Input!$H$2=1,Sheet2!AJ9=2), Input!$F$4, IF(AJ30&gt;0,((Input!$H$4-Input!$G$4)*Sheet2!AJ31+Input!$G$4),0))</f>
        <v>0.30833333333333335</v>
      </c>
      <c r="AK32" s="3">
        <f>IF(AND(Input!$H$2=1,Sheet2!AK9=2), Input!$F$4, IF(AK30&gt;0,((Input!$H$4-Input!$G$4)*Sheet2!AK31+Input!$G$4),0))</f>
        <v>0.30666666666666664</v>
      </c>
      <c r="AL32" s="3">
        <f>IF(AND(Input!$H$2=1,Sheet2!AL9=2), Input!$F$4, IF(AL30&gt;0,((Input!$H$4-Input!$G$4)*Sheet2!AL31+Input!$G$4),0))</f>
        <v>0.30499999999999999</v>
      </c>
      <c r="AM32" s="3">
        <f>IF(AND(Input!$H$2=1,Sheet2!AM9=2), Input!$F$4, IF(AM30&gt;0,((Input!$H$4-Input!$G$4)*Sheet2!AM31+Input!$G$4),0))</f>
        <v>0.30333333333333334</v>
      </c>
      <c r="AN32" s="3">
        <f>IF(AND(Input!$H$2=1,Sheet2!AN9=2), Input!$F$4, IF(AN30&gt;0,((Input!$H$4-Input!$G$4)*Sheet2!AN31+Input!$G$4),0))</f>
        <v>0.30166666666666664</v>
      </c>
      <c r="AO32" s="3">
        <f>IF(AND(Input!$H$2=1,Sheet2!AO9=2), Input!$F$4, IF(AO30&gt;0,((Input!$H$4-Input!$G$4)*Sheet2!AO31+Input!$G$4),0))</f>
        <v>0.3</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v>
      </c>
      <c r="K33" s="3">
        <f>IF(AND(Input!$H$2=1,Sheet2!K9=2), Input!$F$5, IF(K30&gt;0,((Input!$H$5-Input!$G$5)*Sheet2!K31+Input!$G$5),0))</f>
        <v>0</v>
      </c>
      <c r="L33" s="3">
        <f>IF(AND(Input!$H$2=1,Sheet2!L9=2), Input!$F$5, IF(L30&gt;0,((Input!$H$5-Input!$G$5)*Sheet2!L31+Input!$G$5),0))</f>
        <v>0.65166666666666673</v>
      </c>
      <c r="M33" s="3">
        <f>IF(AND(Input!$H$2=1,Sheet2!M9=2), Input!$F$5, IF(M30&gt;0,((Input!$H$5-Input!$G$5)*Sheet2!M31+Input!$G$5),0))</f>
        <v>0.65333333333333332</v>
      </c>
      <c r="N33" s="3">
        <f>IF(AND(Input!$H$2=1,Sheet2!N9=2), Input!$F$5, IF(N30&gt;0,((Input!$H$5-Input!$G$5)*Sheet2!N31+Input!$G$5),0))</f>
        <v>0.65500000000000003</v>
      </c>
      <c r="O33" s="3">
        <f>IF(AND(Input!$H$2=1,Sheet2!O9=2), Input!$F$5, IF(O30&gt;0,((Input!$H$5-Input!$G$5)*Sheet2!O31+Input!$G$5),0))</f>
        <v>0.65666666666666673</v>
      </c>
      <c r="P33" s="3">
        <f>IF(AND(Input!$H$2=1,Sheet2!P9=2), Input!$F$5, IF(P30&gt;0,((Input!$H$5-Input!$G$5)*Sheet2!P31+Input!$G$5),0))</f>
        <v>0.65833333333333333</v>
      </c>
      <c r="Q33" s="3">
        <f>IF(AND(Input!$H$2=1,Sheet2!Q9=2), Input!$F$5, IF(Q30&gt;0,((Input!$H$5-Input!$G$5)*Sheet2!Q31+Input!$G$5),0))</f>
        <v>0.66</v>
      </c>
      <c r="R33" s="3">
        <f>IF(AND(Input!$H$2=1,Sheet2!R9=2), Input!$F$5, IF(R30&gt;0,((Input!$H$5-Input!$G$5)*Sheet2!R31+Input!$G$5),0))</f>
        <v>0.66166666666666663</v>
      </c>
      <c r="S33" s="3">
        <f>IF(AND(Input!$H$2=1,Sheet2!S9=2), Input!$F$5, IF(S30&gt;0,((Input!$H$5-Input!$G$5)*Sheet2!S31+Input!$G$5),0))</f>
        <v>0.66333333333333333</v>
      </c>
      <c r="T33" s="3">
        <f>IF(AND(Input!$H$2=1,Sheet2!T9=2), Input!$F$5, IF(T30&gt;0,((Input!$H$5-Input!$G$5)*Sheet2!T31+Input!$G$5),0))</f>
        <v>0.66500000000000004</v>
      </c>
      <c r="U33" s="3">
        <f>IF(AND(Input!$H$2=1,Sheet2!U9=2), Input!$F$5, IF(U30&gt;0,((Input!$H$5-Input!$G$5)*Sheet2!U31+Input!$G$5),0))</f>
        <v>0.66666666666666663</v>
      </c>
      <c r="V33" s="3">
        <f>IF(AND(Input!$H$2=1,Sheet2!V9=2), Input!$F$5, IF(V30&gt;0,((Input!$H$5-Input!$G$5)*Sheet2!V31+Input!$G$5),0))</f>
        <v>0.66833333333333333</v>
      </c>
      <c r="W33" s="3">
        <f>IF(AND(Input!$H$2=1,Sheet2!W9=2), Input!$F$5, IF(W30&gt;0,((Input!$H$5-Input!$G$5)*Sheet2!W31+Input!$G$5),0))</f>
        <v>0.67</v>
      </c>
      <c r="X33" s="3">
        <f>IF(AND(Input!$H$2=1,Sheet2!X9=2), Input!$F$5, IF(X30&gt;0,((Input!$H$5-Input!$G$5)*Sheet2!X31+Input!$G$5),0))</f>
        <v>0.67166666666666663</v>
      </c>
      <c r="Y33" s="3">
        <f>IF(AND(Input!$H$2=1,Sheet2!Y9=2), Input!$F$5, IF(Y30&gt;0,((Input!$H$5-Input!$G$5)*Sheet2!Y31+Input!$G$5),0))</f>
        <v>0.67333333333333334</v>
      </c>
      <c r="Z33" s="3">
        <f>IF(AND(Input!$H$2=1,Sheet2!Z9=2), Input!$F$5, IF(Z30&gt;0,((Input!$H$5-Input!$G$5)*Sheet2!Z31+Input!$G$5),0))</f>
        <v>0.67500000000000004</v>
      </c>
      <c r="AA33" s="3">
        <f>IF(AND(Input!$H$2=1,Sheet2!AA9=2), Input!$F$5, IF(AA30&gt;0,((Input!$H$5-Input!$G$5)*Sheet2!AA31+Input!$G$5),0))</f>
        <v>0.67666666666666664</v>
      </c>
      <c r="AB33" s="3">
        <f>IF(AND(Input!$H$2=1,Sheet2!AB9=2), Input!$F$5, IF(AB30&gt;0,((Input!$H$5-Input!$G$5)*Sheet2!AB31+Input!$G$5),0))</f>
        <v>0.67833333333333334</v>
      </c>
      <c r="AC33" s="3">
        <f>IF(AND(Input!$H$2=1,Sheet2!AC9=2), Input!$F$5, IF(AC30&gt;0,((Input!$H$5-Input!$G$5)*Sheet2!AC31+Input!$G$5),0))</f>
        <v>0.67999999999999994</v>
      </c>
      <c r="AD33" s="3">
        <f>IF(AND(Input!$H$2=1,Sheet2!AD9=2), Input!$F$5, IF(AD30&gt;0,((Input!$H$5-Input!$G$5)*Sheet2!AD31+Input!$G$5),0))</f>
        <v>0.68166666666666664</v>
      </c>
      <c r="AE33" s="3">
        <f>IF(AND(Input!$H$2=1,Sheet2!AE9=2), Input!$F$5, IF(AE30&gt;0,((Input!$H$5-Input!$G$5)*Sheet2!AE31+Input!$G$5),0))</f>
        <v>0.68333333333333335</v>
      </c>
      <c r="AF33" s="3">
        <f>IF(AND(Input!$H$2=1,Sheet2!AF9=2), Input!$F$5, IF(AF30&gt;0,((Input!$H$5-Input!$G$5)*Sheet2!AF31+Input!$G$5),0))</f>
        <v>0.68499999999999994</v>
      </c>
      <c r="AG33" s="3">
        <f>IF(AND(Input!$H$2=1,Sheet2!AG9=2), Input!$F$5, IF(AG30&gt;0,((Input!$H$5-Input!$G$5)*Sheet2!AG31+Input!$G$5),0))</f>
        <v>0.68666666666666665</v>
      </c>
      <c r="AH33" s="3">
        <f>IF(AND(Input!$H$2=1,Sheet2!AH9=2), Input!$F$5, IF(AH30&gt;0,((Input!$H$5-Input!$G$5)*Sheet2!AH31+Input!$G$5),0))</f>
        <v>0.68833333333333335</v>
      </c>
      <c r="AI33" s="3">
        <f>IF(AND(Input!$H$2=1,Sheet2!AI9=2), Input!$F$5, IF(AI30&gt;0,((Input!$H$5-Input!$G$5)*Sheet2!AI31+Input!$G$5),0))</f>
        <v>0.69</v>
      </c>
      <c r="AJ33" s="3">
        <f>IF(AND(Input!$H$2=1,Sheet2!AJ9=2), Input!$F$5, IF(AJ30&gt;0,((Input!$H$5-Input!$G$5)*Sheet2!AJ31+Input!$G$5),0))</f>
        <v>0.69166666666666665</v>
      </c>
      <c r="AK33" s="3">
        <f>IF(AND(Input!$H$2=1,Sheet2!AK9=2), Input!$F$5, IF(AK30&gt;0,((Input!$H$5-Input!$G$5)*Sheet2!AK31+Input!$G$5),0))</f>
        <v>0.69333333333333336</v>
      </c>
      <c r="AL33" s="3">
        <f>IF(AND(Input!$H$2=1,Sheet2!AL9=2), Input!$F$5, IF(AL30&gt;0,((Input!$H$5-Input!$G$5)*Sheet2!AL31+Input!$G$5),0))</f>
        <v>0.69499999999999995</v>
      </c>
      <c r="AM33" s="3">
        <f>IF(AND(Input!$H$2=1,Sheet2!AM9=2), Input!$F$5, IF(AM30&gt;0,((Input!$H$5-Input!$G$5)*Sheet2!AM31+Input!$G$5),0))</f>
        <v>0.69666666666666666</v>
      </c>
      <c r="AN33" s="3">
        <f>IF(AND(Input!$H$2=1,Sheet2!AN9=2), Input!$F$5, IF(AN30&gt;0,((Input!$H$5-Input!$G$5)*Sheet2!AN31+Input!$G$5),0))</f>
        <v>0.69833333333333325</v>
      </c>
      <c r="AO33" s="3">
        <f>IF(AND(Input!$H$2=1,Sheet2!AO9=2), Input!$F$5, IF(AO30&gt;0,((Input!$H$5-Input!$G$5)*Sheet2!AO31+Input!$G$5),0))</f>
        <v>0.7</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25</v>
      </c>
      <c r="C34" s="24">
        <f>C$26-C37</f>
        <v>0</v>
      </c>
      <c r="D34" s="24">
        <f t="shared" ref="D34:BO34" ca="1" si="18">D26-D37</f>
        <v>0</v>
      </c>
      <c r="E34" s="24">
        <f t="shared" ca="1" si="18"/>
        <v>0</v>
      </c>
      <c r="F34" s="24">
        <f t="shared" ca="1" si="18"/>
        <v>0</v>
      </c>
      <c r="G34" s="24">
        <f t="shared" ca="1" si="18"/>
        <v>0</v>
      </c>
      <c r="H34" s="24">
        <f t="shared" ca="1" si="18"/>
        <v>0</v>
      </c>
      <c r="I34" s="24">
        <f t="shared" ca="1" si="18"/>
        <v>0</v>
      </c>
      <c r="J34" s="24">
        <f t="shared" ca="1" si="18"/>
        <v>0</v>
      </c>
      <c r="K34" s="24">
        <f t="shared" ca="1" si="18"/>
        <v>0</v>
      </c>
      <c r="L34" s="24">
        <f t="shared" ca="1" si="18"/>
        <v>0</v>
      </c>
      <c r="M34" s="24">
        <f t="shared" ca="1" si="18"/>
        <v>0</v>
      </c>
      <c r="N34" s="24">
        <f t="shared" ca="1" si="18"/>
        <v>0</v>
      </c>
      <c r="O34" s="24">
        <f t="shared" ca="1" si="18"/>
        <v>67951.547147178455</v>
      </c>
      <c r="P34" s="24">
        <f t="shared" ca="1" si="18"/>
        <v>74642.377323284978</v>
      </c>
      <c r="Q34" s="24">
        <f t="shared" ca="1" si="18"/>
        <v>79712.365461335765</v>
      </c>
      <c r="R34" s="24">
        <f t="shared" ca="1" si="18"/>
        <v>81834.172007543544</v>
      </c>
      <c r="S34" s="24">
        <f t="shared" ca="1" si="18"/>
        <v>83983.757111512808</v>
      </c>
      <c r="T34" s="24">
        <f t="shared" ca="1" si="18"/>
        <v>85695.770252015893</v>
      </c>
      <c r="U34" s="24">
        <f t="shared" ca="1" si="18"/>
        <v>88084.315117139806</v>
      </c>
      <c r="V34" s="24">
        <f t="shared" ca="1" si="18"/>
        <v>90364.017060265091</v>
      </c>
      <c r="W34" s="24">
        <f t="shared" ca="1" si="18"/>
        <v>92504.392034306948</v>
      </c>
      <c r="X34" s="24">
        <f t="shared" ca="1" si="18"/>
        <v>94833.357299312614</v>
      </c>
      <c r="Y34" s="24">
        <f t="shared" ca="1" si="18"/>
        <v>97115.106794513238</v>
      </c>
      <c r="Z34" s="24">
        <f t="shared" ca="1" si="18"/>
        <v>99532.671322711496</v>
      </c>
      <c r="AA34" s="24">
        <f t="shared" ca="1" si="18"/>
        <v>101975.0362154481</v>
      </c>
      <c r="AB34" s="24">
        <f t="shared" ca="1" si="18"/>
        <v>104494.96668045361</v>
      </c>
      <c r="AC34" s="24">
        <f t="shared" ca="1" si="18"/>
        <v>107013.8903329407</v>
      </c>
      <c r="AD34" s="24">
        <f t="shared" ca="1" si="18"/>
        <v>140056.80184227374</v>
      </c>
      <c r="AE34" s="24">
        <f t="shared" ca="1" si="18"/>
        <v>146206.48493853977</v>
      </c>
      <c r="AF34" s="24">
        <f t="shared" ca="1" si="18"/>
        <v>149079.76259626567</v>
      </c>
      <c r="AG34" s="24">
        <f t="shared" ca="1" si="18"/>
        <v>152429.43536416933</v>
      </c>
      <c r="AH34" s="24">
        <f t="shared" ca="1" si="18"/>
        <v>156323.90811910134</v>
      </c>
      <c r="AI34" s="24">
        <f t="shared" ca="1" si="18"/>
        <v>160736.43864747847</v>
      </c>
      <c r="AJ34" s="24">
        <f t="shared" ca="1" si="18"/>
        <v>166177.93769195443</v>
      </c>
      <c r="AK34" s="24">
        <f t="shared" ca="1" si="18"/>
        <v>226994.40983221511</v>
      </c>
      <c r="AL34" s="24">
        <f t="shared" ca="1" si="18"/>
        <v>233229.27007802046</v>
      </c>
      <c r="AM34" s="24">
        <f t="shared" ca="1" si="18"/>
        <v>239580.00182997098</v>
      </c>
      <c r="AN34" s="24">
        <f t="shared" ca="1" si="18"/>
        <v>199649.50187572019</v>
      </c>
      <c r="AO34" s="24">
        <f t="shared" ca="1" si="18"/>
        <v>204640.73942261317</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18</v>
      </c>
      <c r="B35">
        <f>Input!$C$8+B70</f>
        <v>1022320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990009.88889070484</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1061490.0954447626</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1001783.4941398692</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1004135.1002506714</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1010134.8756053811</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1056162.6878311236</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1208464.4616059689</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1291015.7223586421</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1405019.7089005997</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1453221.5817374792</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1532576.3530896239</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1557271.744701039</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1559069.1070698497</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1511120.5812668537</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1482944.868240196</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1480866.8179757516</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1388076.8051281173</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1362567.3163367824</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1348669.161503559</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1264590.3873718879</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1219511.4758080936</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1111603.0350121271</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1042912.5071037653</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984820.36691559863</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895092.46930524043</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830363.97939426522</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748121.82636979129</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602511.37928746059</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462528.23830325855</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327176.66792747309</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168716.2548675609</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-11917.649780496664</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-172654.08842797513</v>
      </c>
      <c r="AJ35">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-338832.02611992956</v>
      </c>
      <c r="AK35">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-565826.43595214467</v>
      </c>
      <c r="AL35">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-799055.70603016508</v>
      </c>
      <c r="AM35">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-1038635.7078601361</v>
      </c>
      <c r="AN35">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-1238285.2097358562</v>
      </c>
      <c r="AO35">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-1442925.9491584692</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-1442925.9491584692</v>
      </c>
    </row>
    <row r="36" spans="1:94">
      <c r="A36" t="s">
        <v>19</v>
      </c>
      <c r="B36">
        <f>Input!$C$9</f>
        <v>60000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92571.914577940697</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133676.26194305901</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159351.90347590571</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192705.62605428966</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226449.86042190169</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268389.84651775839</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335783.0476638549</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388102.67386423668</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449968.81770909723</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364030.27393263788</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279588.56985462306</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178607.88579228762</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146822.54763089994</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139451.86242672891</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137062.83766746157</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136972.1645206518</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129529.77963749687</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127264.69443018804</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126191.33235123815</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119232.07783276252</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115526.08720902144</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106476.61571749553</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100760.12332670612</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96010.382563211082</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88499.308320466167</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83238.950140473171</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76398.549489902391</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67238.526053666879</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56287.109235906908</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45329.220869341108</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31881.013074253213</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16055.671328305938</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959.05455659370818</v>
      </c>
      <c r="AJ36">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-13692.879761080667</v>
      </c>
      <c r="AK36">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-13692.879761080667</v>
      </c>
      <c r="AL36">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-13692.879761080667</v>
      </c>
      <c r="AM36">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-13692.879761080667</v>
      </c>
      <c r="AN36">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-13692.879761080667</v>
      </c>
      <c r="AO36">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-13692.879761080667</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-13692.879761080667</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0</v>
      </c>
      <c r="J37">
        <f t="shared" ca="1" si="20"/>
        <v>0</v>
      </c>
      <c r="K37">
        <f t="shared" ca="1" si="20"/>
        <v>0</v>
      </c>
      <c r="L37">
        <f t="shared" ca="1" si="20"/>
        <v>100000</v>
      </c>
      <c r="M37">
        <f t="shared" ca="1" si="20"/>
        <v>102499.99999999999</v>
      </c>
      <c r="N37">
        <f t="shared" ca="1" si="20"/>
        <v>105062.49999999997</v>
      </c>
      <c r="O37">
        <f t="shared" ca="1" si="20"/>
        <v>39737.515352821501</v>
      </c>
      <c r="P37">
        <f t="shared" ca="1" si="20"/>
        <v>10351.215254839975</v>
      </c>
      <c r="Q37">
        <f t="shared" ca="1" si="20"/>
        <v>7406.0669312422979</v>
      </c>
      <c r="R37">
        <f t="shared" ca="1" si="20"/>
        <v>7462.2211948489712</v>
      </c>
      <c r="S37">
        <f t="shared" ca="1" si="20"/>
        <v>7545.0459209395194</v>
      </c>
      <c r="T37">
        <f t="shared" ca="1" si="20"/>
        <v>8121.2528562477382</v>
      </c>
      <c r="U37">
        <f t="shared" ca="1" si="20"/>
        <v>8078.1335688304098</v>
      </c>
      <c r="V37">
        <f t="shared" ca="1" si="20"/>
        <v>8202.4928428543644</v>
      </c>
      <c r="W37">
        <f t="shared" ca="1" si="20"/>
        <v>8526.2806163904752</v>
      </c>
      <c r="X37">
        <f t="shared" ca="1" si="20"/>
        <v>8723.0821676522319</v>
      </c>
      <c r="Y37">
        <f t="shared" ca="1" si="20"/>
        <v>9030.2436591257137</v>
      </c>
      <c r="Z37">
        <f t="shared" ca="1" si="20"/>
        <v>9266.3128922684118</v>
      </c>
      <c r="AA37">
        <f t="shared" ca="1" si="20"/>
        <v>9543.9226049063</v>
      </c>
      <c r="AB37">
        <f t="shared" ca="1" si="20"/>
        <v>9811.9661104096303</v>
      </c>
      <c r="AC37">
        <f t="shared" ca="1" si="20"/>
        <v>10150.715777694102</v>
      </c>
      <c r="AD37">
        <f t="shared" ca="1" si="20"/>
        <v>10436.919421126906</v>
      </c>
      <c r="AE37">
        <f t="shared" ca="1" si="20"/>
        <v>13658.533626376688</v>
      </c>
      <c r="AF37">
        <f t="shared" ca="1" si="20"/>
        <v>14781.881432773669</v>
      </c>
      <c r="AG37">
        <f t="shared" ca="1" si="20"/>
        <v>15528.749765595974</v>
      </c>
      <c r="AH37">
        <f t="shared" ca="1" si="20"/>
        <v>15833.231638908082</v>
      </c>
      <c r="AI37">
        <f t="shared" ca="1" si="20"/>
        <v>15724.629604481195</v>
      </c>
      <c r="AJ37">
        <f t="shared" ca="1" si="20"/>
        <v>14694.657266304223</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-1456618.8289195499</v>
      </c>
    </row>
    <row r="38" spans="1:94">
      <c r="A38" t="s">
        <v>26</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0</v>
      </c>
      <c r="J39" s="24">
        <f t="shared" ca="1" si="22"/>
        <v>0</v>
      </c>
      <c r="K39" s="24">
        <f t="shared" ca="1" si="22"/>
        <v>0</v>
      </c>
      <c r="L39" s="24">
        <f t="shared" ca="1" si="22"/>
        <v>0</v>
      </c>
      <c r="M39" s="24">
        <f t="shared" ca="1" si="22"/>
        <v>0</v>
      </c>
      <c r="N39" s="24">
        <f t="shared" ca="1" si="22"/>
        <v>0</v>
      </c>
      <c r="O39" s="24">
        <f t="shared" ca="1" si="22"/>
        <v>31553.150970958639</v>
      </c>
      <c r="P39" s="24">
        <f t="shared" ca="1" si="22"/>
        <v>4476.3588347393088</v>
      </c>
      <c r="Q39" s="24">
        <f t="shared" ca="1" si="22"/>
        <v>12967.506923977635</v>
      </c>
      <c r="R39" s="24">
        <f t="shared" ca="1" si="22"/>
        <v>15303.698446859067</v>
      </c>
      <c r="S39" s="24">
        <f t="shared" ca="1" si="22"/>
        <v>17678.930333467273</v>
      </c>
      <c r="T39" s="24">
        <f t="shared" ca="1" si="22"/>
        <v>18963.250024375026</v>
      </c>
      <c r="U39" s="24">
        <f t="shared" ca="1" si="22"/>
        <v>20014.775262750816</v>
      </c>
      <c r="V39" s="24">
        <f t="shared" ca="1" si="22"/>
        <v>22536.839424492922</v>
      </c>
      <c r="W39" s="24">
        <f t="shared" ca="1" si="22"/>
        <v>24405.557716059382</v>
      </c>
      <c r="X39" s="24">
        <f t="shared" ca="1" si="22"/>
        <v>27277.953331586701</v>
      </c>
      <c r="Y39" s="24">
        <f t="shared" ca="1" si="22"/>
        <v>29229.593496551373</v>
      </c>
      <c r="Z39" s="24">
        <f t="shared" ca="1" si="22"/>
        <v>32277.176635637559</v>
      </c>
      <c r="AA39" s="24">
        <f t="shared" ca="1" si="22"/>
        <v>35140.637170779461</v>
      </c>
      <c r="AB39" s="24">
        <f t="shared" ca="1" si="22"/>
        <v>37513.726269346997</v>
      </c>
      <c r="AC39" s="24">
        <f t="shared" ca="1" si="22"/>
        <v>40740.087687429259</v>
      </c>
      <c r="AD39" s="24">
        <f t="shared" ca="1" si="22"/>
        <v>75214.602720503754</v>
      </c>
      <c r="AE39" s="24">
        <f t="shared" ca="1" si="22"/>
        <v>81368.664844493731</v>
      </c>
      <c r="AF39" s="24">
        <f t="shared" ca="1" si="22"/>
        <v>84997.100381404773</v>
      </c>
      <c r="AG39" s="24">
        <f t="shared" ca="1" si="22"/>
        <v>89341.909323667205</v>
      </c>
      <c r="AH39" s="24">
        <f t="shared" ca="1" si="22"/>
        <v>92920.300573266752</v>
      </c>
      <c r="AI39" s="24">
        <f t="shared" ca="1" si="22"/>
        <v>96044.356358194709</v>
      </c>
      <c r="AJ39" s="24">
        <f t="shared" ca="1" si="22"/>
        <v>100840.03074712522</v>
      </c>
      <c r="AK39" s="24">
        <f t="shared" ca="1" si="22"/>
        <v>147806.28754727816</v>
      </c>
      <c r="AL39" s="24">
        <f t="shared" ca="1" si="22"/>
        <v>149752.94762264023</v>
      </c>
      <c r="AM39" s="24">
        <f t="shared" ca="1" si="22"/>
        <v>154906.23342076427</v>
      </c>
      <c r="AN39" s="24">
        <f t="shared" ca="1" si="22"/>
        <v>113564.36634697959</v>
      </c>
      <c r="AO39" s="24">
        <f t="shared" ca="1" si="22"/>
        <v>122700.09715150995</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48" customFormat="1" ht="26.25" customHeight="1">
      <c r="A40" s="15" t="s">
        <v>44</v>
      </c>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c r="BQ40" s="251"/>
      <c r="BR40" s="251"/>
      <c r="BS40" s="251"/>
      <c r="BT40" s="251"/>
      <c r="BU40" s="251"/>
      <c r="BV40" s="251"/>
      <c r="BW40" s="251"/>
      <c r="BX40" s="251"/>
      <c r="BY40" s="251"/>
      <c r="BZ40" s="251"/>
      <c r="CA40" s="251"/>
      <c r="CB40" s="251"/>
      <c r="CC40" s="251"/>
      <c r="CD40" s="251"/>
      <c r="CE40" s="251"/>
      <c r="CF40" s="251"/>
      <c r="CG40" s="251"/>
      <c r="CH40" s="251"/>
      <c r="CI40" s="251"/>
      <c r="CJ40" s="251"/>
      <c r="CK40" s="251"/>
      <c r="CL40" s="251"/>
      <c r="CM40" s="251"/>
      <c r="CN40" s="251"/>
      <c r="CP40" s="252"/>
    </row>
    <row r="41" spans="1:94">
      <c r="A41" t="s">
        <v>22</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36398.396176219809</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73376.979293347074</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73348.20699163356</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73309.494873339194</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73272.220653117009</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73236.528446902405</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75025.514640039342</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74879.569252255664</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74697.768524989559</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74517.31297682623</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74338.990774668695</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74162.872856010901</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73989.009653700603</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73817.445065951426</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73648.217117122855</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72096.421241504169</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71730.716564350238</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71590.43208831019</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71456.738834585092</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71325.529663802619</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71196.71078356159</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71070.261764152558</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69894.870394173544</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69733.045567498557</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69593.87553188458</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70567.287479235165</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70451.522956597342</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23</v>
      </c>
      <c r="C42">
        <f>C26-C41</f>
        <v>0</v>
      </c>
      <c r="D42">
        <f t="shared" ref="D42:BO42" si="24">D26-D41</f>
        <v>0</v>
      </c>
      <c r="E42">
        <f t="shared" si="24"/>
        <v>0</v>
      </c>
      <c r="F42">
        <f>F26-F41</f>
        <v>0</v>
      </c>
      <c r="G42">
        <f t="shared" si="24"/>
        <v>0</v>
      </c>
      <c r="H42">
        <f t="shared" si="24"/>
        <v>0</v>
      </c>
      <c r="I42">
        <f t="shared" si="24"/>
        <v>0</v>
      </c>
      <c r="J42">
        <f t="shared" si="24"/>
        <v>0</v>
      </c>
      <c r="K42">
        <f t="shared" si="24"/>
        <v>0</v>
      </c>
      <c r="L42">
        <f t="shared" si="24"/>
        <v>100000</v>
      </c>
      <c r="M42">
        <f t="shared" si="24"/>
        <v>102499.99999999999</v>
      </c>
      <c r="N42">
        <f t="shared" si="24"/>
        <v>105062.49999999997</v>
      </c>
      <c r="O42">
        <f t="shared" ca="1" si="24"/>
        <v>71290.66632378014</v>
      </c>
      <c r="P42">
        <f t="shared" ca="1" si="24"/>
        <v>11616.613284777879</v>
      </c>
      <c r="Q42">
        <f t="shared" ca="1" si="24"/>
        <v>13770.225400944502</v>
      </c>
      <c r="R42">
        <f t="shared" ca="1" si="24"/>
        <v>15986.898329053322</v>
      </c>
      <c r="S42">
        <f t="shared" ca="1" si="24"/>
        <v>18256.582379335319</v>
      </c>
      <c r="T42">
        <f t="shared" ca="1" si="24"/>
        <v>20580.494661361226</v>
      </c>
      <c r="U42">
        <f t="shared" ca="1" si="24"/>
        <v>21136.934045930873</v>
      </c>
      <c r="V42">
        <f t="shared" ca="1" si="24"/>
        <v>23686.940650863791</v>
      </c>
      <c r="W42">
        <f t="shared" ca="1" si="24"/>
        <v>26332.904125707864</v>
      </c>
      <c r="X42">
        <f t="shared" ca="1" si="24"/>
        <v>29039.126490138617</v>
      </c>
      <c r="Y42">
        <f t="shared" ca="1" si="24"/>
        <v>31806.359678970257</v>
      </c>
      <c r="Z42">
        <f t="shared" ca="1" si="24"/>
        <v>34636.111358969007</v>
      </c>
      <c r="AA42">
        <f t="shared" ca="1" si="24"/>
        <v>37529.949166653794</v>
      </c>
      <c r="AB42">
        <f t="shared" ca="1" si="24"/>
        <v>40489.487724911814</v>
      </c>
      <c r="AC42">
        <f t="shared" ca="1" si="24"/>
        <v>43516.388993511951</v>
      </c>
      <c r="AD42">
        <f t="shared" ca="1" si="24"/>
        <v>78397.300021896488</v>
      </c>
      <c r="AE42">
        <f t="shared" ca="1" si="24"/>
        <v>88134.302000566211</v>
      </c>
      <c r="AF42">
        <f t="shared" ca="1" si="24"/>
        <v>92271.211940729147</v>
      </c>
      <c r="AG42">
        <f t="shared" ca="1" si="24"/>
        <v>96501.446295180212</v>
      </c>
      <c r="AH42">
        <f t="shared" ca="1" si="24"/>
        <v>100831.61009420682</v>
      </c>
      <c r="AI42">
        <f t="shared" ca="1" si="24"/>
        <v>105264.35746839807</v>
      </c>
      <c r="AJ42">
        <f t="shared" ca="1" si="24"/>
        <v>109802.33319410609</v>
      </c>
      <c r="AK42">
        <f t="shared" ca="1" si="24"/>
        <v>157099.53943804157</v>
      </c>
      <c r="AL42">
        <f t="shared" ca="1" si="24"/>
        <v>163496.22451052192</v>
      </c>
      <c r="AM42">
        <f t="shared" ca="1" si="24"/>
        <v>169986.1262980864</v>
      </c>
      <c r="AN42">
        <f t="shared" ca="1" si="24"/>
        <v>129082.21439648503</v>
      </c>
      <c r="AO42">
        <f t="shared" ca="1" si="24"/>
        <v>134189.21646601585</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18</v>
      </c>
      <c r="B43">
        <f>Input!$C$8+B70</f>
        <v>1022320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990009.88889070484</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1061490.0954447626</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1001783.4941398692</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1004135.1002506714</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1010134.8756053811</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1056162.6878311236</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1208464.4616059689</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1291015.7223586421</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1405019.7089005997</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1453221.5817374792</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1532576.3530896239</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1557271.744701039</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1599206.117129867</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1630588.4862005129</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1681875.6749725395</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1766252.5856825099</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1747943.9031418683</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1815474.376454009</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1902917.7888331013</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1898865.2609863989</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1956518.8578679119</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1920480.6148256664</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1954342.0650002176</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2015759.7155883415</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2024264.488598096</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2098559.510581004</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2146389.4666312612</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2101540.5575904283</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2105395.6780650406</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2172387.7237538653</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2184472.8161989166</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2077699.1973673543</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2060666.9773446741</v>
      </c>
      <c r="AJ43">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2050250.5851590815</v>
      </c>
      <c r="AK43">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1991994.9564404772</v>
      </c>
      <c r="AL43">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1850003.6953183825</v>
      </c>
      <c r="AM43">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1739780.4794859434</v>
      </c>
      <c r="AN43">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1701903.2553255244</v>
      </c>
      <c r="AO43">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1634768.4171206965</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1634768.4171206965</v>
      </c>
    </row>
    <row r="44" spans="1:94">
      <c r="A44" t="s">
        <v>19</v>
      </c>
      <c r="B44">
        <f>Input!$C$9</f>
        <v>60000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92571.914577940697</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133676.26194305901</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159351.90347590571</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192705.62605428966</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226449.86042190169</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268389.84651775839</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335783.0476638549</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388102.67386423668</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449968.81770909723</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364030.27393263788</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279588.56985462306</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178607.88579228762</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146822.54763089994</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142662.82323153032</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146992.66726086676</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154215.06402224873</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153752.99661775614</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159087.07489076172</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166721.22210110756</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167213.6600962613</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172046.39324780964</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169799.1471396437</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172506.84774277051</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177880.53178580615</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179257.52232979619</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185501.15451365546</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190102.01590423222</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190096.61061228995</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190984.52804839957</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196685.38573024154</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198553.40740962327</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190691.23576042577</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188930.06590712478</v>
      </c>
      <c r="AJ44">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188384.02032988038</v>
      </c>
      <c r="AK44">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188155.29717730419</v>
      </c>
      <c r="AL44">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177261.07445955731</v>
      </c>
      <c r="AM44">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168152.48522650101</v>
      </c>
      <c r="AN44">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160479.76058755201</v>
      </c>
      <c r="AO44">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155161.75428693739</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155161.75428693739</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0</v>
      </c>
      <c r="K45">
        <f t="shared" ca="1" si="26"/>
        <v>0</v>
      </c>
      <c r="L45">
        <f t="shared" ca="1" si="26"/>
        <v>100000</v>
      </c>
      <c r="M45">
        <f t="shared" ca="1" si="26"/>
        <v>102499.99999999999</v>
      </c>
      <c r="N45">
        <f t="shared" ca="1" si="26"/>
        <v>105062.49999999997</v>
      </c>
      <c r="O45">
        <f t="shared" ca="1" si="26"/>
        <v>39737.515352821501</v>
      </c>
      <c r="P45">
        <f t="shared" ca="1" si="26"/>
        <v>7140.2544500385702</v>
      </c>
      <c r="Q45">
        <f t="shared" ca="1" si="26"/>
        <v>802.71847696686746</v>
      </c>
      <c r="R45">
        <f t="shared" ca="1" si="26"/>
        <v>683.19988219425431</v>
      </c>
      <c r="S45">
        <f t="shared" ca="1" si="26"/>
        <v>577.65204586804612</v>
      </c>
      <c r="T45">
        <f t="shared" ca="1" si="26"/>
        <v>1617.2446369862009</v>
      </c>
      <c r="U45">
        <f t="shared" ca="1" si="26"/>
        <v>1122.1587831800571</v>
      </c>
      <c r="V45">
        <f t="shared" ca="1" si="26"/>
        <v>1150.101226370869</v>
      </c>
      <c r="W45">
        <f t="shared" ca="1" si="26"/>
        <v>1927.3464096484822</v>
      </c>
      <c r="X45">
        <f t="shared" ca="1" si="26"/>
        <v>1761.1731585519155</v>
      </c>
      <c r="Y45">
        <f t="shared" ca="1" si="26"/>
        <v>2576.7661824188835</v>
      </c>
      <c r="Z45">
        <f t="shared" ca="1" si="26"/>
        <v>2358.9347233314475</v>
      </c>
      <c r="AA45">
        <f t="shared" ca="1" si="26"/>
        <v>2389.3119958743337</v>
      </c>
      <c r="AB45">
        <f t="shared" ca="1" si="26"/>
        <v>2975.7614555648179</v>
      </c>
      <c r="AC45">
        <f t="shared" ca="1" si="26"/>
        <v>2776.3013060826925</v>
      </c>
      <c r="AD45">
        <f t="shared" ca="1" si="26"/>
        <v>3182.6973013927345</v>
      </c>
      <c r="AE45">
        <f t="shared" ca="1" si="26"/>
        <v>6765.6371560724801</v>
      </c>
      <c r="AF45">
        <f t="shared" ca="1" si="26"/>
        <v>7274.111559324374</v>
      </c>
      <c r="AG45">
        <f t="shared" ca="1" si="26"/>
        <v>7159.5369715130073</v>
      </c>
      <c r="AH45">
        <f t="shared" ca="1" si="26"/>
        <v>7911.3095209400635</v>
      </c>
      <c r="AI45">
        <f t="shared" ca="1" si="26"/>
        <v>9220.0011102033604</v>
      </c>
      <c r="AJ45">
        <f t="shared" ca="1" si="26"/>
        <v>8962.3024469808734</v>
      </c>
      <c r="AK45">
        <f t="shared" ca="1" si="26"/>
        <v>9293.2518907634076</v>
      </c>
      <c r="AL45">
        <f t="shared" ca="1" si="26"/>
        <v>13743.276887881686</v>
      </c>
      <c r="AM45">
        <f t="shared" ca="1" si="26"/>
        <v>15079.892877322127</v>
      </c>
      <c r="AN45">
        <f t="shared" ca="1" si="26"/>
        <v>15517.848049505439</v>
      </c>
      <c r="AO45">
        <f t="shared" ca="1" si="26"/>
        <v>11489.119314505893</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1789930.1714076339</v>
      </c>
    </row>
    <row r="46" spans="1:94" s="24" customFormat="1">
      <c r="A46" s="24" t="s">
        <v>27</v>
      </c>
      <c r="C46" s="24">
        <f>C$26-C50</f>
        <v>0</v>
      </c>
      <c r="D46" s="24">
        <f t="shared" ref="D46:BO46" ca="1" si="28">D$26-D50</f>
        <v>0</v>
      </c>
      <c r="E46" s="24">
        <f t="shared" ca="1" si="28"/>
        <v>0</v>
      </c>
      <c r="F46" s="24">
        <f t="shared" ca="1" si="28"/>
        <v>0</v>
      </c>
      <c r="G46" s="24">
        <f t="shared" ca="1" si="28"/>
        <v>0</v>
      </c>
      <c r="H46" s="24">
        <f t="shared" ca="1" si="28"/>
        <v>0</v>
      </c>
      <c r="I46" s="24">
        <f t="shared" ca="1" si="28"/>
        <v>0</v>
      </c>
      <c r="J46" s="24">
        <f t="shared" ca="1" si="28"/>
        <v>0</v>
      </c>
      <c r="K46" s="24">
        <f t="shared" ca="1" si="28"/>
        <v>0</v>
      </c>
      <c r="L46" s="24">
        <f t="shared" ca="1" si="28"/>
        <v>0</v>
      </c>
      <c r="M46" s="24">
        <f t="shared" ca="1" si="28"/>
        <v>0</v>
      </c>
      <c r="N46" s="24">
        <f t="shared" ca="1" si="28"/>
        <v>0</v>
      </c>
      <c r="O46" s="24">
        <f t="shared" ca="1" si="28"/>
        <v>47998.186591725665</v>
      </c>
      <c r="P46" s="24">
        <f t="shared" ca="1" si="28"/>
        <v>73593.233982057514</v>
      </c>
      <c r="Q46" s="24">
        <f t="shared" ca="1" si="28"/>
        <v>79811.521110412592</v>
      </c>
      <c r="R46" s="24">
        <f t="shared" ca="1" si="28"/>
        <v>81990.533688832467</v>
      </c>
      <c r="S46" s="24">
        <f t="shared" ca="1" si="28"/>
        <v>84271.292134927498</v>
      </c>
      <c r="T46" s="24">
        <f t="shared" ca="1" si="28"/>
        <v>85824.939194017832</v>
      </c>
      <c r="U46" s="24">
        <f t="shared" ca="1" si="28"/>
        <v>88354.626156484272</v>
      </c>
      <c r="V46" s="24">
        <f t="shared" ca="1" si="28"/>
        <v>90663.542933904842</v>
      </c>
      <c r="W46" s="24">
        <f t="shared" ca="1" si="28"/>
        <v>92663.620360307672</v>
      </c>
      <c r="X46" s="24">
        <f t="shared" ca="1" si="28"/>
        <v>95058.482317069909</v>
      </c>
      <c r="Y46" s="24">
        <f t="shared" ca="1" si="28"/>
        <v>97248.660398705702</v>
      </c>
      <c r="Z46" s="24">
        <f t="shared" ca="1" si="28"/>
        <v>99781.231073124698</v>
      </c>
      <c r="AA46" s="24">
        <f t="shared" ca="1" si="28"/>
        <v>102334.71980615458</v>
      </c>
      <c r="AB46" s="24">
        <f t="shared" ca="1" si="28"/>
        <v>104675.61740543728</v>
      </c>
      <c r="AC46" s="24">
        <f t="shared" ca="1" si="28"/>
        <v>107449.81449055823</v>
      </c>
      <c r="AD46" s="24">
        <f t="shared" ca="1" si="28"/>
        <v>140407.35011496028</v>
      </c>
      <c r="AE46" s="24">
        <f t="shared" ca="1" si="28"/>
        <v>146433.41887117177</v>
      </c>
      <c r="AF46" s="24">
        <f t="shared" ca="1" si="28"/>
        <v>149574.08351625007</v>
      </c>
      <c r="AG46" s="24">
        <f t="shared" ca="1" si="28"/>
        <v>153307.86998759996</v>
      </c>
      <c r="AH46" s="24">
        <f t="shared" ca="1" si="28"/>
        <v>156979.78486622914</v>
      </c>
      <c r="AI46" s="24">
        <f t="shared" ca="1" si="28"/>
        <v>160765.70440706069</v>
      </c>
      <c r="AJ46" s="24">
        <f t="shared" ca="1" si="28"/>
        <v>164686.93236078936</v>
      </c>
      <c r="AK46" s="24">
        <f t="shared" ca="1" si="28"/>
        <v>210283.06667859058</v>
      </c>
      <c r="AL46" s="24">
        <f t="shared" ca="1" si="28"/>
        <v>211817.01229329169</v>
      </c>
      <c r="AM46" s="24">
        <f t="shared" ca="1" si="28"/>
        <v>217512.46812159111</v>
      </c>
      <c r="AN46" s="24">
        <f t="shared" ca="1" si="28"/>
        <v>176666.17092023694</v>
      </c>
      <c r="AO46" s="24">
        <f t="shared" ca="1" si="28"/>
        <v>185172.98167509507</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24</v>
      </c>
      <c r="C47">
        <f ca="1">IF(C$13&gt;0, C$13+0.04*RAND(), C$13*0.7*RAND())</f>
        <v>-1.0713086441821408E-2</v>
      </c>
      <c r="D47">
        <f t="shared" ref="D47:BO47" ca="1" si="30">IF(D$13&gt;0, D$13+0.04*RAND(), D$13*0.7*RAND())</f>
        <v>7.3685670985412829E-2</v>
      </c>
      <c r="E47">
        <f t="shared" ca="1" si="30"/>
        <v>-6.0485988559766495E-2</v>
      </c>
      <c r="F47">
        <f t="shared" ca="1" si="30"/>
        <v>-7.4279151858309697E-3</v>
      </c>
      <c r="G47">
        <f t="shared" ca="1" si="30"/>
        <v>-1.5058877659010979E-2</v>
      </c>
      <c r="H47">
        <f t="shared" ca="1" si="30"/>
        <v>5.78317515490911E-2</v>
      </c>
      <c r="I47">
        <f t="shared" ca="1" si="30"/>
        <v>0.19480830973801661</v>
      </c>
      <c r="J47">
        <f t="shared" ca="1" si="30"/>
        <v>6.9755189017108005E-2</v>
      </c>
      <c r="K47">
        <f t="shared" ca="1" si="30"/>
        <v>0.12025885227616345</v>
      </c>
      <c r="L47">
        <f t="shared" ca="1" si="30"/>
        <v>5.2244175400349188E-2</v>
      </c>
      <c r="M47">
        <f t="shared" ca="1" si="30"/>
        <v>0.10465985637954839</v>
      </c>
      <c r="N47">
        <f t="shared" ca="1" si="30"/>
        <v>-1.3510149354772266E-2</v>
      </c>
      <c r="O47">
        <f t="shared" ca="1" si="30"/>
        <v>9.5019886053316849E-2</v>
      </c>
      <c r="P47">
        <f t="shared" ca="1" si="30"/>
        <v>-2.7437904365354994E-3</v>
      </c>
      <c r="Q47">
        <f t="shared" ca="1" si="30"/>
        <v>3.6764044817777917E-2</v>
      </c>
      <c r="R47">
        <f t="shared" ca="1" si="30"/>
        <v>0.10820421868773608</v>
      </c>
      <c r="S47">
        <f t="shared" ca="1" si="30"/>
        <v>-4.6531259757679903E-2</v>
      </c>
      <c r="T47">
        <f t="shared" ca="1" si="30"/>
        <v>7.9471248210653864E-2</v>
      </c>
      <c r="U47">
        <f t="shared" ca="1" si="30"/>
        <v>0.12934127741818396</v>
      </c>
      <c r="V47">
        <f t="shared" ca="1" si="30"/>
        <v>-2.67312436459794E-4</v>
      </c>
      <c r="W47">
        <f t="shared" ca="1" si="30"/>
        <v>5.6462845144809828E-2</v>
      </c>
      <c r="X47">
        <f t="shared" ca="1" si="30"/>
        <v>-2.3503910384313476E-2</v>
      </c>
      <c r="Y47">
        <f t="shared" ca="1" si="30"/>
        <v>4.8996270848523427E-2</v>
      </c>
      <c r="Z47">
        <f t="shared" ca="1" si="30"/>
        <v>9.5527953129325632E-2</v>
      </c>
      <c r="AA47">
        <f t="shared" ca="1" si="30"/>
        <v>-4.3713548236726076E-3</v>
      </c>
      <c r="AB47">
        <f t="shared" ca="1" si="30"/>
        <v>0.10999380083622032</v>
      </c>
      <c r="AC47">
        <f t="shared" ca="1" si="30"/>
        <v>5.1186352599512618E-2</v>
      </c>
      <c r="AD47">
        <f t="shared" ca="1" si="30"/>
        <v>-1.417066548127011E-2</v>
      </c>
      <c r="AE47">
        <f t="shared" ca="1" si="30"/>
        <v>7.0553239864599521E-2</v>
      </c>
      <c r="AF47">
        <f t="shared" ca="1" si="30"/>
        <v>0.16840965794999396</v>
      </c>
      <c r="AG47">
        <f t="shared" ca="1" si="30"/>
        <v>7.9231230233980321E-2</v>
      </c>
      <c r="AH47">
        <f t="shared" ca="1" si="30"/>
        <v>-8.4568485972317323E-3</v>
      </c>
      <c r="AI47">
        <f t="shared" ca="1" si="30"/>
        <v>8.9237706002672931E-2</v>
      </c>
      <c r="AJ47">
        <f t="shared" ca="1" si="30"/>
        <v>9.2397979807526412E-2</v>
      </c>
      <c r="AK47">
        <f t="shared" ca="1" si="30"/>
        <v>9.8200851157872332E-2</v>
      </c>
      <c r="AL47">
        <f t="shared" ca="1" si="30"/>
        <v>-9.0630478053149652E-3</v>
      </c>
      <c r="AM47">
        <f t="shared" ca="1" si="30"/>
        <v>4.0417543527094604E-2</v>
      </c>
      <c r="AN47">
        <f t="shared" ca="1" si="30"/>
        <v>0.11973857015415798</v>
      </c>
      <c r="AO47">
        <f t="shared" ca="1" si="30"/>
        <v>5.8371859282775496E-2</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18</v>
      </c>
      <c r="B48">
        <f>Input!$C$8+B70</f>
        <v>1022320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1043542.9119732004</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1122890.414542706</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1108182.6111312071</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1132493.6645210204</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1151372.1636165162</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1225509.6669544617</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1413807.0531115648</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1512816.2386041915</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1667888.367958863</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1744978.2591109562</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1857311.9619846956</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1900966.2195023322</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1963731.0715967524</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1935232.141898015</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1925088.4159971848</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1958586.5400988441</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1889411.5386886427</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1897588.0971235284</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1937625.762613049</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1894168.5229681046</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1882591.016318152</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1818076.486443589</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1792751.9633072098</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1790288.6490184902</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1726562.7762119616</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1721817.7203231815</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1680771.3212125259</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1562144.6988650574</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1474812.3583807596</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1424364.5158921743</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1324970.1735675533</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1179254.547345615</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1060652.1767512478</v>
      </c>
      <c r="AJ48">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931258.57366677211</v>
      </c>
      <c r="AK48">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738033.61645196995</v>
      </c>
      <c r="AL48">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506588.47699729656</v>
      </c>
      <c r="AM48">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269140.73320063192</v>
      </c>
      <c r="AN48">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80223.865993573883</v>
      </c>
      <c r="AO48">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-133127.13696447964</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-133127.13696447964</v>
      </c>
    </row>
    <row r="49" spans="1:94">
      <c r="A49" t="s">
        <v>19</v>
      </c>
      <c r="B49">
        <f>Input!$C$9</f>
        <v>60000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96635.404337835833</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138417.3978106385</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169973.0450884949</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206687.97019461228</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242728.85396631574</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289695.18007776368</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362347.26045466139</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416988.10750085174</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486474.41179214983</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406955.67969303689</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328255.0368165698</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230182.79724832703</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183150.91774326918</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176223.3506891377</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175340.14434058135</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178200.47185373082</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172983.70327101869</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173494.42423844372</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177079.37823723754</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173804.92839982404</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172940.47658189901</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167763.92279393517</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165693.38065916521</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165660.14232139027</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160604.71465476401</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160282.83613688161</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157117.47483200266</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150438.23435103183</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143774.50998179353</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139782.03957993403</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131711.92258389626</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119604.05177450887</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109823.73558431426</v>
      </c>
      <c r="AJ49">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99143.509833659031</v>
      </c>
      <c r="AK49">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87451.029457485172</v>
      </c>
      <c r="AL49">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68037.621595829987</v>
      </c>
      <c r="AM49">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48385.423490797606</v>
      </c>
      <c r="AN49">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28136.594594569582</v>
      </c>
      <c r="AO49">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9810.8833892880502</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9810.8833892880502</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0</v>
      </c>
      <c r="K50">
        <f t="shared" ca="1" si="32"/>
        <v>0</v>
      </c>
      <c r="L50">
        <f t="shared" ca="1" si="32"/>
        <v>100000</v>
      </c>
      <c r="M50">
        <f t="shared" ca="1" si="32"/>
        <v>102499.99999999999</v>
      </c>
      <c r="N50">
        <f t="shared" ca="1" si="32"/>
        <v>105062.49999999997</v>
      </c>
      <c r="O50">
        <f t="shared" ca="1" si="32"/>
        <v>59690.875908274291</v>
      </c>
      <c r="P50">
        <f t="shared" ca="1" si="32"/>
        <v>11400.358596067439</v>
      </c>
      <c r="Q50">
        <f t="shared" ca="1" si="32"/>
        <v>7306.9112821654708</v>
      </c>
      <c r="R50">
        <f t="shared" ca="1" si="32"/>
        <v>7305.8595135600481</v>
      </c>
      <c r="S50">
        <f t="shared" ca="1" si="32"/>
        <v>7257.5108975248295</v>
      </c>
      <c r="T50">
        <f t="shared" ca="1" si="32"/>
        <v>7992.083914245799</v>
      </c>
      <c r="U50">
        <f t="shared" ca="1" si="32"/>
        <v>7807.822529485944</v>
      </c>
      <c r="V50">
        <f t="shared" ca="1" si="32"/>
        <v>7902.9669692146126</v>
      </c>
      <c r="W50">
        <f t="shared" ca="1" si="32"/>
        <v>8367.0522903897509</v>
      </c>
      <c r="X50">
        <f t="shared" ca="1" si="32"/>
        <v>8497.9571498949372</v>
      </c>
      <c r="Y50">
        <f t="shared" ca="1" si="32"/>
        <v>8896.6900549332495</v>
      </c>
      <c r="Z50">
        <f t="shared" ca="1" si="32"/>
        <v>9017.7531418552098</v>
      </c>
      <c r="AA50">
        <f t="shared" ca="1" si="32"/>
        <v>9184.2390141998185</v>
      </c>
      <c r="AB50">
        <f t="shared" ca="1" si="32"/>
        <v>9631.3153854259581</v>
      </c>
      <c r="AC50">
        <f t="shared" ca="1" si="32"/>
        <v>9714.7916200765758</v>
      </c>
      <c r="AD50">
        <f t="shared" ca="1" si="32"/>
        <v>10086.371148440376</v>
      </c>
      <c r="AE50">
        <f t="shared" ca="1" si="32"/>
        <v>13431.599693744676</v>
      </c>
      <c r="AF50">
        <f t="shared" ca="1" si="32"/>
        <v>14287.560512789263</v>
      </c>
      <c r="AG50">
        <f t="shared" ca="1" si="32"/>
        <v>14650.31514216536</v>
      </c>
      <c r="AH50">
        <f t="shared" ca="1" si="32"/>
        <v>15177.354891780298</v>
      </c>
      <c r="AI50">
        <f t="shared" ca="1" si="32"/>
        <v>15695.363844898966</v>
      </c>
      <c r="AJ50">
        <f t="shared" ca="1" si="32"/>
        <v>16185.662597469287</v>
      </c>
      <c r="AK50">
        <f t="shared" ca="1" si="32"/>
        <v>16711.343153624533</v>
      </c>
      <c r="AL50">
        <f t="shared" ca="1" si="32"/>
        <v>21412.257784728761</v>
      </c>
      <c r="AM50">
        <f t="shared" ca="1" si="32"/>
        <v>22067.533708379866</v>
      </c>
      <c r="AN50">
        <f t="shared" ca="1" si="32"/>
        <v>22983.330955483241</v>
      </c>
      <c r="AO50">
        <f t="shared" ca="1" si="32"/>
        <v>19467.757747518102</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-123316.25357519159</v>
      </c>
    </row>
    <row r="52" spans="1:94" s="24" customFormat="1">
      <c r="A52" s="24" t="s">
        <v>71</v>
      </c>
      <c r="C52" s="24">
        <f t="shared" ref="C52:AH52" si="34">C$42-C56</f>
        <v>0</v>
      </c>
      <c r="D52" s="24">
        <f t="shared" ca="1" si="34"/>
        <v>0</v>
      </c>
      <c r="E52" s="24">
        <f t="shared" ca="1" si="34"/>
        <v>0</v>
      </c>
      <c r="F52" s="24">
        <f t="shared" ca="1" si="34"/>
        <v>0</v>
      </c>
      <c r="G52" s="24">
        <f t="shared" ca="1" si="34"/>
        <v>0</v>
      </c>
      <c r="H52" s="24">
        <f t="shared" ca="1" si="34"/>
        <v>0</v>
      </c>
      <c r="I52" s="24">
        <f t="shared" ca="1" si="34"/>
        <v>0</v>
      </c>
      <c r="J52" s="24">
        <f t="shared" ca="1" si="34"/>
        <v>0</v>
      </c>
      <c r="K52" s="24">
        <f t="shared" ca="1" si="34"/>
        <v>0</v>
      </c>
      <c r="L52" s="24">
        <f t="shared" ca="1" si="34"/>
        <v>0</v>
      </c>
      <c r="M52" s="24">
        <f t="shared" ca="1" si="34"/>
        <v>0</v>
      </c>
      <c r="N52" s="24">
        <f t="shared" ca="1" si="34"/>
        <v>0</v>
      </c>
      <c r="O52" s="24">
        <f t="shared" ca="1" si="34"/>
        <v>11599.79041550585</v>
      </c>
      <c r="P52" s="24">
        <f t="shared" ca="1" si="34"/>
        <v>3427.215493511816</v>
      </c>
      <c r="Q52" s="24">
        <f t="shared" ca="1" si="34"/>
        <v>13081.493548556871</v>
      </c>
      <c r="R52" s="24">
        <f t="shared" ca="1" si="34"/>
        <v>15464.215515853241</v>
      </c>
      <c r="S52" s="24">
        <f t="shared" ca="1" si="34"/>
        <v>18003.416354520872</v>
      </c>
      <c r="T52" s="24">
        <f t="shared" ca="1" si="34"/>
        <v>19197.186430783404</v>
      </c>
      <c r="U52" s="24">
        <f t="shared" ca="1" si="34"/>
        <v>20331.102674429552</v>
      </c>
      <c r="V52" s="24">
        <f t="shared" ca="1" si="34"/>
        <v>22951.909005324487</v>
      </c>
      <c r="W52" s="24">
        <f t="shared" ca="1" si="34"/>
        <v>24753.611374636821</v>
      </c>
      <c r="X52" s="24">
        <f t="shared" ca="1" si="34"/>
        <v>27549.198463899898</v>
      </c>
      <c r="Y52" s="24">
        <f t="shared" ca="1" si="34"/>
        <v>29653.442366344694</v>
      </c>
      <c r="Z52" s="24">
        <f t="shared" ca="1" si="34"/>
        <v>32676.672994161956</v>
      </c>
      <c r="AA52" s="24">
        <f t="shared" ca="1" si="34"/>
        <v>35671.055077060504</v>
      </c>
      <c r="AB52" s="24">
        <f t="shared" ca="1" si="34"/>
        <v>37772.805807799959</v>
      </c>
      <c r="AC52" s="24">
        <f t="shared" ca="1" si="34"/>
        <v>41329.434219689501</v>
      </c>
      <c r="AD52" s="24">
        <f t="shared" ca="1" si="34"/>
        <v>75623.211254162481</v>
      </c>
      <c r="AE52" s="24">
        <f t="shared" ca="1" si="34"/>
        <v>81734.556860785582</v>
      </c>
      <c r="AF52" s="24">
        <f t="shared" ca="1" si="34"/>
        <v>85667.369563827669</v>
      </c>
      <c r="AG52" s="24">
        <f t="shared" ca="1" si="34"/>
        <v>90430.373970510933</v>
      </c>
      <c r="AH52" s="24">
        <f t="shared" ca="1" si="34"/>
        <v>93695.398342533794</v>
      </c>
      <c r="AI52" s="24">
        <f t="shared" ref="AI52:BN52" ca="1" si="35">AI$42-AI56</f>
        <v>96881.738609033011</v>
      </c>
      <c r="AJ52" s="24">
        <f t="shared" ca="1" si="35"/>
        <v>101923.51542576079</v>
      </c>
      <c r="AK52" s="24">
        <f t="shared" ca="1" si="35"/>
        <v>148911.35899739235</v>
      </c>
      <c r="AL52" s="24">
        <f t="shared" ca="1" si="35"/>
        <v>151028.12100039591</v>
      </c>
      <c r="AM52" s="24">
        <f t="shared" ca="1" si="35"/>
        <v>155615.89864263366</v>
      </c>
      <c r="AN52" s="24">
        <f t="shared" ca="1" si="35"/>
        <v>114543.58459085612</v>
      </c>
      <c r="AO52" s="24">
        <f t="shared" ca="1" si="35"/>
        <v>124232.81304659275</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24</v>
      </c>
      <c r="C53">
        <f ca="1">C47</f>
        <v>-1.0713086441821408E-2</v>
      </c>
      <c r="D53">
        <f t="shared" ref="D53:BO53" ca="1" si="37">D47</f>
        <v>7.3685670985412829E-2</v>
      </c>
      <c r="E53">
        <f t="shared" ca="1" si="37"/>
        <v>-6.0485988559766495E-2</v>
      </c>
      <c r="F53">
        <f t="shared" ca="1" si="37"/>
        <v>-7.4279151858309697E-3</v>
      </c>
      <c r="G53">
        <f t="shared" ca="1" si="37"/>
        <v>-1.5058877659010979E-2</v>
      </c>
      <c r="H53">
        <f t="shared" ca="1" si="37"/>
        <v>5.78317515490911E-2</v>
      </c>
      <c r="I53">
        <f t="shared" ca="1" si="37"/>
        <v>0.19480830973801661</v>
      </c>
      <c r="J53">
        <f t="shared" ca="1" si="37"/>
        <v>6.9755189017108005E-2</v>
      </c>
      <c r="K53">
        <f t="shared" ca="1" si="37"/>
        <v>0.12025885227616345</v>
      </c>
      <c r="L53">
        <f t="shared" ca="1" si="37"/>
        <v>5.2244175400349188E-2</v>
      </c>
      <c r="M53">
        <f t="shared" ca="1" si="37"/>
        <v>0.10465985637954839</v>
      </c>
      <c r="N53">
        <f t="shared" ca="1" si="37"/>
        <v>-1.3510149354772266E-2</v>
      </c>
      <c r="O53">
        <f t="shared" ca="1" si="37"/>
        <v>9.5019886053316849E-2</v>
      </c>
      <c r="P53">
        <f t="shared" ca="1" si="37"/>
        <v>-2.7437904365354994E-3</v>
      </c>
      <c r="Q53">
        <f t="shared" ca="1" si="37"/>
        <v>3.6764044817777917E-2</v>
      </c>
      <c r="R53">
        <f t="shared" ca="1" si="37"/>
        <v>0.10820421868773608</v>
      </c>
      <c r="S53">
        <f t="shared" ca="1" si="37"/>
        <v>-4.6531259757679903E-2</v>
      </c>
      <c r="T53">
        <f t="shared" ca="1" si="37"/>
        <v>7.9471248210653864E-2</v>
      </c>
      <c r="U53">
        <f t="shared" ca="1" si="37"/>
        <v>0.12934127741818396</v>
      </c>
      <c r="V53">
        <f t="shared" ca="1" si="37"/>
        <v>-2.67312436459794E-4</v>
      </c>
      <c r="W53">
        <f t="shared" ca="1" si="37"/>
        <v>5.6462845144809828E-2</v>
      </c>
      <c r="X53">
        <f t="shared" ca="1" si="37"/>
        <v>-2.3503910384313476E-2</v>
      </c>
      <c r="Y53">
        <f t="shared" ca="1" si="37"/>
        <v>4.8996270848523427E-2</v>
      </c>
      <c r="Z53">
        <f t="shared" ca="1" si="37"/>
        <v>9.5527953129325632E-2</v>
      </c>
      <c r="AA53">
        <f t="shared" ca="1" si="37"/>
        <v>-4.3713548236726076E-3</v>
      </c>
      <c r="AB53">
        <f t="shared" ca="1" si="37"/>
        <v>0.10999380083622032</v>
      </c>
      <c r="AC53">
        <f t="shared" ca="1" si="37"/>
        <v>5.1186352599512618E-2</v>
      </c>
      <c r="AD53">
        <f t="shared" ca="1" si="37"/>
        <v>-1.417066548127011E-2</v>
      </c>
      <c r="AE53">
        <f t="shared" ca="1" si="37"/>
        <v>7.0553239864599521E-2</v>
      </c>
      <c r="AF53">
        <f t="shared" ca="1" si="37"/>
        <v>0.16840965794999396</v>
      </c>
      <c r="AG53">
        <f t="shared" ca="1" si="37"/>
        <v>7.9231230233980321E-2</v>
      </c>
      <c r="AH53">
        <f t="shared" ca="1" si="37"/>
        <v>-8.4568485972317323E-3</v>
      </c>
      <c r="AI53">
        <f t="shared" ca="1" si="37"/>
        <v>8.9237706002672931E-2</v>
      </c>
      <c r="AJ53">
        <f t="shared" ca="1" si="37"/>
        <v>9.2397979807526412E-2</v>
      </c>
      <c r="AK53">
        <f t="shared" ca="1" si="37"/>
        <v>9.8200851157872332E-2</v>
      </c>
      <c r="AL53">
        <f t="shared" ca="1" si="37"/>
        <v>-9.0630478053149652E-3</v>
      </c>
      <c r="AM53">
        <f t="shared" ca="1" si="37"/>
        <v>4.0417543527094604E-2</v>
      </c>
      <c r="AN53">
        <f t="shared" ca="1" si="37"/>
        <v>0.11973857015415798</v>
      </c>
      <c r="AO53">
        <f t="shared" ca="1" si="37"/>
        <v>5.8371859282775496E-2</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18</v>
      </c>
      <c r="B54">
        <f>Input!$C$8+B70</f>
        <v>1022320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1043542.9119732004</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1122890.414542706</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1108182.6111312071</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1132493.6645210204</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1151372.1636165162</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1225509.6669544617</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1413807.0531115648</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1512816.2386041915</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1667888.367958863</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1744978.2591109562</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1857311.9619846956</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1900966.2195023322</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2003868.0816567696</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2054885.4340254539</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2124259.2681759875</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2245160.3226487255</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2253869.8328034654</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2356816.4322505901</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2503859.7729807678</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2550539.9171387232</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2644445.8875211021</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2670169.8633969137</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2757571.3701551529</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2887148.5665553063</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2927585.5733334669</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3074630.9398810752</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3168893.4880105089</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3161140.9486643309</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3230804.1087934682</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3398774.8077243855</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3479211.9755559596</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3464725.667194623</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3551153.9756870461</v>
      </c>
      <c r="AJ54">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3639636.0530751664</v>
      </c>
      <c r="AK54">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3681400.6275142599</v>
      </c>
      <c r="AL54">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3601948.1513916543</v>
      </c>
      <c r="AM54">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3568831.4564128174</v>
      </c>
      <c r="AN54">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3670878.1749531422</v>
      </c>
      <c r="AO54">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3699954.3525201548</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3699954.3525201548</v>
      </c>
    </row>
    <row r="55" spans="1:94">
      <c r="A55" t="s">
        <v>19</v>
      </c>
      <c r="B55">
        <f>Input!$C$9</f>
        <v>60000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96635.404337835833</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138417.3978106385</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169973.0450884949</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206687.97019461228</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242728.85396631574</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289695.18007776368</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362347.26045466139</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416988.10750085174</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486474.41179214983</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406955.67969303689</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328255.0368165698</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230182.79724832703</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183150.91774326918</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179434.31149393908</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185286.33072530336</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195506.51286599183</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197492.27701614678</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205816.46299081366</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218525.88422173992</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223502.70230670535</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231571.30329122487</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234528.81128736812</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241918.63910567312</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253076.93414567152</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257525.57367803174</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269736.33691772656</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278571.26935714646</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281838.06634013815</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288117.57726128143</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302144.62711154367</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310296.92369146715</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310392.03503797273</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317359.93024272716</v>
      </c>
      <c r="AJ55">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325390.28770289407</v>
      </c>
      <c r="AK55">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333674.08012094215</v>
      </c>
      <c r="AL55">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328832.69539867947</v>
      </c>
      <c r="AM55">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326136.02860723296</v>
      </c>
      <c r="AN55">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330028.97545182006</v>
      </c>
      <c r="AO55">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333468.23898085469</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333468.23898085469</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0</v>
      </c>
      <c r="K56">
        <f t="shared" ca="1" si="39"/>
        <v>0</v>
      </c>
      <c r="L56">
        <f t="shared" ca="1" si="39"/>
        <v>100000</v>
      </c>
      <c r="M56">
        <f t="shared" ca="1" si="39"/>
        <v>102499.99999999999</v>
      </c>
      <c r="N56">
        <f t="shared" ca="1" si="39"/>
        <v>105062.49999999997</v>
      </c>
      <c r="O56">
        <f t="shared" ca="1" si="39"/>
        <v>59690.875908274291</v>
      </c>
      <c r="P56">
        <f t="shared" ca="1" si="39"/>
        <v>8189.397791266063</v>
      </c>
      <c r="Q56">
        <f t="shared" ca="1" si="39"/>
        <v>688.73185238763108</v>
      </c>
      <c r="R56">
        <f t="shared" ca="1" si="39"/>
        <v>522.682813200081</v>
      </c>
      <c r="S56">
        <f t="shared" ca="1" si="39"/>
        <v>253.16602481444716</v>
      </c>
      <c r="T56">
        <f t="shared" ca="1" si="39"/>
        <v>1383.3082305778225</v>
      </c>
      <c r="U56">
        <f t="shared" ca="1" si="39"/>
        <v>805.83137150132097</v>
      </c>
      <c r="V56">
        <f t="shared" ca="1" si="39"/>
        <v>735.03164553930401</v>
      </c>
      <c r="W56">
        <f t="shared" ca="1" si="39"/>
        <v>1579.2927510710433</v>
      </c>
      <c r="X56">
        <f t="shared" ca="1" si="39"/>
        <v>1489.9280262387183</v>
      </c>
      <c r="Y56">
        <f t="shared" ca="1" si="39"/>
        <v>2152.9173126255628</v>
      </c>
      <c r="Z56">
        <f t="shared" ca="1" si="39"/>
        <v>1959.4383648070507</v>
      </c>
      <c r="AA56">
        <f t="shared" ca="1" si="39"/>
        <v>1858.8940895932901</v>
      </c>
      <c r="AB56">
        <f t="shared" ca="1" si="39"/>
        <v>2716.681917111855</v>
      </c>
      <c r="AC56">
        <f t="shared" ca="1" si="39"/>
        <v>2186.9547738224501</v>
      </c>
      <c r="AD56">
        <f t="shared" ca="1" si="39"/>
        <v>2774.088767734007</v>
      </c>
      <c r="AE56">
        <f t="shared" ca="1" si="39"/>
        <v>6399.745139780629</v>
      </c>
      <c r="AF56">
        <f t="shared" ca="1" si="39"/>
        <v>6603.8423769014771</v>
      </c>
      <c r="AG56">
        <f t="shared" ca="1" si="39"/>
        <v>6071.0723246692796</v>
      </c>
      <c r="AH56">
        <f t="shared" ca="1" si="39"/>
        <v>7136.2117516730214</v>
      </c>
      <c r="AI56">
        <f t="shared" ca="1" si="39"/>
        <v>8382.6188593650586</v>
      </c>
      <c r="AJ56">
        <f t="shared" ca="1" si="39"/>
        <v>7878.8177683452959</v>
      </c>
      <c r="AK56">
        <f t="shared" ca="1" si="39"/>
        <v>8188.1804406492156</v>
      </c>
      <c r="AL56">
        <f t="shared" ca="1" si="39"/>
        <v>12468.103510126006</v>
      </c>
      <c r="AM56">
        <f t="shared" ca="1" si="39"/>
        <v>14370.227655452734</v>
      </c>
      <c r="AN56">
        <f t="shared" ca="1" si="39"/>
        <v>14538.629805628909</v>
      </c>
      <c r="AO56">
        <f t="shared" ca="1" si="39"/>
        <v>9956.4034194230917</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4033422.5915010097</v>
      </c>
    </row>
    <row r="63" spans="1:94">
      <c r="A63" t="s">
        <v>81</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82</v>
      </c>
      <c r="C64">
        <f t="shared" ref="C64:AH64" si="41">C26-C63</f>
        <v>-29000</v>
      </c>
      <c r="D64">
        <f t="shared" si="41"/>
        <v>-29000</v>
      </c>
      <c r="E64">
        <f t="shared" si="41"/>
        <v>-29000</v>
      </c>
      <c r="F64">
        <f t="shared" si="41"/>
        <v>-29000</v>
      </c>
      <c r="G64">
        <f t="shared" si="41"/>
        <v>-29000</v>
      </c>
      <c r="H64">
        <f t="shared" si="41"/>
        <v>-29000</v>
      </c>
      <c r="I64">
        <f t="shared" si="41"/>
        <v>-29000</v>
      </c>
      <c r="J64">
        <f t="shared" si="41"/>
        <v>-29000</v>
      </c>
      <c r="K64">
        <f t="shared" si="41"/>
        <v>-29000</v>
      </c>
      <c r="L64">
        <f t="shared" si="41"/>
        <v>71000</v>
      </c>
      <c r="M64">
        <f t="shared" si="41"/>
        <v>73499.999999999985</v>
      </c>
      <c r="N64">
        <f t="shared" si="41"/>
        <v>76062.499999999971</v>
      </c>
      <c r="O64">
        <f t="shared" ca="1" si="41"/>
        <v>78689.062499999956</v>
      </c>
      <c r="P64">
        <f t="shared" ca="1" si="41"/>
        <v>55993.592578124953</v>
      </c>
      <c r="Q64">
        <f t="shared" ca="1" si="41"/>
        <v>58118.432392578063</v>
      </c>
      <c r="R64">
        <f t="shared" ca="1" si="41"/>
        <v>60296.393202392515</v>
      </c>
      <c r="S64">
        <f t="shared" ca="1" si="41"/>
        <v>62528.803032452328</v>
      </c>
      <c r="T64">
        <f t="shared" ca="1" si="41"/>
        <v>64817.023108263631</v>
      </c>
      <c r="U64">
        <f t="shared" ca="1" si="41"/>
        <v>67162.448685970216</v>
      </c>
      <c r="V64">
        <f t="shared" ca="1" si="41"/>
        <v>69566.509903119455</v>
      </c>
      <c r="W64">
        <f t="shared" ca="1" si="41"/>
        <v>72030.672650697423</v>
      </c>
      <c r="X64">
        <f t="shared" ca="1" si="41"/>
        <v>74556.439466964846</v>
      </c>
      <c r="Y64">
        <f t="shared" ca="1" si="41"/>
        <v>77145.350453638952</v>
      </c>
      <c r="Z64">
        <f t="shared" ca="1" si="41"/>
        <v>79798.984214979908</v>
      </c>
      <c r="AA64">
        <f t="shared" ca="1" si="41"/>
        <v>82518.958820354397</v>
      </c>
      <c r="AB64">
        <f t="shared" ca="1" si="41"/>
        <v>85306.93279086324</v>
      </c>
      <c r="AC64">
        <f t="shared" ca="1" si="41"/>
        <v>88164.606110634806</v>
      </c>
      <c r="AD64">
        <f t="shared" ca="1" si="41"/>
        <v>121493.72126340066</v>
      </c>
      <c r="AE64">
        <f t="shared" ca="1" si="41"/>
        <v>130865.01856491645</v>
      </c>
      <c r="AF64">
        <f t="shared" ca="1" si="41"/>
        <v>134861.64402903934</v>
      </c>
      <c r="AG64">
        <f t="shared" ca="1" si="41"/>
        <v>138958.1851297653</v>
      </c>
      <c r="AH64">
        <f t="shared" ca="1" si="41"/>
        <v>143157.13975800943</v>
      </c>
      <c r="AI64">
        <f t="shared" ref="AI64:BN64" ca="1" si="42">AI26-AI63</f>
        <v>147461.06825195966</v>
      </c>
      <c r="AJ64">
        <f t="shared" ca="1" si="42"/>
        <v>151872.59495825865</v>
      </c>
      <c r="AK64">
        <f t="shared" ca="1" si="42"/>
        <v>197994.40983221511</v>
      </c>
      <c r="AL64">
        <f t="shared" ca="1" si="42"/>
        <v>204229.27007802046</v>
      </c>
      <c r="AM64">
        <f t="shared" ca="1" si="42"/>
        <v>210580.00182997098</v>
      </c>
      <c r="AN64">
        <f t="shared" ca="1" si="42"/>
        <v>170649.50187572019</v>
      </c>
      <c r="AO64">
        <f t="shared" ca="1" si="42"/>
        <v>175640.73942261317</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74</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4.2999999999999997E-2</v>
      </c>
      <c r="AC65">
        <f>IF(AC9&gt;0, Input!$F$9, 0)</f>
        <v>4.2999999999999997E-2</v>
      </c>
      <c r="AD65">
        <f>IF(AD9&gt;0, Input!$F$9, 0)</f>
        <v>4.2999999999999997E-2</v>
      </c>
      <c r="AE65">
        <f>IF(AE9&gt;0, Input!$F$9, 0)</f>
        <v>4.2999999999999997E-2</v>
      </c>
      <c r="AF65">
        <f>IF(AF9&gt;0, Input!$F$9, 0)</f>
        <v>4.2999999999999997E-2</v>
      </c>
      <c r="AG65">
        <f>IF(AG9&gt;0, Input!$F$9, 0)</f>
        <v>4.2999999999999997E-2</v>
      </c>
      <c r="AH65">
        <f>IF(AH9&gt;0, Input!$F$9, 0)</f>
        <v>4.2999999999999997E-2</v>
      </c>
      <c r="AI65">
        <f>IF(AI9&gt;0, Input!$F$9, 0)</f>
        <v>4.2999999999999997E-2</v>
      </c>
      <c r="AJ65">
        <f>IF(AJ9&gt;0, Input!$F$9, 0)</f>
        <v>4.2999999999999997E-2</v>
      </c>
      <c r="AK65">
        <f>IF(AK9&gt;0, Input!$F$9, 0)</f>
        <v>4.2999999999999997E-2</v>
      </c>
      <c r="AL65">
        <f>IF(AL9&gt;0, Input!$F$9, 0)</f>
        <v>4.2999999999999997E-2</v>
      </c>
      <c r="AM65">
        <f>IF(AM9&gt;0, Input!$F$9, 0)</f>
        <v>4.2999999999999997E-2</v>
      </c>
      <c r="AN65">
        <f>IF(AN9&gt;0, Input!$F$9, 0)</f>
        <v>4.2999999999999997E-2</v>
      </c>
      <c r="AO65">
        <f>IF(AO9&gt;0, Input!$F$9, 0)</f>
        <v>4.2999999999999997E-2</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1</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0</v>
      </c>
      <c r="E66">
        <f t="shared" si="44"/>
        <v>0</v>
      </c>
      <c r="F66">
        <f t="shared" si="44"/>
        <v>0</v>
      </c>
      <c r="G66">
        <f t="shared" si="44"/>
        <v>0</v>
      </c>
      <c r="H66">
        <f t="shared" si="44"/>
        <v>0</v>
      </c>
      <c r="I66">
        <f t="shared" si="44"/>
        <v>0</v>
      </c>
      <c r="J66">
        <f t="shared" si="44"/>
        <v>0</v>
      </c>
      <c r="K66">
        <f t="shared" si="44"/>
        <v>0</v>
      </c>
      <c r="L66">
        <f t="shared" si="44"/>
        <v>8.5455599999999979E-2</v>
      </c>
      <c r="M66">
        <f t="shared" si="44"/>
        <v>8.8049589530041619E-2</v>
      </c>
      <c r="N66">
        <f t="shared" si="44"/>
        <v>9.0613442538133929E-2</v>
      </c>
      <c r="O66">
        <f t="shared" ca="1" si="44"/>
        <v>9.3146297599324579E-2</v>
      </c>
      <c r="P66">
        <f t="shared" ca="1" si="44"/>
        <v>0.10522725013970137</v>
      </c>
      <c r="Q66">
        <f t="shared" ca="1" si="44"/>
        <v>0.10580917954868951</v>
      </c>
      <c r="R66">
        <f t="shared" ca="1" si="44"/>
        <v>0.10636623673926711</v>
      </c>
      <c r="S66">
        <f t="shared" ca="1" si="44"/>
        <v>0.10689954291621007</v>
      </c>
      <c r="T66">
        <f t="shared" ca="1" si="44"/>
        <v>0.10741016714319654</v>
      </c>
      <c r="U66">
        <f t="shared" ca="1" si="44"/>
        <v>8.1285495353984286E-2</v>
      </c>
      <c r="V66">
        <f t="shared" ca="1" si="44"/>
        <v>8.3925221179576515E-2</v>
      </c>
      <c r="W66">
        <f t="shared" ca="1" si="44"/>
        <v>8.6536392084269664E-2</v>
      </c>
      <c r="X66">
        <f t="shared" ca="1" si="44"/>
        <v>8.9117978105098375E-2</v>
      </c>
      <c r="Y66">
        <f t="shared" ca="1" si="44"/>
        <v>9.1669057588949804E-2</v>
      </c>
      <c r="Z66">
        <f t="shared" ca="1" si="44"/>
        <v>9.4188810542357143E-2</v>
      </c>
      <c r="AA66">
        <f t="shared" ca="1" si="44"/>
        <v>9.667651233664537E-2</v>
      </c>
      <c r="AB66">
        <f t="shared" ca="1" si="44"/>
        <v>9.913152775045507E-2</v>
      </c>
      <c r="AC66">
        <f t="shared" ca="1" si="44"/>
        <v>0.1015533053325568</v>
      </c>
      <c r="AD66">
        <f t="shared" ca="1" si="44"/>
        <v>0.12415582554591142</v>
      </c>
      <c r="AE66">
        <f t="shared" ca="1" si="44"/>
        <v>0.12907016267721627</v>
      </c>
      <c r="AF66">
        <f t="shared" ca="1" si="44"/>
        <v>0.13101892342927496</v>
      </c>
      <c r="AG66">
        <f t="shared" ca="1" si="44"/>
        <v>0.13293311729375731</v>
      </c>
      <c r="AH66">
        <f t="shared" ca="1" si="44"/>
        <v>0.13481296269394125</v>
      </c>
      <c r="AI66">
        <f t="shared" ca="1" si="44"/>
        <v>0.13665870282588305</v>
      </c>
      <c r="AJ66">
        <f t="shared" ca="1" si="44"/>
        <v>0.1384706036038082</v>
      </c>
      <c r="AK66">
        <f t="shared" ca="1" si="44"/>
        <v>0.15560385202651997</v>
      </c>
      <c r="AL66">
        <f t="shared" ca="1" si="44"/>
        <v>0.15765521929787427</v>
      </c>
      <c r="AM66">
        <f t="shared" ca="1" si="44"/>
        <v>0.15964561184015263</v>
      </c>
      <c r="AN66">
        <f t="shared" ca="1" si="44"/>
        <v>0.14538582139392933</v>
      </c>
      <c r="AO66">
        <f t="shared" ca="1" si="44"/>
        <v>0.14733857414055679</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75</v>
      </c>
      <c r="C67">
        <f>IF(C9=2, Input!$F$20, 0)</f>
        <v>0</v>
      </c>
      <c r="D67">
        <f>IF(D9=2, Input!$F$20, 0)</f>
        <v>0</v>
      </c>
      <c r="E67">
        <f>IF(E9=2, Input!$F$20, 0)</f>
        <v>0</v>
      </c>
      <c r="F67">
        <f>IF(F9=2, Input!$F$20, 0)</f>
        <v>0</v>
      </c>
      <c r="G67">
        <f>IF(G9=2, Input!$F$20, 0)</f>
        <v>0</v>
      </c>
      <c r="H67">
        <f>IF(H9=2, Input!$F$20, 0)</f>
        <v>0</v>
      </c>
      <c r="I67">
        <f>IF(I9=2, Input!$F$20, 0)</f>
        <v>0</v>
      </c>
      <c r="J67">
        <f>IF(J9=2, Input!$F$20, 0)</f>
        <v>0</v>
      </c>
      <c r="K67">
        <f>IF(K9=2, Input!$F$20, 0)</f>
        <v>0</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0.15</v>
      </c>
      <c r="AK67">
        <f>IF(AK9=2, Input!$F$20, 0)</f>
        <v>0.15</v>
      </c>
      <c r="AL67">
        <f>IF(AL9=2, Input!$F$20, 0)</f>
        <v>0.15</v>
      </c>
      <c r="AM67">
        <f>IF(AM9=2, Input!$F$20, 0)</f>
        <v>0.15</v>
      </c>
      <c r="AN67">
        <f>IF(AN9=2, Input!$F$20, 0)</f>
        <v>0.15</v>
      </c>
      <c r="AO67">
        <f>IF(AO9=2, Input!$F$20, 0)</f>
        <v>0.15</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row r="70" spans="1:92">
      <c r="A70" t="s">
        <v>339</v>
      </c>
      <c r="B70">
        <f>Input!C10*(1+Input!F19)</f>
        <v>22320</v>
      </c>
      <c r="C70">
        <f>IF(C9=1,Input!$C16*(1+Input!$F19), 0)</f>
        <v>2852</v>
      </c>
      <c r="D70">
        <f>IF(D9=1,Input!$C16*(1+Input!$F19), 0)</f>
        <v>2852</v>
      </c>
      <c r="E70">
        <f>IF(E9=1,Input!$C16*(1+Input!$F19), 0)</f>
        <v>2852</v>
      </c>
      <c r="F70">
        <f>IF(F9=1,Input!$C16*(1+Input!$F19), 0)</f>
        <v>2852</v>
      </c>
      <c r="G70">
        <f>IF(G9=1,Input!$C16*(1+Input!$F19), 0)</f>
        <v>2852</v>
      </c>
      <c r="H70">
        <f>IF(H9=1,Input!$C16*(1+Input!$F19), 0)</f>
        <v>2852</v>
      </c>
      <c r="I70">
        <f>IF(I9=1,Input!$C16*(1+Input!$F19), 0)</f>
        <v>2852</v>
      </c>
      <c r="J70">
        <f>IF(J9=1,Input!$C16*(1+Input!$F19), 0)</f>
        <v>2852</v>
      </c>
      <c r="K70">
        <f>IF(K9=1,Input!$C16*(1+Input!$F19), 0)</f>
        <v>2852</v>
      </c>
      <c r="L70">
        <f>IF(L9=1,Input!$C16*(1+Input!$F19), 0)</f>
        <v>0</v>
      </c>
      <c r="M70">
        <f>IF(M9=1,Input!$C16*(1+Input!$F19), 0)</f>
        <v>0</v>
      </c>
      <c r="N70">
        <f>IF(N9=1,Input!$C16*(1+Input!$F19), 0)</f>
        <v>0</v>
      </c>
      <c r="O70">
        <f>IF(O9=1,Input!$C16*(1+Input!$F19), 0)</f>
        <v>0</v>
      </c>
      <c r="P70">
        <f>IF(P9=1,Input!$C16*(1+Input!$F19), 0)</f>
        <v>0</v>
      </c>
      <c r="Q70">
        <f>IF(Q9=1,Input!$C16*(1+Input!$F19), 0)</f>
        <v>0</v>
      </c>
      <c r="R70">
        <f>IF(R9=1,Input!$C16*(1+Input!$F19), 0)</f>
        <v>0</v>
      </c>
      <c r="S70">
        <f>IF(S9=1,Input!$C16*(1+Input!$F19), 0)</f>
        <v>0</v>
      </c>
      <c r="T70">
        <f>IF(T9=1,Input!$C16*(1+Input!$F19), 0)</f>
        <v>0</v>
      </c>
      <c r="U70">
        <f>IF(U9=1,Input!$C16*(1+Input!$F19), 0)</f>
        <v>0</v>
      </c>
      <c r="V70">
        <f>IF(V9=1,Input!$C16*(1+Input!$F19), 0)</f>
        <v>0</v>
      </c>
      <c r="W70">
        <f>IF(W9=1,Input!$C16*(1+Input!$F19), 0)</f>
        <v>0</v>
      </c>
      <c r="X70">
        <f>IF(X9=1,Input!$C16*(1+Input!$F19), 0)</f>
        <v>0</v>
      </c>
      <c r="Y70">
        <f>IF(Y9=1,Input!$C16*(1+Input!$F19), 0)</f>
        <v>0</v>
      </c>
      <c r="Z70">
        <f>IF(Z9=1,Input!$C16*(1+Input!$F19), 0)</f>
        <v>0</v>
      </c>
      <c r="AA70">
        <f>IF(AA9=1,Input!$C16*(1+Input!$F19), 0)</f>
        <v>0</v>
      </c>
      <c r="AB70">
        <f>IF(AB9=1,Input!$C16*(1+Input!$F19), 0)</f>
        <v>0</v>
      </c>
      <c r="AC70">
        <f>IF(AC9=1,Input!$C16*(1+Input!$F19), 0)</f>
        <v>0</v>
      </c>
      <c r="AD70">
        <f>IF(AD9=1,Input!$C16*(1+Input!$F19), 0)</f>
        <v>0</v>
      </c>
      <c r="AE70">
        <f>IF(AE9=1,Input!$C16*(1+Input!$F19), 0)</f>
        <v>0</v>
      </c>
      <c r="AF70">
        <f>IF(AF9=1,Input!$C16*(1+Input!$F19), 0)</f>
        <v>0</v>
      </c>
      <c r="AG70">
        <f>IF(AG9=1,Input!$C16*(1+Input!$F19), 0)</f>
        <v>0</v>
      </c>
      <c r="AH70">
        <f>IF(AH9=1,Input!$C16*(1+Input!$F19), 0)</f>
        <v>0</v>
      </c>
      <c r="AI70">
        <f>IF(AI9=1,Input!$C16*(1+Input!$F19), 0)</f>
        <v>0</v>
      </c>
      <c r="AJ70">
        <f>IF(AJ9=1,Input!$C16*(1+Input!$F19), 0)</f>
        <v>0</v>
      </c>
      <c r="AK70">
        <f>IF(AK9=1,Input!$C16*(1+Input!$F19), 0)</f>
        <v>0</v>
      </c>
      <c r="AL70">
        <f>IF(AL9=1,Input!$C16*(1+Input!$F19), 0)</f>
        <v>0</v>
      </c>
      <c r="AM70">
        <f>IF(AM9=1,Input!$C16*(1+Input!$F19), 0)</f>
        <v>0</v>
      </c>
      <c r="AN70">
        <f>IF(AN9=1,Input!$C16*(1+Input!$F19), 0)</f>
        <v>0</v>
      </c>
      <c r="AO70">
        <f>IF(AO9=1,Input!$C16*(1+Input!$F19), 0)</f>
        <v>0</v>
      </c>
      <c r="AP70">
        <f>IF(AP9=1,Input!$C16*(1+Input!$F19), 0)</f>
        <v>0</v>
      </c>
      <c r="AQ70">
        <f>IF(AQ9=1,Input!$C16*(1+Input!$F19), 0)</f>
        <v>0</v>
      </c>
      <c r="AR70">
        <f>IF(AR9=1,Input!$C16*(1+Input!$F19), 0)</f>
        <v>0</v>
      </c>
      <c r="AS70">
        <f>IF(AS9=1,Input!$C16*(1+Input!$F19), 0)</f>
        <v>0</v>
      </c>
      <c r="AT70">
        <f>IF(AT9=1,Input!$C16*(1+Input!$F19), 0)</f>
        <v>0</v>
      </c>
      <c r="AU70">
        <f>IF(AU9=1,Input!$C16*(1+Input!$F19), 0)</f>
        <v>0</v>
      </c>
      <c r="AV70">
        <f>IF(AV9=1,Input!$C16*(1+Input!$F19), 0)</f>
        <v>0</v>
      </c>
      <c r="AW70">
        <f>IF(AW9=1,Input!$C16*(1+Input!$F19), 0)</f>
        <v>0</v>
      </c>
      <c r="AX70">
        <f>IF(AX9=1,Input!$C16*(1+Input!$F19), 0)</f>
        <v>0</v>
      </c>
      <c r="AY70">
        <f>IF(AY9=1,Input!$C16*(1+Input!$F19), 0)</f>
        <v>0</v>
      </c>
      <c r="AZ70">
        <f>IF(AZ9=1,Input!$C16*(1+Input!$F19), 0)</f>
        <v>0</v>
      </c>
      <c r="BA70">
        <f>IF(BA9=1,Input!$C16*(1+Input!$F19), 0)</f>
        <v>0</v>
      </c>
      <c r="BB70">
        <f>IF(BB9=1,Input!$C16*(1+Input!$F19), 0)</f>
        <v>0</v>
      </c>
      <c r="BC70">
        <f>IF(BC9=1,Input!$C16*(1+Input!$F19), 0)</f>
        <v>0</v>
      </c>
      <c r="BD70">
        <f>IF(BD9=1,Input!$C16*(1+Input!$F19), 0)</f>
        <v>0</v>
      </c>
      <c r="BE70">
        <f>IF(BE9=1,Input!$C16*(1+Input!$F19), 0)</f>
        <v>0</v>
      </c>
      <c r="BF70">
        <f>IF(BF9=1,Input!$C16*(1+Input!$F19), 0)</f>
        <v>0</v>
      </c>
      <c r="BG70">
        <f>IF(BG9=1,Input!$C16*(1+Input!$F19), 0)</f>
        <v>0</v>
      </c>
      <c r="BH70">
        <f>IF(BH9=1,Input!$C16*(1+Input!$F19), 0)</f>
        <v>0</v>
      </c>
      <c r="BI70">
        <f>IF(BI9=1,Input!$C16*(1+Input!$F19), 0)</f>
        <v>0</v>
      </c>
      <c r="BJ70">
        <f>IF(BJ9=1,Input!$C16*(1+Input!$F19), 0)</f>
        <v>0</v>
      </c>
      <c r="BK70">
        <f>IF(BK9=1,Input!$C16*(1+Input!$F19), 0)</f>
        <v>0</v>
      </c>
      <c r="BL70">
        <f>IF(BL9=1,Input!$C16*(1+Input!$F19), 0)</f>
        <v>0</v>
      </c>
      <c r="BM70">
        <f>IF(BM9=1,Input!$C16*(1+Input!$F19), 0)</f>
        <v>0</v>
      </c>
      <c r="BN70">
        <f>IF(BN9=1,Input!$C16*(1+Input!$F19), 0)</f>
        <v>0</v>
      </c>
      <c r="BO70">
        <f>IF(BO9=1,Input!$C16*(1+Input!$F19), 0)</f>
        <v>0</v>
      </c>
      <c r="BP70">
        <f>IF(BP9=1,Input!$C16*(1+Input!$F19), 0)</f>
        <v>0</v>
      </c>
      <c r="BQ70">
        <f>IF(BQ9=1,Input!$C16*(1+Input!$F19), 0)</f>
        <v>0</v>
      </c>
      <c r="BR70">
        <f>IF(BR9=1,Input!$C16*(1+Input!$F19), 0)</f>
        <v>0</v>
      </c>
      <c r="BS70">
        <f>IF(BS9=1,Input!$C16*(1+Input!$F19), 0)</f>
        <v>0</v>
      </c>
      <c r="BT70">
        <f>IF(BT9=1,Input!$C16*(1+Input!$F19), 0)</f>
        <v>0</v>
      </c>
      <c r="BU70">
        <f>IF(BU9=1,Input!$C16*(1+Input!$F19), 0)</f>
        <v>0</v>
      </c>
      <c r="BV70">
        <f>IF(BV9=1,Input!$C16*(1+Input!$F19), 0)</f>
        <v>0</v>
      </c>
      <c r="BW70">
        <f>IF(BW9=1,Input!$C16*(1+Input!$F19), 0)</f>
        <v>0</v>
      </c>
      <c r="BX70">
        <f>IF(BX9=1,Input!$C16*(1+Input!$F19), 0)</f>
        <v>0</v>
      </c>
      <c r="BY70">
        <f>IF(BY9=1,Input!$C16*(1+Input!$F19), 0)</f>
        <v>0</v>
      </c>
      <c r="BZ70">
        <f>IF(BZ9=1,Input!$C16*(1+Input!$F19), 0)</f>
        <v>0</v>
      </c>
      <c r="CA70">
        <f>IF(CA9=1,Input!$C16*(1+Input!$F19), 0)</f>
        <v>0</v>
      </c>
      <c r="CB70">
        <f>IF(CB9=1,Input!$C16*(1+Input!$F19), 0)</f>
        <v>0</v>
      </c>
      <c r="CC70">
        <f>IF(CC9=1,Input!$C16*(1+Input!$F19), 0)</f>
        <v>0</v>
      </c>
      <c r="CD70">
        <f>IF(CD9=1,Input!$C16*(1+Input!$F19), 0)</f>
        <v>0</v>
      </c>
      <c r="CE70">
        <f>IF(CE9=1,Input!$C16*(1+Input!$F19), 0)</f>
        <v>0</v>
      </c>
      <c r="CF70">
        <f>IF(CF9=1,Input!$C16*(1+Input!$F19), 0)</f>
        <v>0</v>
      </c>
      <c r="CG70">
        <f>IF(CG9=1,Input!$C16*(1+Input!$F19), 0)</f>
        <v>0</v>
      </c>
      <c r="CH70">
        <f>IF(CH9=1,Input!$C16*(1+Input!$F19), 0)</f>
        <v>0</v>
      </c>
      <c r="CI70">
        <f>IF(CI9=1,Input!$C16*(1+Input!$F19), 0)</f>
        <v>0</v>
      </c>
      <c r="CJ70">
        <f>IF(CJ9=1,Input!$C16*(1+Input!$F19), 0)</f>
        <v>0</v>
      </c>
      <c r="CK70">
        <f>IF(CK9=1,Input!$C16*(1+Input!$F19), 0)</f>
        <v>0</v>
      </c>
      <c r="CL70">
        <f>IF(CL9=1,Input!$C16*(1+Input!$F19), 0)</f>
        <v>0</v>
      </c>
      <c r="CM70">
        <f>IF(CM9=1,Input!$C16*(1+Input!$F19), 0)</f>
        <v>0</v>
      </c>
      <c r="CN70">
        <f>IF(CN9=1,Input!$C16*(1+Input!$F19), 0)</f>
        <v>0</v>
      </c>
    </row>
  </sheetData>
  <sheetProtection algorithmName="SHA-512" hashValue="XRAqYfupNah5NXrczEClBKxZJ0xhOsCYqQ20+28sTqbojmf1f2+QZ7XjZA/6+yz0iXMuQxZ7gcQJVcl2JwQhNA==" saltValue="79lODJDWxBEptTLdHZDMiA=="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 min="26" max="26" width="9.06640625" style="1"/>
    <col min="27" max="28" width="9.06640625" style="302"/>
  </cols>
  <sheetData>
    <row r="1" spans="2:28" ht="51.75" customHeight="1">
      <c r="C1" s="403" t="s">
        <v>336</v>
      </c>
      <c r="D1" s="401"/>
      <c r="E1" s="401"/>
      <c r="F1" s="401"/>
      <c r="G1" s="401"/>
      <c r="H1" s="401"/>
      <c r="I1" s="401"/>
      <c r="J1" s="401"/>
      <c r="K1" s="401"/>
      <c r="L1" s="401"/>
      <c r="M1" s="401"/>
      <c r="N1" s="401"/>
    </row>
    <row r="3" spans="2:28">
      <c r="Z3" s="1" t="s">
        <v>311</v>
      </c>
    </row>
    <row r="4" spans="2:28" s="10" customFormat="1" ht="39" customHeight="1">
      <c r="B4" s="297" t="s">
        <v>294</v>
      </c>
      <c r="C4" s="298" t="s">
        <v>295</v>
      </c>
      <c r="D4" s="298" t="s">
        <v>305</v>
      </c>
      <c r="E4" s="298" t="s">
        <v>22</v>
      </c>
      <c r="F4" s="298" t="s">
        <v>306</v>
      </c>
      <c r="G4" s="298" t="s">
        <v>303</v>
      </c>
      <c r="H4" s="298" t="s">
        <v>14</v>
      </c>
      <c r="I4" s="298" t="s">
        <v>296</v>
      </c>
      <c r="J4" s="298" t="s">
        <v>301</v>
      </c>
      <c r="K4" s="298" t="s">
        <v>302</v>
      </c>
      <c r="L4" s="298" t="s">
        <v>297</v>
      </c>
      <c r="M4" s="298" t="s">
        <v>298</v>
      </c>
      <c r="N4" s="298" t="s">
        <v>299</v>
      </c>
      <c r="O4" s="298" t="s">
        <v>300</v>
      </c>
      <c r="Q4" s="283" t="s">
        <v>41</v>
      </c>
      <c r="R4" s="284" t="s">
        <v>33</v>
      </c>
      <c r="S4" s="285">
        <v>0</v>
      </c>
      <c r="T4" s="286"/>
      <c r="U4" s="284" t="s">
        <v>34</v>
      </c>
      <c r="V4" s="287">
        <v>400000</v>
      </c>
      <c r="W4" s="283" t="s">
        <v>41</v>
      </c>
      <c r="Z4" s="301" t="s">
        <v>312</v>
      </c>
      <c r="AA4" s="301" t="s">
        <v>313</v>
      </c>
      <c r="AB4" s="301" t="s">
        <v>314</v>
      </c>
    </row>
    <row r="5" spans="2:28" s="24" customFormat="1">
      <c r="B5" s="308">
        <v>70000</v>
      </c>
      <c r="C5" s="308">
        <v>67</v>
      </c>
      <c r="D5" s="308">
        <v>67</v>
      </c>
      <c r="E5" s="308">
        <f>(3750+2475)*12</f>
        <v>74700</v>
      </c>
      <c r="F5" s="308">
        <v>0</v>
      </c>
      <c r="G5" s="308">
        <v>1000000</v>
      </c>
      <c r="H5" s="308">
        <v>0</v>
      </c>
      <c r="I5" s="308">
        <v>30000</v>
      </c>
      <c r="J5" s="309">
        <v>0.3</v>
      </c>
      <c r="K5" s="309">
        <v>0.7</v>
      </c>
      <c r="L5" s="309">
        <v>0.3</v>
      </c>
      <c r="M5" s="309">
        <v>0.7</v>
      </c>
      <c r="N5" s="309">
        <v>0.2</v>
      </c>
      <c r="O5" s="309">
        <v>0.8</v>
      </c>
      <c r="Q5" s="310">
        <v>-1107878.7645733331</v>
      </c>
      <c r="R5" s="311" t="s">
        <v>31</v>
      </c>
      <c r="S5" s="312">
        <v>1</v>
      </c>
      <c r="T5" s="313"/>
      <c r="U5" s="314" t="s">
        <v>31</v>
      </c>
      <c r="V5" s="312">
        <v>0</v>
      </c>
      <c r="W5" s="310">
        <v>0</v>
      </c>
      <c r="Z5" s="315">
        <f>Sheet4!S5-Sheet5!S5</f>
        <v>0</v>
      </c>
      <c r="AA5" s="316">
        <f>Sheet4!S5-Sheet6!S5</f>
        <v>0</v>
      </c>
      <c r="AB5" s="316">
        <f>Sheet5!S5-Sheet6!S5</f>
        <v>0</v>
      </c>
    </row>
    <row r="6" spans="2:28">
      <c r="B6" s="299"/>
      <c r="C6" s="299"/>
      <c r="D6" s="299"/>
      <c r="E6" s="299"/>
      <c r="F6" s="299"/>
      <c r="G6" s="299"/>
      <c r="H6" s="299"/>
      <c r="I6" s="299"/>
      <c r="J6" s="299"/>
      <c r="K6" s="299"/>
      <c r="L6" s="299"/>
      <c r="M6" s="299"/>
      <c r="N6" s="299"/>
      <c r="O6" s="299"/>
      <c r="Q6" s="317">
        <v>0</v>
      </c>
      <c r="R6" s="293" t="s">
        <v>32</v>
      </c>
      <c r="S6" s="318">
        <v>0</v>
      </c>
      <c r="T6" s="291"/>
      <c r="U6" s="292" t="s">
        <v>32</v>
      </c>
      <c r="V6" s="318">
        <v>1</v>
      </c>
      <c r="W6" s="317">
        <v>1232418.9027</v>
      </c>
      <c r="Z6" s="319">
        <f>Sheet4!S6-Sheet5!S6</f>
        <v>0</v>
      </c>
      <c r="AA6" s="320">
        <f>Sheet4!S6-Sheet6!S6</f>
        <v>0</v>
      </c>
      <c r="AB6" s="320">
        <f>Sheet5!S6-Sheet6!S6</f>
        <v>0</v>
      </c>
    </row>
    <row r="7" spans="2:28">
      <c r="B7" s="299"/>
      <c r="C7" s="299"/>
      <c r="D7" s="299"/>
      <c r="E7" s="299"/>
      <c r="F7" s="299"/>
      <c r="G7" s="299"/>
      <c r="H7" s="299"/>
      <c r="I7" s="299"/>
      <c r="J7" s="299"/>
      <c r="K7" s="299"/>
      <c r="L7" s="299"/>
      <c r="M7" s="299" t="s">
        <v>304</v>
      </c>
      <c r="N7" s="299"/>
      <c r="O7" s="299"/>
      <c r="Q7" s="317">
        <v>-955047.76538000011</v>
      </c>
      <c r="R7" s="294" t="s">
        <v>35</v>
      </c>
      <c r="S7" s="318">
        <v>1</v>
      </c>
      <c r="T7" s="291"/>
      <c r="U7" s="292" t="s">
        <v>35</v>
      </c>
      <c r="V7" s="318">
        <v>0</v>
      </c>
      <c r="W7" s="317">
        <v>0</v>
      </c>
      <c r="Z7" s="319">
        <f>Sheet4!S7-Sheet5!S7</f>
        <v>0</v>
      </c>
      <c r="AA7" s="320">
        <f>Sheet4!S7-Sheet6!S7</f>
        <v>0</v>
      </c>
      <c r="AB7" s="320">
        <f>Sheet5!S7-Sheet6!S7</f>
        <v>0</v>
      </c>
    </row>
    <row r="8" spans="2:28" s="322" customFormat="1">
      <c r="B8" s="321"/>
      <c r="C8" s="321"/>
      <c r="D8" s="321"/>
      <c r="E8" s="321"/>
      <c r="F8" s="321"/>
      <c r="G8" s="321"/>
      <c r="H8" s="321"/>
      <c r="I8" s="321"/>
      <c r="J8" s="321"/>
      <c r="K8" s="321"/>
      <c r="L8" s="321"/>
      <c r="M8" s="321"/>
      <c r="N8" s="321"/>
      <c r="O8" s="321"/>
      <c r="Q8" s="323">
        <v>0</v>
      </c>
      <c r="R8" s="324" t="s">
        <v>72</v>
      </c>
      <c r="S8" s="325">
        <v>0</v>
      </c>
      <c r="T8" s="326"/>
      <c r="U8" s="327" t="s">
        <v>72</v>
      </c>
      <c r="V8" s="325">
        <v>1</v>
      </c>
      <c r="W8" s="323">
        <v>1814443.7603400003</v>
      </c>
      <c r="Z8" s="328">
        <f>Sheet4!S8-Sheet5!S8</f>
        <v>0</v>
      </c>
      <c r="AA8" s="329">
        <f>Sheet4!S8-Sheet6!S8</f>
        <v>0</v>
      </c>
      <c r="AB8" s="329">
        <f>Sheet5!S8-Sheet6!S8</f>
        <v>0</v>
      </c>
    </row>
    <row r="9" spans="2:28">
      <c r="B9" s="299"/>
      <c r="C9" s="299"/>
      <c r="D9" s="299"/>
      <c r="E9" s="299"/>
      <c r="F9" s="299"/>
      <c r="G9" s="299"/>
      <c r="H9" s="299"/>
      <c r="I9" s="299"/>
      <c r="J9" s="299"/>
      <c r="K9" s="299"/>
      <c r="L9" s="299"/>
      <c r="M9" s="299"/>
      <c r="N9" s="299"/>
      <c r="O9" s="299"/>
      <c r="Z9" s="301"/>
    </row>
    <row r="10" spans="2:28" s="24" customFormat="1">
      <c r="B10" s="308">
        <v>70000</v>
      </c>
      <c r="C10" s="308">
        <v>67</v>
      </c>
      <c r="D10" s="308">
        <v>68</v>
      </c>
      <c r="E10" s="308">
        <f>(3924+2664)*12</f>
        <v>79056</v>
      </c>
      <c r="F10" s="308">
        <v>0</v>
      </c>
      <c r="G10" s="308">
        <v>1000000</v>
      </c>
      <c r="H10" s="308">
        <v>0</v>
      </c>
      <c r="I10" s="308">
        <v>30000</v>
      </c>
      <c r="J10" s="309">
        <v>0.3</v>
      </c>
      <c r="K10" s="309">
        <v>0.7</v>
      </c>
      <c r="L10" s="309">
        <v>0.3</v>
      </c>
      <c r="M10" s="309">
        <v>0.7</v>
      </c>
      <c r="N10" s="309">
        <v>0.2</v>
      </c>
      <c r="O10" s="309">
        <v>0.8</v>
      </c>
      <c r="Q10" s="310">
        <v>-1080414.7873066666</v>
      </c>
      <c r="R10" s="311" t="s">
        <v>31</v>
      </c>
      <c r="S10" s="312">
        <v>1</v>
      </c>
      <c r="T10" s="313"/>
      <c r="U10" s="314" t="s">
        <v>31</v>
      </c>
      <c r="V10" s="312">
        <v>0</v>
      </c>
      <c r="W10" s="310">
        <v>0</v>
      </c>
      <c r="Z10" s="315">
        <f>Sheet4!S10-Sheet5!S10</f>
        <v>0</v>
      </c>
      <c r="AA10" s="316">
        <f>Sheet4!S10-Sheet6!S10</f>
        <v>0</v>
      </c>
      <c r="AB10" s="316">
        <f>Sheet5!S10-Sheet6!S10</f>
        <v>0</v>
      </c>
    </row>
    <row r="11" spans="2:28">
      <c r="B11" s="299"/>
      <c r="C11" s="299"/>
      <c r="D11" s="299"/>
      <c r="E11" s="299"/>
      <c r="F11" s="299"/>
      <c r="G11" s="299"/>
      <c r="H11" s="299"/>
      <c r="I11" s="299"/>
      <c r="J11" s="299"/>
      <c r="K11" s="299"/>
      <c r="L11" s="299"/>
      <c r="M11" s="299"/>
      <c r="N11" s="299"/>
      <c r="O11" s="299"/>
      <c r="Q11" s="317">
        <v>0</v>
      </c>
      <c r="R11" s="293" t="s">
        <v>32</v>
      </c>
      <c r="S11" s="318">
        <v>0</v>
      </c>
      <c r="T11" s="291"/>
      <c r="U11" s="292" t="s">
        <v>32</v>
      </c>
      <c r="V11" s="318">
        <v>1</v>
      </c>
      <c r="W11" s="317">
        <v>1312485.9642600003</v>
      </c>
      <c r="Z11" s="319">
        <f>Sheet4!S11-Sheet5!S11</f>
        <v>0</v>
      </c>
      <c r="AA11" s="320">
        <f>Sheet4!S11-Sheet6!S11</f>
        <v>0</v>
      </c>
      <c r="AB11" s="320">
        <f>Sheet5!S11-Sheet6!S11</f>
        <v>0</v>
      </c>
    </row>
    <row r="12" spans="2:28">
      <c r="B12" s="299"/>
      <c r="C12" s="299"/>
      <c r="D12" s="299"/>
      <c r="E12" s="299"/>
      <c r="F12" s="299"/>
      <c r="G12" s="299"/>
      <c r="H12" s="299"/>
      <c r="I12" s="299"/>
      <c r="J12" s="299"/>
      <c r="K12" s="299"/>
      <c r="L12" s="299"/>
      <c r="M12" s="299"/>
      <c r="N12" s="299"/>
      <c r="O12" s="299"/>
      <c r="Q12" s="317">
        <v>-918139.79092000006</v>
      </c>
      <c r="R12" s="294" t="s">
        <v>35</v>
      </c>
      <c r="S12" s="318">
        <v>1</v>
      </c>
      <c r="T12" s="291"/>
      <c r="U12" s="292" t="s">
        <v>35</v>
      </c>
      <c r="V12" s="318">
        <v>0</v>
      </c>
      <c r="W12" s="317">
        <v>0</v>
      </c>
      <c r="Z12" s="319">
        <f>Sheet4!S12-Sheet5!S12</f>
        <v>0</v>
      </c>
      <c r="AA12" s="320">
        <f>Sheet4!S12-Sheet6!S12</f>
        <v>0</v>
      </c>
      <c r="AB12" s="320">
        <f>Sheet5!S12-Sheet6!S12</f>
        <v>0</v>
      </c>
    </row>
    <row r="13" spans="2:28" s="322" customFormat="1">
      <c r="B13" s="321"/>
      <c r="C13" s="321"/>
      <c r="D13" s="321"/>
      <c r="E13" s="321"/>
      <c r="F13" s="321"/>
      <c r="G13" s="321"/>
      <c r="H13" s="321"/>
      <c r="I13" s="321"/>
      <c r="J13" s="321"/>
      <c r="K13" s="321"/>
      <c r="L13" s="321"/>
      <c r="M13" s="321"/>
      <c r="N13" s="321"/>
      <c r="O13" s="321"/>
      <c r="Q13" s="323">
        <v>0</v>
      </c>
      <c r="R13" s="324" t="s">
        <v>72</v>
      </c>
      <c r="S13" s="325">
        <v>0</v>
      </c>
      <c r="T13" s="326"/>
      <c r="U13" s="327" t="s">
        <v>72</v>
      </c>
      <c r="V13" s="325">
        <v>1</v>
      </c>
      <c r="W13" s="323">
        <v>1850957.1987099999</v>
      </c>
      <c r="Z13" s="328">
        <f>Sheet4!S13-Sheet5!S13</f>
        <v>0</v>
      </c>
      <c r="AA13" s="329">
        <f>Sheet4!S13-Sheet6!S13</f>
        <v>0</v>
      </c>
      <c r="AB13" s="329">
        <f>Sheet5!S13-Sheet6!S13</f>
        <v>0</v>
      </c>
    </row>
    <row r="14" spans="2:28">
      <c r="B14" s="299"/>
      <c r="C14" s="299"/>
      <c r="D14" s="299"/>
      <c r="E14" s="299"/>
      <c r="F14" s="299"/>
      <c r="G14" s="299"/>
      <c r="H14" s="299"/>
      <c r="I14" s="299"/>
      <c r="J14" s="299"/>
      <c r="K14" s="299"/>
      <c r="L14" s="299"/>
      <c r="M14" s="299"/>
      <c r="N14" s="299"/>
      <c r="O14" s="299"/>
      <c r="Z14" s="301"/>
    </row>
    <row r="15" spans="2:28" s="24" customFormat="1">
      <c r="B15" s="308">
        <v>70000</v>
      </c>
      <c r="C15" s="308">
        <v>67</v>
      </c>
      <c r="D15" s="308">
        <v>67</v>
      </c>
      <c r="E15" s="308">
        <f>(3750+2475)*12</f>
        <v>74700</v>
      </c>
      <c r="F15" s="308">
        <v>0</v>
      </c>
      <c r="G15" s="308">
        <v>1000000</v>
      </c>
      <c r="H15" s="308">
        <v>0</v>
      </c>
      <c r="I15" s="308">
        <v>30000</v>
      </c>
      <c r="J15" s="309">
        <v>0.3</v>
      </c>
      <c r="K15" s="309">
        <v>0.7</v>
      </c>
      <c r="L15" s="309">
        <v>0.35</v>
      </c>
      <c r="M15" s="309">
        <v>0.65</v>
      </c>
      <c r="N15" s="309">
        <v>0.3</v>
      </c>
      <c r="O15" s="309">
        <v>0.7</v>
      </c>
      <c r="Q15" s="310">
        <v>-1141332.3959600001</v>
      </c>
      <c r="R15" s="311" t="s">
        <v>31</v>
      </c>
      <c r="S15" s="312">
        <v>1</v>
      </c>
      <c r="T15" s="313"/>
      <c r="U15" s="314" t="s">
        <v>31</v>
      </c>
      <c r="V15" s="312">
        <v>0</v>
      </c>
      <c r="W15" s="310">
        <v>0</v>
      </c>
      <c r="Z15" s="315">
        <f>Sheet4!S15-Sheet5!S15</f>
        <v>0</v>
      </c>
      <c r="AA15" s="316">
        <f>Sheet4!S15-Sheet6!S15</f>
        <v>0</v>
      </c>
      <c r="AB15" s="316">
        <f>Sheet5!S15-Sheet6!S15</f>
        <v>0</v>
      </c>
    </row>
    <row r="16" spans="2:28">
      <c r="B16" s="299"/>
      <c r="C16" s="299"/>
      <c r="D16" s="299"/>
      <c r="E16" s="299"/>
      <c r="F16" s="299"/>
      <c r="G16" s="299"/>
      <c r="H16" s="299"/>
      <c r="I16" s="299"/>
      <c r="J16" s="299"/>
      <c r="K16" s="299"/>
      <c r="L16" s="299"/>
      <c r="M16" s="299"/>
      <c r="N16" s="299"/>
      <c r="O16" s="299"/>
      <c r="Q16" s="317">
        <v>0</v>
      </c>
      <c r="R16" s="293" t="s">
        <v>32</v>
      </c>
      <c r="S16" s="318">
        <v>0</v>
      </c>
      <c r="T16" s="291"/>
      <c r="U16" s="292" t="s">
        <v>32</v>
      </c>
      <c r="V16" s="318">
        <v>1</v>
      </c>
      <c r="W16" s="317">
        <v>1170254.1904500001</v>
      </c>
      <c r="Z16" s="319">
        <f>Sheet4!S16-Sheet5!S16</f>
        <v>0</v>
      </c>
      <c r="AA16" s="320">
        <f>Sheet4!S16-Sheet6!S16</f>
        <v>0</v>
      </c>
      <c r="AB16" s="320">
        <f>Sheet5!S16-Sheet6!S16</f>
        <v>0</v>
      </c>
    </row>
    <row r="17" spans="2:28">
      <c r="B17" s="299"/>
      <c r="C17" s="299"/>
      <c r="D17" s="299"/>
      <c r="E17" s="299"/>
      <c r="F17" s="299"/>
      <c r="G17" s="299"/>
      <c r="H17" s="299"/>
      <c r="I17" s="299"/>
      <c r="J17" s="299"/>
      <c r="K17" s="299"/>
      <c r="L17" s="299"/>
      <c r="M17" s="299"/>
      <c r="N17" s="299"/>
      <c r="O17" s="299"/>
      <c r="Q17" s="317">
        <v>-929595.72772000008</v>
      </c>
      <c r="R17" s="294" t="s">
        <v>35</v>
      </c>
      <c r="S17" s="318">
        <v>1</v>
      </c>
      <c r="T17" s="291"/>
      <c r="U17" s="292" t="s">
        <v>35</v>
      </c>
      <c r="V17" s="318">
        <v>0</v>
      </c>
      <c r="W17" s="317">
        <v>0</v>
      </c>
      <c r="Z17" s="319">
        <f>Sheet4!S17-Sheet5!S17</f>
        <v>0</v>
      </c>
      <c r="AA17" s="320">
        <f>Sheet4!S17-Sheet6!S17</f>
        <v>0</v>
      </c>
      <c r="AB17" s="320">
        <f>Sheet5!S17-Sheet6!S17</f>
        <v>0</v>
      </c>
    </row>
    <row r="18" spans="2:28" s="322" customFormat="1">
      <c r="B18" s="321"/>
      <c r="C18" s="321"/>
      <c r="D18" s="321"/>
      <c r="E18" s="321"/>
      <c r="F18" s="321"/>
      <c r="G18" s="321"/>
      <c r="H18" s="321"/>
      <c r="I18" s="321"/>
      <c r="J18" s="321"/>
      <c r="K18" s="321"/>
      <c r="L18" s="321"/>
      <c r="M18" s="321"/>
      <c r="N18" s="321"/>
      <c r="O18" s="321"/>
      <c r="Q18" s="323">
        <v>0</v>
      </c>
      <c r="R18" s="324" t="s">
        <v>72</v>
      </c>
      <c r="S18" s="325">
        <v>0</v>
      </c>
      <c r="T18" s="326"/>
      <c r="U18" s="327" t="s">
        <v>72</v>
      </c>
      <c r="V18" s="325">
        <v>1</v>
      </c>
      <c r="W18" s="323">
        <v>1979557.4437966668</v>
      </c>
      <c r="Z18" s="328">
        <f>Sheet4!S18-Sheet5!S18</f>
        <v>0</v>
      </c>
      <c r="AA18" s="329">
        <f>Sheet4!S18-Sheet6!S18</f>
        <v>0</v>
      </c>
      <c r="AB18" s="329">
        <f>Sheet5!S18-Sheet6!S18</f>
        <v>0</v>
      </c>
    </row>
    <row r="19" spans="2:28">
      <c r="B19" s="299"/>
      <c r="C19" s="299"/>
      <c r="D19" s="299"/>
      <c r="E19" s="299"/>
      <c r="F19" s="299"/>
      <c r="G19" s="299"/>
      <c r="H19" s="299"/>
      <c r="I19" s="299"/>
      <c r="J19" s="299"/>
      <c r="K19" s="299"/>
      <c r="L19" s="299"/>
      <c r="M19" s="299"/>
      <c r="N19" s="299"/>
      <c r="O19" s="299"/>
      <c r="Z19" s="301"/>
    </row>
    <row r="20" spans="2:28" s="24" customFormat="1">
      <c r="B20" s="308">
        <v>70000</v>
      </c>
      <c r="C20" s="308">
        <v>67</v>
      </c>
      <c r="D20" s="308">
        <v>68</v>
      </c>
      <c r="E20" s="308">
        <f>E10</f>
        <v>79056</v>
      </c>
      <c r="F20" s="308">
        <v>0</v>
      </c>
      <c r="G20" s="308">
        <v>1000000</v>
      </c>
      <c r="H20" s="308">
        <v>0</v>
      </c>
      <c r="I20" s="308">
        <v>30000</v>
      </c>
      <c r="J20" s="309">
        <v>0.3</v>
      </c>
      <c r="K20" s="309">
        <v>0.7</v>
      </c>
      <c r="L20" s="309">
        <v>0.35</v>
      </c>
      <c r="M20" s="309">
        <v>0.65</v>
      </c>
      <c r="N20" s="309">
        <v>0.3</v>
      </c>
      <c r="O20" s="309">
        <v>0.7</v>
      </c>
      <c r="Q20" s="310">
        <v>-1074915.2104800001</v>
      </c>
      <c r="R20" s="311" t="s">
        <v>31</v>
      </c>
      <c r="S20" s="312">
        <v>1</v>
      </c>
      <c r="T20" s="313"/>
      <c r="U20" s="314" t="s">
        <v>31</v>
      </c>
      <c r="V20" s="312">
        <v>0</v>
      </c>
      <c r="W20" s="310">
        <v>0</v>
      </c>
      <c r="Z20" s="315">
        <f>Sheet4!S20-Sheet5!S20</f>
        <v>0</v>
      </c>
      <c r="AA20" s="316">
        <f>Sheet4!S20-Sheet6!S20</f>
        <v>0</v>
      </c>
      <c r="AB20" s="316">
        <f>Sheet5!S20-Sheet6!S20</f>
        <v>0</v>
      </c>
    </row>
    <row r="21" spans="2:28">
      <c r="Q21" s="317">
        <v>0</v>
      </c>
      <c r="R21" s="293" t="s">
        <v>32</v>
      </c>
      <c r="S21" s="318">
        <v>0</v>
      </c>
      <c r="T21" s="291"/>
      <c r="U21" s="292" t="s">
        <v>32</v>
      </c>
      <c r="V21" s="318">
        <v>0.96666666666666667</v>
      </c>
      <c r="W21" s="317">
        <v>1199558.7954758622</v>
      </c>
      <c r="Z21" s="319">
        <f>Sheet4!S21-Sheet5!S21</f>
        <v>0</v>
      </c>
      <c r="AA21" s="320">
        <f>Sheet4!S21-Sheet6!S21</f>
        <v>0</v>
      </c>
      <c r="AB21" s="320">
        <f>Sheet5!S21-Sheet6!S21</f>
        <v>0</v>
      </c>
    </row>
    <row r="22" spans="2:28">
      <c r="Q22" s="317">
        <v>-878337.86605333339</v>
      </c>
      <c r="R22" s="294" t="s">
        <v>35</v>
      </c>
      <c r="S22" s="318">
        <v>1</v>
      </c>
      <c r="T22" s="291"/>
      <c r="U22" s="292" t="s">
        <v>35</v>
      </c>
      <c r="V22" s="318">
        <v>0</v>
      </c>
      <c r="W22" s="317">
        <v>0</v>
      </c>
      <c r="Z22" s="319">
        <f>Sheet4!S22-Sheet5!S22</f>
        <v>0</v>
      </c>
      <c r="AA22" s="320">
        <f>Sheet4!S22-Sheet6!S22</f>
        <v>0</v>
      </c>
      <c r="AB22" s="320">
        <f>Sheet5!S22-Sheet6!S22</f>
        <v>0</v>
      </c>
    </row>
    <row r="23" spans="2:28" s="322" customFormat="1">
      <c r="B23" s="330"/>
      <c r="C23" s="330"/>
      <c r="D23" s="330"/>
      <c r="E23" s="330"/>
      <c r="F23" s="330"/>
      <c r="G23" s="330"/>
      <c r="H23" s="330"/>
      <c r="I23" s="330"/>
      <c r="J23" s="330"/>
      <c r="K23" s="330"/>
      <c r="L23" s="330"/>
      <c r="M23" s="330"/>
      <c r="N23" s="330"/>
      <c r="O23" s="330"/>
      <c r="Q23" s="323">
        <v>0</v>
      </c>
      <c r="R23" s="324" t="s">
        <v>72</v>
      </c>
      <c r="S23" s="325">
        <v>0</v>
      </c>
      <c r="T23" s="326"/>
      <c r="U23" s="327" t="s">
        <v>72</v>
      </c>
      <c r="V23" s="325">
        <v>1</v>
      </c>
      <c r="W23" s="323">
        <v>1879828.9132399999</v>
      </c>
      <c r="Z23" s="328">
        <f>Sheet4!S23-Sheet5!S23</f>
        <v>0</v>
      </c>
      <c r="AA23" s="329">
        <f>Sheet4!S23-Sheet6!S23</f>
        <v>0</v>
      </c>
      <c r="AB23" s="329">
        <f>Sheet5!S23-Sheet6!S23</f>
        <v>0</v>
      </c>
    </row>
    <row r="24" spans="2:28" s="304" customFormat="1">
      <c r="B24" s="303"/>
      <c r="C24" s="303"/>
      <c r="D24" s="303"/>
      <c r="E24" s="303"/>
      <c r="F24" s="303"/>
      <c r="G24" s="303"/>
      <c r="H24" s="303"/>
      <c r="I24" s="303"/>
      <c r="J24" s="303"/>
      <c r="K24" s="303"/>
      <c r="L24" s="303"/>
      <c r="M24" s="303"/>
      <c r="N24" s="303"/>
      <c r="O24" s="303"/>
      <c r="Q24" s="305"/>
      <c r="R24" s="305"/>
      <c r="S24" s="305"/>
      <c r="T24" s="305"/>
      <c r="U24" s="305"/>
      <c r="V24" s="305"/>
      <c r="W24" s="305"/>
      <c r="Z24" s="306"/>
      <c r="AA24" s="307"/>
      <c r="AB24" s="307"/>
    </row>
    <row r="25" spans="2:28">
      <c r="B25" s="299">
        <v>80000</v>
      </c>
      <c r="C25" s="299">
        <v>67</v>
      </c>
      <c r="D25" s="299">
        <v>67</v>
      </c>
      <c r="E25" s="299">
        <f>(3750+2475)*12</f>
        <v>74700</v>
      </c>
      <c r="F25" s="299">
        <v>0</v>
      </c>
      <c r="G25" s="299">
        <v>1000000</v>
      </c>
      <c r="H25" s="299">
        <v>0</v>
      </c>
      <c r="I25" s="299">
        <v>30000</v>
      </c>
      <c r="J25" s="300">
        <v>0.3</v>
      </c>
      <c r="K25" s="300">
        <v>0.7</v>
      </c>
      <c r="L25" s="300">
        <v>0.3</v>
      </c>
      <c r="M25" s="300">
        <v>0.7</v>
      </c>
      <c r="N25" s="300">
        <v>0.2</v>
      </c>
      <c r="O25" s="300">
        <v>0.8</v>
      </c>
      <c r="Q25" s="288">
        <v>-1472143.241503333</v>
      </c>
      <c r="R25" s="289" t="s">
        <v>31</v>
      </c>
      <c r="S25" s="290">
        <v>1</v>
      </c>
      <c r="T25" s="291"/>
      <c r="U25" s="292" t="s">
        <v>31</v>
      </c>
      <c r="V25" s="290">
        <v>0</v>
      </c>
      <c r="W25" s="288">
        <v>0</v>
      </c>
      <c r="Z25" s="301">
        <f>Sheet4!S25-Sheet5!S25</f>
        <v>0</v>
      </c>
      <c r="AA25" s="302">
        <f>Sheet4!S25-Sheet6!S25</f>
        <v>0</v>
      </c>
      <c r="AB25" s="302">
        <f>Sheet5!S25-Sheet6!S25</f>
        <v>0</v>
      </c>
    </row>
    <row r="26" spans="2:28">
      <c r="B26" s="299"/>
      <c r="C26" s="299"/>
      <c r="D26" s="299"/>
      <c r="E26" s="299"/>
      <c r="F26" s="299"/>
      <c r="G26" s="299"/>
      <c r="H26" s="299"/>
      <c r="I26" s="299"/>
      <c r="J26" s="299"/>
      <c r="K26" s="299"/>
      <c r="L26" s="299"/>
      <c r="M26" s="299"/>
      <c r="N26" s="299"/>
      <c r="O26" s="299"/>
      <c r="Q26" s="288">
        <v>0</v>
      </c>
      <c r="R26" s="293" t="s">
        <v>32</v>
      </c>
      <c r="S26" s="290">
        <v>0</v>
      </c>
      <c r="T26" s="291"/>
      <c r="U26" s="292" t="s">
        <v>32</v>
      </c>
      <c r="V26" s="290">
        <v>0.8666666666666667</v>
      </c>
      <c r="W26" s="288">
        <v>717658.87300384603</v>
      </c>
      <c r="Z26" s="301">
        <f>Sheet4!S26-Sheet5!S26</f>
        <v>0</v>
      </c>
      <c r="AA26" s="302">
        <f>Sheet4!S26-Sheet6!S26</f>
        <v>-3.3333333333333333E-2</v>
      </c>
      <c r="AB26" s="302">
        <f>Sheet5!S26-Sheet6!S26</f>
        <v>-3.3333333333333333E-2</v>
      </c>
    </row>
    <row r="27" spans="2:28">
      <c r="B27" s="299"/>
      <c r="C27" s="299"/>
      <c r="D27" s="299"/>
      <c r="E27" s="299"/>
      <c r="F27" s="299"/>
      <c r="G27" s="299"/>
      <c r="H27" s="299"/>
      <c r="I27" s="299"/>
      <c r="J27" s="299"/>
      <c r="K27" s="299"/>
      <c r="L27" s="299"/>
      <c r="M27" s="299" t="s">
        <v>304</v>
      </c>
      <c r="N27" s="299"/>
      <c r="O27" s="299"/>
      <c r="Q27" s="288">
        <v>-1349915.6231733337</v>
      </c>
      <c r="R27" s="294" t="s">
        <v>35</v>
      </c>
      <c r="S27" s="290">
        <v>1</v>
      </c>
      <c r="T27" s="291"/>
      <c r="U27" s="292" t="s">
        <v>35</v>
      </c>
      <c r="V27" s="290">
        <v>0</v>
      </c>
      <c r="W27" s="288">
        <v>0</v>
      </c>
      <c r="Z27" s="301">
        <f>Sheet4!S27-Sheet5!S27</f>
        <v>0</v>
      </c>
      <c r="AA27" s="302">
        <f>Sheet4!S27-Sheet6!S27</f>
        <v>0</v>
      </c>
      <c r="AB27" s="302">
        <f>Sheet5!S27-Sheet6!S27</f>
        <v>0</v>
      </c>
    </row>
    <row r="28" spans="2:28">
      <c r="B28" s="299"/>
      <c r="C28" s="299"/>
      <c r="D28" s="299"/>
      <c r="E28" s="299"/>
      <c r="F28" s="299"/>
      <c r="G28" s="299"/>
      <c r="H28" s="299"/>
      <c r="I28" s="299"/>
      <c r="J28" s="299"/>
      <c r="K28" s="299"/>
      <c r="L28" s="299"/>
      <c r="M28" s="299"/>
      <c r="N28" s="299"/>
      <c r="O28" s="299"/>
      <c r="Q28" s="288">
        <v>0</v>
      </c>
      <c r="R28" s="295" t="s">
        <v>72</v>
      </c>
      <c r="S28" s="290">
        <v>0</v>
      </c>
      <c r="T28" s="291"/>
      <c r="U28" s="292" t="s">
        <v>72</v>
      </c>
      <c r="V28" s="290">
        <v>1</v>
      </c>
      <c r="W28" s="288">
        <v>1152460.1542400003</v>
      </c>
      <c r="Z28" s="301">
        <f>Sheet4!S28-Sheet5!S28</f>
        <v>0</v>
      </c>
      <c r="AA28" s="302">
        <f>Sheet4!S28-Sheet6!S28</f>
        <v>0</v>
      </c>
      <c r="AB28" s="302">
        <f>Sheet5!S28-Sheet6!S28</f>
        <v>0</v>
      </c>
    </row>
    <row r="29" spans="2:28">
      <c r="B29" s="299"/>
      <c r="C29" s="299"/>
      <c r="D29" s="299"/>
      <c r="E29" s="299"/>
      <c r="F29" s="299"/>
      <c r="G29" s="299"/>
      <c r="H29" s="299"/>
      <c r="I29" s="299"/>
      <c r="J29" s="299"/>
      <c r="K29" s="299"/>
      <c r="L29" s="299"/>
      <c r="M29" s="299"/>
      <c r="N29" s="299"/>
      <c r="O29" s="299"/>
      <c r="Z29" s="301"/>
    </row>
    <row r="30" spans="2:28">
      <c r="B30" s="299">
        <v>80000</v>
      </c>
      <c r="C30" s="299">
        <v>67</v>
      </c>
      <c r="D30" s="299">
        <v>68</v>
      </c>
      <c r="E30" s="299">
        <f>(3924+2664)*12</f>
        <v>79056</v>
      </c>
      <c r="F30" s="299">
        <v>0</v>
      </c>
      <c r="G30" s="299">
        <v>1000000</v>
      </c>
      <c r="H30" s="299">
        <v>0</v>
      </c>
      <c r="I30" s="299">
        <v>30000</v>
      </c>
      <c r="J30" s="300">
        <v>0.3</v>
      </c>
      <c r="K30" s="300">
        <v>0.7</v>
      </c>
      <c r="L30" s="300">
        <v>0.3</v>
      </c>
      <c r="M30" s="300">
        <v>0.7</v>
      </c>
      <c r="N30" s="300">
        <v>0.2</v>
      </c>
      <c r="O30" s="300">
        <v>0.8</v>
      </c>
      <c r="Q30" s="288">
        <v>-1491619.75661</v>
      </c>
      <c r="R30" s="289" t="s">
        <v>31</v>
      </c>
      <c r="S30" s="290">
        <v>1</v>
      </c>
      <c r="T30" s="291"/>
      <c r="U30" s="292" t="s">
        <v>31</v>
      </c>
      <c r="V30" s="290">
        <v>0</v>
      </c>
      <c r="W30" s="288">
        <v>0</v>
      </c>
      <c r="Z30" s="301">
        <f>Sheet4!S30-Sheet5!S30</f>
        <v>0</v>
      </c>
      <c r="AA30" s="302">
        <f>Sheet4!S30-Sheet6!S30</f>
        <v>0</v>
      </c>
      <c r="AB30" s="302">
        <f>Sheet5!S30-Sheet6!S30</f>
        <v>0</v>
      </c>
    </row>
    <row r="31" spans="2:28">
      <c r="B31" s="299"/>
      <c r="C31" s="299"/>
      <c r="D31" s="299"/>
      <c r="E31" s="299"/>
      <c r="F31" s="299"/>
      <c r="G31" s="299"/>
      <c r="H31" s="299"/>
      <c r="I31" s="299"/>
      <c r="J31" s="299"/>
      <c r="K31" s="299"/>
      <c r="L31" s="299"/>
      <c r="M31" s="299"/>
      <c r="N31" s="299"/>
      <c r="O31" s="299"/>
      <c r="Q31" s="288">
        <v>0</v>
      </c>
      <c r="R31" s="293" t="s">
        <v>32</v>
      </c>
      <c r="S31" s="290">
        <v>0</v>
      </c>
      <c r="T31" s="291"/>
      <c r="U31" s="292" t="s">
        <v>32</v>
      </c>
      <c r="V31" s="290">
        <v>0.73333333333333328</v>
      </c>
      <c r="W31" s="288">
        <v>699161.07625454536</v>
      </c>
      <c r="Z31" s="301">
        <f>Sheet4!S31-Sheet5!S31</f>
        <v>0</v>
      </c>
      <c r="AA31" s="302">
        <f>Sheet4!S31-Sheet6!S31</f>
        <v>0</v>
      </c>
      <c r="AB31" s="302">
        <f>Sheet5!S31-Sheet6!S31</f>
        <v>0</v>
      </c>
    </row>
    <row r="32" spans="2:28">
      <c r="B32" s="299"/>
      <c r="C32" s="299"/>
      <c r="D32" s="299"/>
      <c r="E32" s="299"/>
      <c r="F32" s="299"/>
      <c r="G32" s="299"/>
      <c r="H32" s="299"/>
      <c r="I32" s="299"/>
      <c r="J32" s="299"/>
      <c r="K32" s="299"/>
      <c r="L32" s="299"/>
      <c r="M32" s="299"/>
      <c r="N32" s="299"/>
      <c r="O32" s="299"/>
      <c r="Q32" s="288">
        <v>-1341490.2464566666</v>
      </c>
      <c r="R32" s="294" t="s">
        <v>35</v>
      </c>
      <c r="S32" s="290">
        <v>1</v>
      </c>
      <c r="T32" s="291"/>
      <c r="U32" s="292" t="s">
        <v>35</v>
      </c>
      <c r="V32" s="290">
        <v>0</v>
      </c>
      <c r="W32" s="288">
        <v>0</v>
      </c>
      <c r="Z32" s="301">
        <f>Sheet4!S32-Sheet5!S32</f>
        <v>0</v>
      </c>
      <c r="AA32" s="302">
        <f>Sheet4!S32-Sheet6!S32</f>
        <v>0</v>
      </c>
      <c r="AB32" s="302">
        <f>Sheet5!S32-Sheet6!S32</f>
        <v>0</v>
      </c>
    </row>
    <row r="33" spans="2:28">
      <c r="B33" s="299"/>
      <c r="C33" s="299"/>
      <c r="D33" s="299"/>
      <c r="E33" s="299"/>
      <c r="F33" s="299"/>
      <c r="G33" s="299"/>
      <c r="H33" s="299"/>
      <c r="I33" s="299"/>
      <c r="J33" s="299"/>
      <c r="K33" s="299"/>
      <c r="L33" s="299"/>
      <c r="M33" s="299"/>
      <c r="N33" s="299"/>
      <c r="O33" s="299"/>
      <c r="Q33" s="288">
        <v>0</v>
      </c>
      <c r="R33" s="295" t="s">
        <v>72</v>
      </c>
      <c r="S33" s="290">
        <v>0</v>
      </c>
      <c r="T33" s="291"/>
      <c r="U33" s="292" t="s">
        <v>72</v>
      </c>
      <c r="V33" s="290">
        <v>1</v>
      </c>
      <c r="W33" s="288">
        <v>1123378.6586900002</v>
      </c>
      <c r="Z33" s="301">
        <f>Sheet4!S33-Sheet5!S33</f>
        <v>0</v>
      </c>
      <c r="AA33" s="302">
        <f>Sheet4!S33-Sheet6!S33</f>
        <v>0</v>
      </c>
      <c r="AB33" s="302">
        <f>Sheet5!S33-Sheet6!S33</f>
        <v>0</v>
      </c>
    </row>
    <row r="34" spans="2:28">
      <c r="B34" s="299"/>
      <c r="C34" s="299"/>
      <c r="D34" s="299"/>
      <c r="E34" s="299"/>
      <c r="F34" s="299"/>
      <c r="G34" s="299"/>
      <c r="H34" s="299"/>
      <c r="I34" s="299"/>
      <c r="J34" s="299"/>
      <c r="K34" s="299"/>
      <c r="L34" s="299"/>
      <c r="M34" s="299"/>
      <c r="N34" s="299"/>
      <c r="O34" s="299"/>
      <c r="Z34" s="301"/>
    </row>
    <row r="35" spans="2:28">
      <c r="B35" s="299">
        <v>80000</v>
      </c>
      <c r="C35" s="299">
        <v>67</v>
      </c>
      <c r="D35" s="299">
        <v>67</v>
      </c>
      <c r="E35" s="299">
        <f>(3750+2475)*12</f>
        <v>74700</v>
      </c>
      <c r="F35" s="299">
        <v>0</v>
      </c>
      <c r="G35" s="299">
        <v>1000000</v>
      </c>
      <c r="H35" s="299">
        <v>0</v>
      </c>
      <c r="I35" s="299">
        <v>30000</v>
      </c>
      <c r="J35" s="300">
        <v>0.3</v>
      </c>
      <c r="K35" s="300">
        <v>0.7</v>
      </c>
      <c r="L35" s="300">
        <v>0.35</v>
      </c>
      <c r="M35" s="300">
        <v>0.65</v>
      </c>
      <c r="N35" s="300">
        <v>0.3</v>
      </c>
      <c r="O35" s="300">
        <v>0.7</v>
      </c>
      <c r="Q35" s="288">
        <v>-1464815.562663334</v>
      </c>
      <c r="R35" s="289" t="s">
        <v>31</v>
      </c>
      <c r="S35" s="290">
        <v>1</v>
      </c>
      <c r="T35" s="291"/>
      <c r="U35" s="292" t="s">
        <v>31</v>
      </c>
      <c r="V35" s="290">
        <v>0</v>
      </c>
      <c r="W35" s="288">
        <v>0</v>
      </c>
      <c r="Z35" s="301">
        <f>Sheet4!S35-Sheet5!S35</f>
        <v>0</v>
      </c>
      <c r="AA35" s="302">
        <f>Sheet4!S35-Sheet6!S35</f>
        <v>0</v>
      </c>
      <c r="AB35" s="302">
        <f>Sheet5!S35-Sheet6!S35</f>
        <v>0</v>
      </c>
    </row>
    <row r="36" spans="2:28">
      <c r="B36" s="299"/>
      <c r="C36" s="299"/>
      <c r="D36" s="299"/>
      <c r="E36" s="299"/>
      <c r="F36" s="299"/>
      <c r="G36" s="299"/>
      <c r="H36" s="299"/>
      <c r="I36" s="299"/>
      <c r="J36" s="299"/>
      <c r="K36" s="299"/>
      <c r="L36" s="299"/>
      <c r="M36" s="299"/>
      <c r="N36" s="299"/>
      <c r="O36" s="299"/>
      <c r="Q36" s="288">
        <v>0</v>
      </c>
      <c r="R36" s="293" t="s">
        <v>32</v>
      </c>
      <c r="S36" s="290">
        <v>0</v>
      </c>
      <c r="T36" s="291"/>
      <c r="U36" s="292" t="s">
        <v>32</v>
      </c>
      <c r="V36" s="290">
        <v>0.9</v>
      </c>
      <c r="W36" s="288">
        <v>686100.02830740728</v>
      </c>
      <c r="Z36" s="301">
        <f>Sheet4!S36-Sheet5!S36</f>
        <v>0</v>
      </c>
      <c r="AA36" s="302">
        <f>Sheet4!S36-Sheet6!S36</f>
        <v>-6.6666666666666666E-2</v>
      </c>
      <c r="AB36" s="302">
        <f>Sheet5!S36-Sheet6!S36</f>
        <v>-6.6666666666666666E-2</v>
      </c>
    </row>
    <row r="37" spans="2:28">
      <c r="B37" s="299"/>
      <c r="C37" s="299"/>
      <c r="D37" s="299"/>
      <c r="E37" s="299"/>
      <c r="F37" s="299"/>
      <c r="G37" s="299"/>
      <c r="H37" s="299"/>
      <c r="I37" s="299"/>
      <c r="J37" s="299"/>
      <c r="K37" s="299"/>
      <c r="L37" s="299"/>
      <c r="M37" s="299"/>
      <c r="N37" s="299"/>
      <c r="O37" s="299"/>
      <c r="Q37" s="288">
        <v>-1318252.5098900001</v>
      </c>
      <c r="R37" s="294" t="s">
        <v>35</v>
      </c>
      <c r="S37" s="290">
        <v>1</v>
      </c>
      <c r="T37" s="291"/>
      <c r="U37" s="292" t="s">
        <v>35</v>
      </c>
      <c r="V37" s="290">
        <v>0</v>
      </c>
      <c r="W37" s="288">
        <v>0</v>
      </c>
      <c r="Z37" s="301">
        <f>Sheet4!S37-Sheet5!S37</f>
        <v>0</v>
      </c>
      <c r="AA37" s="302">
        <f>Sheet4!S37-Sheet6!S37</f>
        <v>0</v>
      </c>
      <c r="AB37" s="302">
        <f>Sheet5!S37-Sheet6!S37</f>
        <v>0</v>
      </c>
    </row>
    <row r="38" spans="2:28">
      <c r="B38" s="299"/>
      <c r="C38" s="299"/>
      <c r="D38" s="299"/>
      <c r="E38" s="299"/>
      <c r="F38" s="299"/>
      <c r="G38" s="299"/>
      <c r="H38" s="299"/>
      <c r="I38" s="299"/>
      <c r="J38" s="299"/>
      <c r="K38" s="299"/>
      <c r="L38" s="299"/>
      <c r="M38" s="299"/>
      <c r="N38" s="299"/>
      <c r="O38" s="299"/>
      <c r="Q38" s="288">
        <v>0</v>
      </c>
      <c r="R38" s="295" t="s">
        <v>72</v>
      </c>
      <c r="S38" s="290">
        <v>0</v>
      </c>
      <c r="T38" s="291"/>
      <c r="U38" s="292" t="s">
        <v>72</v>
      </c>
      <c r="V38" s="290">
        <v>1</v>
      </c>
      <c r="W38" s="288">
        <v>1277878.9659699998</v>
      </c>
      <c r="Z38" s="301">
        <f>Sheet4!S38-Sheet5!S38</f>
        <v>0</v>
      </c>
      <c r="AA38" s="302">
        <f>Sheet4!S38-Sheet6!S38</f>
        <v>0</v>
      </c>
      <c r="AB38" s="302">
        <f>Sheet5!S38-Sheet6!S38</f>
        <v>0</v>
      </c>
    </row>
    <row r="39" spans="2:28">
      <c r="B39" s="299"/>
      <c r="C39" s="299"/>
      <c r="D39" s="299"/>
      <c r="E39" s="299"/>
      <c r="F39" s="299"/>
      <c r="G39" s="299"/>
      <c r="H39" s="299"/>
      <c r="I39" s="299"/>
      <c r="J39" s="299"/>
      <c r="K39" s="299"/>
      <c r="L39" s="299"/>
      <c r="M39" s="299"/>
      <c r="N39" s="299"/>
      <c r="O39" s="299"/>
      <c r="Z39" s="301"/>
    </row>
    <row r="40" spans="2:28">
      <c r="B40" s="299">
        <v>80000</v>
      </c>
      <c r="C40" s="299">
        <v>67</v>
      </c>
      <c r="D40" s="299">
        <v>68</v>
      </c>
      <c r="E40" s="299">
        <f>E30</f>
        <v>79056</v>
      </c>
      <c r="F40" s="299">
        <v>0</v>
      </c>
      <c r="G40" s="299">
        <v>1000000</v>
      </c>
      <c r="H40" s="299">
        <v>0</v>
      </c>
      <c r="I40" s="299">
        <v>30000</v>
      </c>
      <c r="J40" s="300">
        <v>0.3</v>
      </c>
      <c r="K40" s="300">
        <v>0.7</v>
      </c>
      <c r="L40" s="300">
        <v>0.35</v>
      </c>
      <c r="M40" s="300">
        <v>0.65</v>
      </c>
      <c r="N40" s="300">
        <v>0.3</v>
      </c>
      <c r="O40" s="300">
        <v>0.7</v>
      </c>
      <c r="Q40" s="288">
        <v>-1484718.2261000001</v>
      </c>
      <c r="R40" s="289" t="s">
        <v>31</v>
      </c>
      <c r="S40" s="290">
        <v>1</v>
      </c>
      <c r="T40" s="291"/>
      <c r="U40" s="292" t="s">
        <v>31</v>
      </c>
      <c r="V40" s="290">
        <v>0</v>
      </c>
      <c r="W40" s="288">
        <v>0</v>
      </c>
      <c r="Z40" s="301">
        <f>Sheet4!S40-Sheet5!S40</f>
        <v>0</v>
      </c>
      <c r="AA40" s="302">
        <f>Sheet4!S40-Sheet6!S40</f>
        <v>0</v>
      </c>
      <c r="AB40" s="302">
        <f>Sheet5!S40-Sheet6!S40</f>
        <v>0</v>
      </c>
    </row>
    <row r="41" spans="2:28">
      <c r="Q41" s="288">
        <v>0</v>
      </c>
      <c r="R41" s="293" t="s">
        <v>32</v>
      </c>
      <c r="S41" s="290">
        <v>0</v>
      </c>
      <c r="T41" s="291"/>
      <c r="U41" s="292" t="s">
        <v>32</v>
      </c>
      <c r="V41" s="290">
        <v>0.53333333333333333</v>
      </c>
      <c r="W41" s="288">
        <v>837837.92925624992</v>
      </c>
      <c r="Z41" s="301">
        <f>Sheet4!S41-Sheet5!S41</f>
        <v>0.02</v>
      </c>
      <c r="AA41" s="302">
        <f>Sheet4!S41-Sheet6!S41</f>
        <v>0.02</v>
      </c>
      <c r="AB41" s="302">
        <f>Sheet5!S41-Sheet6!S41</f>
        <v>0</v>
      </c>
    </row>
    <row r="42" spans="2:28">
      <c r="Q42" s="288">
        <v>-1336061.4610233328</v>
      </c>
      <c r="R42" s="294" t="s">
        <v>35</v>
      </c>
      <c r="S42" s="290">
        <v>1</v>
      </c>
      <c r="T42" s="291"/>
      <c r="U42" s="292" t="s">
        <v>35</v>
      </c>
      <c r="V42" s="290">
        <v>0</v>
      </c>
      <c r="W42" s="288">
        <v>0</v>
      </c>
      <c r="Z42" s="301">
        <f>Sheet4!S42-Sheet5!S42</f>
        <v>0</v>
      </c>
      <c r="AA42" s="302">
        <f>Sheet4!S42-Sheet6!S42</f>
        <v>0</v>
      </c>
      <c r="AB42" s="302">
        <f>Sheet5!S42-Sheet6!S42</f>
        <v>0</v>
      </c>
    </row>
    <row r="43" spans="2:28">
      <c r="Q43" s="288">
        <v>0</v>
      </c>
      <c r="R43" s="295" t="s">
        <v>72</v>
      </c>
      <c r="S43" s="290">
        <v>0</v>
      </c>
      <c r="T43" s="291"/>
      <c r="U43" s="292" t="s">
        <v>72</v>
      </c>
      <c r="V43" s="290">
        <v>1</v>
      </c>
      <c r="W43" s="288">
        <v>1151561.4889133333</v>
      </c>
      <c r="Z43" s="301">
        <f>Sheet4!S43-Sheet5!S43</f>
        <v>0</v>
      </c>
      <c r="AA43" s="302">
        <f>Sheet4!S43-Sheet6!S43</f>
        <v>0</v>
      </c>
      <c r="AB43" s="302">
        <f>Sheet5!S43-Sheet6!S43</f>
        <v>0</v>
      </c>
    </row>
    <row r="44" spans="2:28" s="304" customFormat="1">
      <c r="B44" s="303"/>
      <c r="C44" s="303"/>
      <c r="D44" s="303"/>
      <c r="E44" s="303"/>
      <c r="F44" s="303"/>
      <c r="G44" s="303"/>
      <c r="H44" s="303"/>
      <c r="I44" s="303"/>
      <c r="J44" s="303"/>
      <c r="K44" s="303"/>
      <c r="L44" s="303"/>
      <c r="M44" s="303"/>
      <c r="N44" s="303"/>
      <c r="O44" s="303"/>
      <c r="Q44" s="305"/>
      <c r="R44" s="305"/>
      <c r="S44" s="305"/>
      <c r="T44" s="305"/>
      <c r="U44" s="305"/>
      <c r="V44" s="305"/>
      <c r="W44" s="305"/>
      <c r="Z44" s="306"/>
      <c r="AA44" s="307"/>
      <c r="AB44" s="307"/>
    </row>
    <row r="45" spans="2:28">
      <c r="B45" s="299">
        <v>90000</v>
      </c>
      <c r="C45" s="299">
        <v>67</v>
      </c>
      <c r="D45" s="299">
        <v>67</v>
      </c>
      <c r="E45" s="299">
        <f>(3750+2475)*12</f>
        <v>74700</v>
      </c>
      <c r="F45" s="299">
        <v>0</v>
      </c>
      <c r="G45" s="299">
        <v>1000000</v>
      </c>
      <c r="H45" s="299">
        <v>0</v>
      </c>
      <c r="I45" s="299">
        <v>30000</v>
      </c>
      <c r="J45" s="300">
        <v>0.3</v>
      </c>
      <c r="K45" s="300">
        <v>0.7</v>
      </c>
      <c r="L45" s="300">
        <v>0.3</v>
      </c>
      <c r="M45" s="300">
        <v>0.7</v>
      </c>
      <c r="N45" s="300">
        <v>0.2</v>
      </c>
      <c r="O45" s="300">
        <v>0.8</v>
      </c>
      <c r="Q45" s="288">
        <v>-1784236.6670700004</v>
      </c>
      <c r="R45" s="289" t="s">
        <v>31</v>
      </c>
      <c r="S45" s="290">
        <v>1</v>
      </c>
      <c r="T45" s="291"/>
      <c r="U45" s="292" t="s">
        <v>31</v>
      </c>
      <c r="V45" s="290">
        <v>0</v>
      </c>
      <c r="W45" s="288">
        <v>0</v>
      </c>
      <c r="Z45" s="301">
        <f>Sheet4!S45-Sheet5!S45</f>
        <v>0</v>
      </c>
      <c r="AA45" s="302">
        <f>Sheet4!S45-Sheet6!S45</f>
        <v>0</v>
      </c>
      <c r="AB45" s="302">
        <f>Sheet5!S45-Sheet6!S45</f>
        <v>0</v>
      </c>
    </row>
    <row r="46" spans="2:28">
      <c r="B46" s="299"/>
      <c r="C46" s="299"/>
      <c r="D46" s="299"/>
      <c r="E46" s="299"/>
      <c r="F46" s="299"/>
      <c r="G46" s="299"/>
      <c r="H46" s="299"/>
      <c r="I46" s="299"/>
      <c r="J46" s="299"/>
      <c r="K46" s="299"/>
      <c r="L46" s="299"/>
      <c r="M46" s="299"/>
      <c r="N46" s="299"/>
      <c r="O46" s="299"/>
      <c r="Q46" s="288">
        <v>-120887.65332</v>
      </c>
      <c r="R46" s="293" t="s">
        <v>32</v>
      </c>
      <c r="S46" s="290">
        <v>0.16666666666666666</v>
      </c>
      <c r="T46" s="291"/>
      <c r="U46" s="292" t="s">
        <v>32</v>
      </c>
      <c r="V46" s="290">
        <v>0.23333333333333334</v>
      </c>
      <c r="W46" s="288">
        <v>484588.92747142859</v>
      </c>
      <c r="Z46" s="301">
        <f>Sheet4!S46-Sheet5!S46</f>
        <v>2.9999999999999971E-2</v>
      </c>
      <c r="AA46" s="302">
        <f>Sheet4!S46-Sheet6!S46</f>
        <v>-0.30333333333333329</v>
      </c>
      <c r="AB46" s="302">
        <f>Sheet5!S46-Sheet6!S46</f>
        <v>-0.33333333333333326</v>
      </c>
    </row>
    <row r="47" spans="2:28">
      <c r="B47" s="299"/>
      <c r="C47" s="299"/>
      <c r="D47" s="299"/>
      <c r="E47" s="299"/>
      <c r="F47" s="299"/>
      <c r="G47" s="299"/>
      <c r="H47" s="299"/>
      <c r="I47" s="299"/>
      <c r="J47" s="299"/>
      <c r="K47" s="299"/>
      <c r="L47" s="299"/>
      <c r="M47" s="299" t="s">
        <v>304</v>
      </c>
      <c r="N47" s="299"/>
      <c r="O47" s="299"/>
      <c r="Q47" s="288">
        <v>-1686145.6726733332</v>
      </c>
      <c r="R47" s="294" t="s">
        <v>35</v>
      </c>
      <c r="S47" s="290">
        <v>1</v>
      </c>
      <c r="T47" s="291"/>
      <c r="U47" s="292" t="s">
        <v>35</v>
      </c>
      <c r="V47" s="290">
        <v>0</v>
      </c>
      <c r="W47" s="288">
        <v>0</v>
      </c>
      <c r="Z47" s="301">
        <f>Sheet4!S47-Sheet5!S47</f>
        <v>0</v>
      </c>
      <c r="AA47" s="302">
        <f>Sheet4!S47-Sheet6!S47</f>
        <v>0</v>
      </c>
      <c r="AB47" s="302">
        <f>Sheet5!S47-Sheet6!S47</f>
        <v>0</v>
      </c>
    </row>
    <row r="48" spans="2:28">
      <c r="B48" s="299"/>
      <c r="C48" s="299"/>
      <c r="D48" s="299"/>
      <c r="E48" s="299"/>
      <c r="F48" s="299"/>
      <c r="G48" s="299"/>
      <c r="H48" s="299"/>
      <c r="I48" s="299"/>
      <c r="J48" s="299"/>
      <c r="K48" s="299"/>
      <c r="L48" s="299"/>
      <c r="M48" s="299"/>
      <c r="N48" s="299"/>
      <c r="O48" s="299"/>
      <c r="Q48" s="288">
        <v>0</v>
      </c>
      <c r="R48" s="295" t="s">
        <v>72</v>
      </c>
      <c r="S48" s="290">
        <v>0</v>
      </c>
      <c r="T48" s="291"/>
      <c r="U48" s="292" t="s">
        <v>72</v>
      </c>
      <c r="V48" s="290">
        <v>0.93333333333333335</v>
      </c>
      <c r="W48" s="288">
        <v>667623.35018571408</v>
      </c>
      <c r="Z48" s="301">
        <f>Sheet4!S48-Sheet5!S48</f>
        <v>0.02</v>
      </c>
      <c r="AA48" s="302">
        <f>Sheet4!S48-Sheet6!S48</f>
        <v>-4.6666666666666662E-2</v>
      </c>
      <c r="AB48" s="302">
        <f>Sheet5!S48-Sheet6!S48</f>
        <v>-6.6666666666666666E-2</v>
      </c>
    </row>
    <row r="49" spans="2:28">
      <c r="B49" s="299"/>
      <c r="C49" s="299"/>
      <c r="D49" s="299"/>
      <c r="E49" s="299"/>
      <c r="F49" s="299"/>
      <c r="G49" s="299"/>
      <c r="H49" s="299"/>
      <c r="I49" s="299"/>
      <c r="J49" s="299"/>
      <c r="K49" s="299"/>
      <c r="L49" s="299"/>
      <c r="M49" s="299"/>
      <c r="N49" s="299"/>
      <c r="O49" s="299"/>
      <c r="Z49" s="301"/>
    </row>
    <row r="50" spans="2:28">
      <c r="B50" s="299">
        <v>90000</v>
      </c>
      <c r="C50" s="299">
        <v>67</v>
      </c>
      <c r="D50" s="299">
        <v>68</v>
      </c>
      <c r="E50" s="299">
        <f>(3924+2664)*12</f>
        <v>79056</v>
      </c>
      <c r="F50" s="299">
        <v>0</v>
      </c>
      <c r="G50" s="299">
        <v>1000000</v>
      </c>
      <c r="H50" s="299">
        <v>0</v>
      </c>
      <c r="I50" s="299">
        <v>30000</v>
      </c>
      <c r="J50" s="300">
        <v>0.3</v>
      </c>
      <c r="K50" s="300">
        <v>0.7</v>
      </c>
      <c r="L50" s="300">
        <v>0.3</v>
      </c>
      <c r="M50" s="300">
        <v>0.7</v>
      </c>
      <c r="N50" s="300">
        <v>0.2</v>
      </c>
      <c r="O50" s="300">
        <v>0.8</v>
      </c>
      <c r="Q50" s="288">
        <v>-1757839.6769866666</v>
      </c>
      <c r="R50" s="289" t="s">
        <v>31</v>
      </c>
      <c r="S50" s="290">
        <v>1</v>
      </c>
      <c r="T50" s="291"/>
      <c r="U50" s="292" t="s">
        <v>31</v>
      </c>
      <c r="V50" s="290">
        <v>0</v>
      </c>
      <c r="W50" s="288">
        <v>0</v>
      </c>
      <c r="Z50" s="301">
        <f>Sheet4!S50-Sheet5!S50</f>
        <v>0</v>
      </c>
      <c r="AA50" s="302">
        <f>Sheet4!S50-Sheet6!S50</f>
        <v>0</v>
      </c>
      <c r="AB50" s="302">
        <f>Sheet5!S50-Sheet6!S50</f>
        <v>0</v>
      </c>
    </row>
    <row r="51" spans="2:28">
      <c r="B51" s="299"/>
      <c r="C51" s="299"/>
      <c r="D51" s="299"/>
      <c r="E51" s="299"/>
      <c r="F51" s="299"/>
      <c r="G51" s="299"/>
      <c r="H51" s="299"/>
      <c r="I51" s="299"/>
      <c r="J51" s="299"/>
      <c r="K51" s="299"/>
      <c r="L51" s="299"/>
      <c r="M51" s="299"/>
      <c r="N51" s="299"/>
      <c r="O51" s="299"/>
      <c r="Q51" s="288">
        <v>-96730.787316666669</v>
      </c>
      <c r="R51" s="293" t="s">
        <v>32</v>
      </c>
      <c r="S51" s="290">
        <v>0.2</v>
      </c>
      <c r="T51" s="291"/>
      <c r="U51" s="292" t="s">
        <v>32</v>
      </c>
      <c r="V51" s="290">
        <v>0.23333333333333334</v>
      </c>
      <c r="W51" s="288">
        <v>523571.80864285713</v>
      </c>
      <c r="Z51" s="301">
        <f>Sheet4!S51-Sheet5!S51</f>
        <v>0.12</v>
      </c>
      <c r="AA51" s="302">
        <f>Sheet4!S51-Sheet6!S51</f>
        <v>-0.14666666666666667</v>
      </c>
      <c r="AB51" s="302">
        <f>Sheet5!S51-Sheet6!S51</f>
        <v>-0.26666666666666666</v>
      </c>
    </row>
    <row r="52" spans="2:28">
      <c r="B52" s="299"/>
      <c r="C52" s="299"/>
      <c r="D52" s="299"/>
      <c r="E52" s="299"/>
      <c r="F52" s="299"/>
      <c r="G52" s="299"/>
      <c r="H52" s="299"/>
      <c r="I52" s="299"/>
      <c r="J52" s="299"/>
      <c r="K52" s="299"/>
      <c r="L52" s="299"/>
      <c r="M52" s="299"/>
      <c r="N52" s="299"/>
      <c r="O52" s="299"/>
      <c r="Q52" s="288">
        <v>-1651359.0582366667</v>
      </c>
      <c r="R52" s="294" t="s">
        <v>35</v>
      </c>
      <c r="S52" s="290">
        <v>1</v>
      </c>
      <c r="T52" s="291"/>
      <c r="U52" s="292" t="s">
        <v>35</v>
      </c>
      <c r="V52" s="290">
        <v>0</v>
      </c>
      <c r="W52" s="288">
        <v>0</v>
      </c>
      <c r="Z52" s="301">
        <f>Sheet4!S52-Sheet5!S52</f>
        <v>0</v>
      </c>
      <c r="AA52" s="302">
        <f>Sheet4!S52-Sheet6!S52</f>
        <v>0</v>
      </c>
      <c r="AB52" s="302">
        <f>Sheet5!S52-Sheet6!S52</f>
        <v>0</v>
      </c>
    </row>
    <row r="53" spans="2:28">
      <c r="B53" s="299"/>
      <c r="C53" s="299"/>
      <c r="D53" s="299"/>
      <c r="E53" s="299"/>
      <c r="F53" s="299"/>
      <c r="G53" s="299"/>
      <c r="H53" s="299"/>
      <c r="I53" s="299"/>
      <c r="J53" s="299"/>
      <c r="K53" s="299"/>
      <c r="L53" s="299"/>
      <c r="M53" s="299"/>
      <c r="N53" s="299"/>
      <c r="O53" s="299"/>
      <c r="Q53" s="288">
        <v>0</v>
      </c>
      <c r="R53" s="295" t="s">
        <v>72</v>
      </c>
      <c r="S53" s="290">
        <v>0</v>
      </c>
      <c r="T53" s="291"/>
      <c r="U53" s="292" t="s">
        <v>72</v>
      </c>
      <c r="V53" s="290">
        <v>0.8666666666666667</v>
      </c>
      <c r="W53" s="288">
        <v>643278.23794615385</v>
      </c>
      <c r="Z53" s="301">
        <f>Sheet4!S53-Sheet5!S53</f>
        <v>0</v>
      </c>
      <c r="AA53" s="302">
        <f>Sheet4!S53-Sheet6!S53</f>
        <v>-3.3333333333333333E-2</v>
      </c>
      <c r="AB53" s="302">
        <f>Sheet5!S53-Sheet6!S53</f>
        <v>-3.3333333333333333E-2</v>
      </c>
    </row>
    <row r="54" spans="2:28">
      <c r="B54" s="299"/>
      <c r="C54" s="299"/>
      <c r="D54" s="299"/>
      <c r="E54" s="299"/>
      <c r="F54" s="299"/>
      <c r="G54" s="299"/>
      <c r="H54" s="299"/>
      <c r="I54" s="299"/>
      <c r="J54" s="299"/>
      <c r="K54" s="299"/>
      <c r="L54" s="299"/>
      <c r="M54" s="299"/>
      <c r="N54" s="299"/>
      <c r="O54" s="299"/>
      <c r="Z54" s="301"/>
    </row>
    <row r="55" spans="2:28">
      <c r="B55" s="299">
        <v>90000</v>
      </c>
      <c r="C55" s="299">
        <v>67</v>
      </c>
      <c r="D55" s="299">
        <v>67</v>
      </c>
      <c r="E55" s="299">
        <f>(3750+2475)*12</f>
        <v>74700</v>
      </c>
      <c r="F55" s="299">
        <v>0</v>
      </c>
      <c r="G55" s="299">
        <v>1000000</v>
      </c>
      <c r="H55" s="299">
        <v>0</v>
      </c>
      <c r="I55" s="299">
        <v>30000</v>
      </c>
      <c r="J55" s="300">
        <v>0.3</v>
      </c>
      <c r="K55" s="300">
        <v>0.7</v>
      </c>
      <c r="L55" s="300">
        <v>0.35</v>
      </c>
      <c r="M55" s="300">
        <v>0.65</v>
      </c>
      <c r="N55" s="300">
        <v>0.3</v>
      </c>
      <c r="O55" s="300">
        <v>0.7</v>
      </c>
      <c r="Q55" s="288">
        <v>-1849339.8010433333</v>
      </c>
      <c r="R55" s="289" t="s">
        <v>31</v>
      </c>
      <c r="S55" s="290">
        <v>1</v>
      </c>
      <c r="T55" s="291"/>
      <c r="U55" s="292" t="s">
        <v>31</v>
      </c>
      <c r="V55" s="290">
        <v>0</v>
      </c>
      <c r="W55" s="288">
        <v>0</v>
      </c>
      <c r="Z55" s="301">
        <f>Sheet4!S55-Sheet5!S55</f>
        <v>0</v>
      </c>
      <c r="AA55" s="302">
        <f>Sheet4!S55-Sheet6!S55</f>
        <v>0</v>
      </c>
      <c r="AB55" s="302">
        <f>Sheet5!S55-Sheet6!S55</f>
        <v>0</v>
      </c>
    </row>
    <row r="56" spans="2:28">
      <c r="B56" s="299"/>
      <c r="C56" s="299"/>
      <c r="D56" s="299"/>
      <c r="E56" s="299"/>
      <c r="F56" s="299"/>
      <c r="G56" s="299"/>
      <c r="H56" s="299"/>
      <c r="I56" s="299"/>
      <c r="J56" s="299"/>
      <c r="K56" s="299"/>
      <c r="L56" s="299"/>
      <c r="M56" s="299"/>
      <c r="N56" s="299"/>
      <c r="O56" s="299"/>
      <c r="Q56" s="288">
        <v>-200460.19747692306</v>
      </c>
      <c r="R56" s="293" t="s">
        <v>32</v>
      </c>
      <c r="S56" s="290">
        <v>0.43333333333333335</v>
      </c>
      <c r="T56" s="291"/>
      <c r="U56" s="292" t="s">
        <v>32</v>
      </c>
      <c r="V56" s="290">
        <v>0.13333333333333333</v>
      </c>
      <c r="W56" s="288">
        <v>520092.30815000006</v>
      </c>
      <c r="Z56" s="301">
        <f>Sheet4!S56-Sheet5!S56</f>
        <v>0.41</v>
      </c>
      <c r="AA56" s="302">
        <f>Sheet4!S56-Sheet6!S56</f>
        <v>1.0000000000000009E-2</v>
      </c>
      <c r="AB56" s="302">
        <f>Sheet5!S56-Sheet6!S56</f>
        <v>-0.39999999999999997</v>
      </c>
    </row>
    <row r="57" spans="2:28">
      <c r="B57" s="299"/>
      <c r="C57" s="299"/>
      <c r="D57" s="299"/>
      <c r="E57" s="299"/>
      <c r="F57" s="299"/>
      <c r="G57" s="299"/>
      <c r="H57" s="299"/>
      <c r="I57" s="299"/>
      <c r="J57" s="299"/>
      <c r="K57" s="299"/>
      <c r="L57" s="299"/>
      <c r="M57" s="299"/>
      <c r="N57" s="299"/>
      <c r="O57" s="299"/>
      <c r="Q57" s="288">
        <v>-1703655.3793800003</v>
      </c>
      <c r="R57" s="294" t="s">
        <v>35</v>
      </c>
      <c r="S57" s="290">
        <v>1</v>
      </c>
      <c r="T57" s="291"/>
      <c r="U57" s="292" t="s">
        <v>35</v>
      </c>
      <c r="V57" s="290">
        <v>0</v>
      </c>
      <c r="W57" s="288">
        <v>0</v>
      </c>
      <c r="Z57" s="301">
        <f>Sheet4!S57-Sheet5!S57</f>
        <v>0</v>
      </c>
      <c r="AA57" s="302">
        <f>Sheet4!S57-Sheet6!S57</f>
        <v>0</v>
      </c>
      <c r="AB57" s="302">
        <f>Sheet5!S57-Sheet6!S57</f>
        <v>0</v>
      </c>
    </row>
    <row r="58" spans="2:28">
      <c r="B58" s="299"/>
      <c r="C58" s="299"/>
      <c r="D58" s="299"/>
      <c r="E58" s="299"/>
      <c r="F58" s="299"/>
      <c r="G58" s="299"/>
      <c r="H58" s="299"/>
      <c r="I58" s="299"/>
      <c r="J58" s="299"/>
      <c r="K58" s="299"/>
      <c r="L58" s="299"/>
      <c r="M58" s="299"/>
      <c r="N58" s="299"/>
      <c r="O58" s="299"/>
      <c r="Q58" s="288">
        <v>0</v>
      </c>
      <c r="R58" s="295" t="s">
        <v>72</v>
      </c>
      <c r="S58" s="290">
        <v>0</v>
      </c>
      <c r="T58" s="291"/>
      <c r="U58" s="292" t="s">
        <v>72</v>
      </c>
      <c r="V58" s="290">
        <v>0.8666666666666667</v>
      </c>
      <c r="W58" s="288">
        <v>697673.42251538485</v>
      </c>
      <c r="Z58" s="301">
        <f>Sheet4!S58-Sheet5!S58</f>
        <v>0.02</v>
      </c>
      <c r="AA58" s="302">
        <f>Sheet4!S58-Sheet6!S58</f>
        <v>-1.3333333333333332E-2</v>
      </c>
      <c r="AB58" s="302">
        <f>Sheet5!S58-Sheet6!S58</f>
        <v>-3.3333333333333333E-2</v>
      </c>
    </row>
    <row r="59" spans="2:28">
      <c r="B59" s="299"/>
      <c r="C59" s="299"/>
      <c r="D59" s="299"/>
      <c r="E59" s="299"/>
      <c r="F59" s="299"/>
      <c r="G59" s="299"/>
      <c r="H59" s="299"/>
      <c r="I59" s="299"/>
      <c r="J59" s="299"/>
      <c r="K59" s="299"/>
      <c r="L59" s="299"/>
      <c r="M59" s="299"/>
      <c r="N59" s="299"/>
      <c r="O59" s="299"/>
      <c r="Z59" s="301"/>
    </row>
    <row r="60" spans="2:28">
      <c r="B60" s="299">
        <v>90000</v>
      </c>
      <c r="C60" s="299">
        <v>67</v>
      </c>
      <c r="D60" s="299">
        <v>68</v>
      </c>
      <c r="E60" s="299">
        <f>E50</f>
        <v>79056</v>
      </c>
      <c r="F60" s="299">
        <v>0</v>
      </c>
      <c r="G60" s="299">
        <v>1000000</v>
      </c>
      <c r="H60" s="299">
        <v>0</v>
      </c>
      <c r="I60" s="299">
        <v>30000</v>
      </c>
      <c r="J60" s="300">
        <v>0.3</v>
      </c>
      <c r="K60" s="300">
        <v>0.7</v>
      </c>
      <c r="L60" s="300">
        <v>0.35</v>
      </c>
      <c r="M60" s="300">
        <v>0.65</v>
      </c>
      <c r="N60" s="300">
        <v>0.3</v>
      </c>
      <c r="O60" s="300">
        <v>0.7</v>
      </c>
      <c r="Q60" s="288">
        <v>-1874659.4761000001</v>
      </c>
      <c r="R60" s="289" t="s">
        <v>31</v>
      </c>
      <c r="S60" s="290">
        <v>1</v>
      </c>
      <c r="T60" s="291"/>
      <c r="U60" s="292" t="s">
        <v>31</v>
      </c>
      <c r="V60" s="290">
        <v>0</v>
      </c>
      <c r="W60" s="288">
        <v>0</v>
      </c>
      <c r="Z60" s="301">
        <f>Sheet4!S60-Sheet5!S60</f>
        <v>0</v>
      </c>
      <c r="AA60" s="302">
        <f>Sheet4!S60-Sheet6!S60</f>
        <v>0</v>
      </c>
      <c r="AB60" s="302">
        <f>Sheet5!S60-Sheet6!S60</f>
        <v>0</v>
      </c>
    </row>
    <row r="61" spans="2:28">
      <c r="Q61" s="288">
        <v>-244145.26878333336</v>
      </c>
      <c r="R61" s="293" t="s">
        <v>32</v>
      </c>
      <c r="S61" s="290">
        <v>0.6</v>
      </c>
      <c r="T61" s="291"/>
      <c r="U61" s="292" t="s">
        <v>32</v>
      </c>
      <c r="V61" s="290">
        <v>3.3333333333333333E-2</v>
      </c>
      <c r="W61" s="288">
        <v>725833.77830000001</v>
      </c>
      <c r="Z61" s="301">
        <f>Sheet4!S61-Sheet5!S61</f>
        <v>5.6666666666666643E-2</v>
      </c>
      <c r="AA61" s="302">
        <f>Sheet4!S61-Sheet6!S61</f>
        <v>-0.31000000000000005</v>
      </c>
      <c r="AB61" s="302">
        <f>Sheet5!S61-Sheet6!S61</f>
        <v>-0.3666666666666667</v>
      </c>
    </row>
    <row r="62" spans="2:28">
      <c r="Q62" s="288">
        <v>-1721354.9588066668</v>
      </c>
      <c r="R62" s="294" t="s">
        <v>35</v>
      </c>
      <c r="S62" s="290">
        <v>1</v>
      </c>
      <c r="T62" s="291"/>
      <c r="U62" s="292" t="s">
        <v>35</v>
      </c>
      <c r="V62" s="290">
        <v>0</v>
      </c>
      <c r="W62" s="288">
        <v>0</v>
      </c>
      <c r="Z62" s="301">
        <f>Sheet4!S62-Sheet5!S62</f>
        <v>0</v>
      </c>
      <c r="AA62" s="302">
        <f>Sheet4!S62-Sheet6!S62</f>
        <v>0</v>
      </c>
      <c r="AB62" s="302">
        <f>Sheet5!S62-Sheet6!S62</f>
        <v>0</v>
      </c>
    </row>
    <row r="63" spans="2:28">
      <c r="Q63" s="288">
        <v>0</v>
      </c>
      <c r="R63" s="295" t="s">
        <v>72</v>
      </c>
      <c r="S63" s="290">
        <v>0</v>
      </c>
      <c r="T63" s="291"/>
      <c r="U63" s="292" t="s">
        <v>72</v>
      </c>
      <c r="V63" s="290">
        <v>0.66666666666666663</v>
      </c>
      <c r="W63" s="288">
        <v>643814.17619999987</v>
      </c>
      <c r="Z63" s="301">
        <f>Sheet4!S63-Sheet5!S63</f>
        <v>0.03</v>
      </c>
      <c r="AA63" s="302">
        <f>Sheet4!S63-Sheet6!S63</f>
        <v>-3.333333333333334E-3</v>
      </c>
      <c r="AB63" s="302">
        <f>Sheet5!S63-Sheet6!S63</f>
        <v>-3.3333333333333333E-2</v>
      </c>
    </row>
    <row r="64" spans="2:28" s="304" customFormat="1">
      <c r="B64" s="303"/>
      <c r="C64" s="303"/>
      <c r="D64" s="303"/>
      <c r="E64" s="303"/>
      <c r="F64" s="303"/>
      <c r="G64" s="303"/>
      <c r="H64" s="303"/>
      <c r="I64" s="303"/>
      <c r="J64" s="303"/>
      <c r="K64" s="303"/>
      <c r="L64" s="303"/>
      <c r="M64" s="303"/>
      <c r="N64" s="303"/>
      <c r="O64" s="303"/>
      <c r="Q64" s="305"/>
      <c r="R64" s="305"/>
      <c r="S64" s="305"/>
      <c r="T64" s="305"/>
      <c r="U64" s="305"/>
      <c r="V64" s="305"/>
      <c r="W64" s="305"/>
      <c r="Z64" s="306"/>
      <c r="AA64" s="307"/>
      <c r="AB64" s="307"/>
    </row>
    <row r="65" spans="2:28">
      <c r="B65" s="299">
        <v>100000</v>
      </c>
      <c r="C65" s="299">
        <v>67</v>
      </c>
      <c r="D65" s="299">
        <v>67</v>
      </c>
      <c r="E65" s="299">
        <f>(3750+2475)*12</f>
        <v>74700</v>
      </c>
      <c r="F65" s="299">
        <v>0</v>
      </c>
      <c r="G65" s="299">
        <v>1000000</v>
      </c>
      <c r="H65" s="299">
        <v>0</v>
      </c>
      <c r="I65" s="299">
        <v>30000</v>
      </c>
      <c r="J65" s="300">
        <v>0.3</v>
      </c>
      <c r="K65" s="300">
        <v>0.7</v>
      </c>
      <c r="L65" s="300">
        <v>0.3</v>
      </c>
      <c r="M65" s="300">
        <v>0.7</v>
      </c>
      <c r="N65" s="300">
        <v>0.2</v>
      </c>
      <c r="O65" s="300">
        <v>0.8</v>
      </c>
      <c r="Q65" s="288">
        <v>-2176697.8322000001</v>
      </c>
      <c r="R65" s="289" t="s">
        <v>31</v>
      </c>
      <c r="S65" s="290">
        <v>1</v>
      </c>
      <c r="T65" s="291"/>
      <c r="U65" s="292" t="s">
        <v>31</v>
      </c>
      <c r="V65" s="290">
        <v>0</v>
      </c>
      <c r="W65" s="288">
        <v>0</v>
      </c>
      <c r="Z65" s="301">
        <f>Sheet4!S65-Sheet5!S65</f>
        <v>0</v>
      </c>
      <c r="AA65" s="302">
        <f>Sheet4!S65-Sheet6!S65</f>
        <v>0</v>
      </c>
      <c r="AB65" s="302">
        <f>Sheet5!S65-Sheet6!S65</f>
        <v>0</v>
      </c>
    </row>
    <row r="66" spans="2:28">
      <c r="B66" s="299"/>
      <c r="C66" s="299"/>
      <c r="D66" s="299"/>
      <c r="E66" s="299"/>
      <c r="F66" s="299"/>
      <c r="G66" s="299"/>
      <c r="H66" s="299"/>
      <c r="I66" s="299"/>
      <c r="J66" s="299"/>
      <c r="K66" s="299"/>
      <c r="L66" s="299"/>
      <c r="M66" s="299"/>
      <c r="N66" s="299"/>
      <c r="O66" s="299"/>
      <c r="Q66" s="288">
        <v>-414840.15021785715</v>
      </c>
      <c r="R66" s="293" t="s">
        <v>32</v>
      </c>
      <c r="S66" s="290">
        <v>0.93333333333333335</v>
      </c>
      <c r="T66" s="291"/>
      <c r="U66" s="292" t="s">
        <v>32</v>
      </c>
      <c r="V66" s="290">
        <v>0</v>
      </c>
      <c r="W66" s="288">
        <v>0</v>
      </c>
      <c r="Z66" s="301">
        <f>Sheet4!S66-Sheet5!S66</f>
        <v>0</v>
      </c>
      <c r="AA66" s="302">
        <f>Sheet4!S66-Sheet6!S66</f>
        <v>0</v>
      </c>
      <c r="AB66" s="302">
        <f>Sheet5!S66-Sheet6!S66</f>
        <v>0</v>
      </c>
    </row>
    <row r="67" spans="2:28">
      <c r="B67" s="299"/>
      <c r="C67" s="299"/>
      <c r="D67" s="299"/>
      <c r="E67" s="299"/>
      <c r="F67" s="299"/>
      <c r="G67" s="299"/>
      <c r="H67" s="299"/>
      <c r="I67" s="299"/>
      <c r="J67" s="299"/>
      <c r="K67" s="299"/>
      <c r="L67" s="299"/>
      <c r="M67" s="299" t="s">
        <v>304</v>
      </c>
      <c r="N67" s="299"/>
      <c r="O67" s="299"/>
      <c r="Q67" s="288">
        <v>-2066660.3799666667</v>
      </c>
      <c r="R67" s="294" t="s">
        <v>35</v>
      </c>
      <c r="S67" s="290">
        <v>1</v>
      </c>
      <c r="T67" s="291"/>
      <c r="U67" s="292" t="s">
        <v>35</v>
      </c>
      <c r="V67" s="290">
        <v>0</v>
      </c>
      <c r="W67" s="288">
        <v>0</v>
      </c>
      <c r="Z67" s="301">
        <f>Sheet4!S67-Sheet5!S67</f>
        <v>0</v>
      </c>
      <c r="AA67" s="302">
        <f>Sheet4!S67-Sheet6!S67</f>
        <v>0</v>
      </c>
      <c r="AB67" s="302">
        <f>Sheet5!S67-Sheet6!S67</f>
        <v>0</v>
      </c>
    </row>
    <row r="68" spans="2:28">
      <c r="B68" s="299"/>
      <c r="C68" s="299"/>
      <c r="D68" s="299"/>
      <c r="E68" s="299"/>
      <c r="F68" s="299"/>
      <c r="G68" s="299"/>
      <c r="H68" s="299"/>
      <c r="I68" s="299"/>
      <c r="J68" s="299"/>
      <c r="K68" s="299"/>
      <c r="L68" s="299"/>
      <c r="M68" s="299"/>
      <c r="N68" s="299"/>
      <c r="O68" s="299"/>
      <c r="Q68" s="288">
        <v>0</v>
      </c>
      <c r="R68" s="295" t="s">
        <v>72</v>
      </c>
      <c r="S68" s="290">
        <v>0.6</v>
      </c>
      <c r="T68" s="291"/>
      <c r="U68" s="292" t="s">
        <v>72</v>
      </c>
      <c r="V68" s="290">
        <v>3.3333333333333333E-2</v>
      </c>
      <c r="W68" s="288">
        <v>442335.34100000001</v>
      </c>
      <c r="Z68" s="301">
        <f>Sheet4!S68-Sheet5!S68</f>
        <v>0.23666666666666669</v>
      </c>
      <c r="AA68" s="302">
        <f>Sheet4!S68-Sheet6!S68</f>
        <v>6.9999999999999951E-2</v>
      </c>
      <c r="AB68" s="302">
        <f>Sheet5!S68-Sheet6!S68</f>
        <v>-0.16666666666666674</v>
      </c>
    </row>
    <row r="69" spans="2:28">
      <c r="B69" s="299"/>
      <c r="C69" s="299"/>
      <c r="D69" s="299"/>
      <c r="E69" s="299"/>
      <c r="F69" s="299"/>
      <c r="G69" s="299"/>
      <c r="H69" s="299"/>
      <c r="I69" s="299"/>
      <c r="J69" s="299"/>
      <c r="K69" s="299"/>
      <c r="L69" s="299"/>
      <c r="M69" s="299"/>
      <c r="N69" s="299"/>
      <c r="O69" s="299"/>
      <c r="Z69" s="301"/>
    </row>
    <row r="70" spans="2:28">
      <c r="B70" s="299">
        <v>100000</v>
      </c>
      <c r="C70" s="299">
        <v>67</v>
      </c>
      <c r="D70" s="299">
        <v>68</v>
      </c>
      <c r="E70" s="299">
        <f>(3924+2664)*12</f>
        <v>79056</v>
      </c>
      <c r="F70" s="299">
        <v>0</v>
      </c>
      <c r="G70" s="299">
        <v>1000000</v>
      </c>
      <c r="H70" s="299">
        <v>0</v>
      </c>
      <c r="I70" s="299">
        <v>30000</v>
      </c>
      <c r="J70" s="300">
        <v>0.3</v>
      </c>
      <c r="K70" s="300">
        <v>0.7</v>
      </c>
      <c r="L70" s="300">
        <v>0.3</v>
      </c>
      <c r="M70" s="300">
        <v>0.7</v>
      </c>
      <c r="N70" s="300">
        <v>0.2</v>
      </c>
      <c r="O70" s="300">
        <v>0.8</v>
      </c>
      <c r="Q70" s="288">
        <v>-2171565.9373266664</v>
      </c>
      <c r="R70" s="289" t="s">
        <v>31</v>
      </c>
      <c r="S70" s="290">
        <v>1</v>
      </c>
      <c r="T70" s="291"/>
      <c r="U70" s="292" t="s">
        <v>31</v>
      </c>
      <c r="V70" s="290">
        <v>0</v>
      </c>
      <c r="W70" s="288">
        <v>0</v>
      </c>
      <c r="Z70" s="301">
        <f>Sheet4!S70-Sheet5!S70</f>
        <v>0</v>
      </c>
      <c r="AA70" s="302">
        <f>Sheet4!S70-Sheet6!S70</f>
        <v>0</v>
      </c>
      <c r="AB70" s="302">
        <f>Sheet5!S70-Sheet6!S70</f>
        <v>0</v>
      </c>
    </row>
    <row r="71" spans="2:28">
      <c r="B71" s="299"/>
      <c r="C71" s="299"/>
      <c r="D71" s="299"/>
      <c r="E71" s="299"/>
      <c r="F71" s="299"/>
      <c r="G71" s="299"/>
      <c r="H71" s="299"/>
      <c r="I71" s="299"/>
      <c r="J71" s="299"/>
      <c r="K71" s="299"/>
      <c r="L71" s="299"/>
      <c r="M71" s="299"/>
      <c r="N71" s="299"/>
      <c r="O71" s="299"/>
      <c r="Q71" s="288">
        <v>-407814.6605517242</v>
      </c>
      <c r="R71" s="293" t="s">
        <v>32</v>
      </c>
      <c r="S71" s="290">
        <v>0.96666666666666667</v>
      </c>
      <c r="T71" s="291"/>
      <c r="U71" s="292" t="s">
        <v>32</v>
      </c>
      <c r="V71" s="290">
        <v>0</v>
      </c>
      <c r="W71" s="288">
        <v>0</v>
      </c>
      <c r="Z71" s="301">
        <f>Sheet4!S71-Sheet5!S71</f>
        <v>0</v>
      </c>
      <c r="AA71" s="302">
        <f>Sheet4!S71-Sheet6!S71</f>
        <v>0</v>
      </c>
      <c r="AB71" s="302">
        <f>Sheet5!S71-Sheet6!S71</f>
        <v>0</v>
      </c>
    </row>
    <row r="72" spans="2:28">
      <c r="B72" s="299"/>
      <c r="C72" s="299"/>
      <c r="D72" s="299"/>
      <c r="E72" s="299"/>
      <c r="F72" s="299"/>
      <c r="G72" s="299"/>
      <c r="H72" s="299"/>
      <c r="I72" s="299"/>
      <c r="J72" s="299"/>
      <c r="K72" s="299"/>
      <c r="L72" s="299"/>
      <c r="M72" s="299"/>
      <c r="N72" s="299"/>
      <c r="O72" s="299"/>
      <c r="Q72" s="288">
        <v>-2068701.6031766667</v>
      </c>
      <c r="R72" s="294" t="s">
        <v>35</v>
      </c>
      <c r="S72" s="290">
        <v>1</v>
      </c>
      <c r="T72" s="291"/>
      <c r="U72" s="292" t="s">
        <v>35</v>
      </c>
      <c r="V72" s="290">
        <v>0</v>
      </c>
      <c r="W72" s="288">
        <v>0</v>
      </c>
      <c r="Z72" s="301">
        <f>Sheet4!S72-Sheet5!S72</f>
        <v>0</v>
      </c>
      <c r="AA72" s="302">
        <f>Sheet4!S72-Sheet6!S72</f>
        <v>0</v>
      </c>
      <c r="AB72" s="302">
        <f>Sheet5!S72-Sheet6!S72</f>
        <v>0</v>
      </c>
    </row>
    <row r="73" spans="2:28">
      <c r="B73" s="299"/>
      <c r="C73" s="299"/>
      <c r="D73" s="299"/>
      <c r="E73" s="299"/>
      <c r="F73" s="299"/>
      <c r="G73" s="299"/>
      <c r="H73" s="299"/>
      <c r="I73" s="299"/>
      <c r="J73" s="299"/>
      <c r="K73" s="299"/>
      <c r="L73" s="299"/>
      <c r="M73" s="299"/>
      <c r="N73" s="299"/>
      <c r="O73" s="299"/>
      <c r="Q73" s="288">
        <v>0</v>
      </c>
      <c r="R73" s="295" t="s">
        <v>72</v>
      </c>
      <c r="S73" s="290">
        <v>0.66666666666666663</v>
      </c>
      <c r="T73" s="291"/>
      <c r="U73" s="292" t="s">
        <v>72</v>
      </c>
      <c r="V73" s="290">
        <v>0</v>
      </c>
      <c r="W73" s="288">
        <v>0</v>
      </c>
      <c r="Z73" s="301">
        <f>Sheet4!S73-Sheet5!S73</f>
        <v>3.6666666666666625E-2</v>
      </c>
      <c r="AA73" s="302">
        <f>Sheet4!S73-Sheet6!S73</f>
        <v>-3.0000000000000027E-2</v>
      </c>
      <c r="AB73" s="302">
        <f>Sheet5!S73-Sheet6!S73</f>
        <v>-6.6666666666666652E-2</v>
      </c>
    </row>
    <row r="74" spans="2:28">
      <c r="B74" s="299"/>
      <c r="C74" s="299"/>
      <c r="D74" s="299"/>
      <c r="E74" s="299"/>
      <c r="F74" s="299"/>
      <c r="G74" s="299"/>
      <c r="H74" s="299"/>
      <c r="I74" s="299"/>
      <c r="J74" s="299"/>
      <c r="K74" s="299"/>
      <c r="L74" s="299"/>
      <c r="M74" s="299"/>
      <c r="N74" s="299"/>
      <c r="O74" s="299"/>
      <c r="Z74" s="301"/>
    </row>
    <row r="75" spans="2:28">
      <c r="B75" s="299">
        <v>100000</v>
      </c>
      <c r="C75" s="299">
        <v>67</v>
      </c>
      <c r="D75" s="299">
        <v>67</v>
      </c>
      <c r="E75" s="299">
        <f>(3750+2475)*12</f>
        <v>74700</v>
      </c>
      <c r="F75" s="299">
        <v>0</v>
      </c>
      <c r="G75" s="299">
        <v>1000000</v>
      </c>
      <c r="H75" s="299">
        <v>0</v>
      </c>
      <c r="I75" s="299">
        <v>30000</v>
      </c>
      <c r="J75" s="300">
        <v>0.3</v>
      </c>
      <c r="K75" s="300">
        <v>0.7</v>
      </c>
      <c r="L75" s="300">
        <v>0.35</v>
      </c>
      <c r="M75" s="300">
        <v>0.65</v>
      </c>
      <c r="N75" s="300">
        <v>0.3</v>
      </c>
      <c r="O75" s="300">
        <v>0.7</v>
      </c>
      <c r="Q75" s="288">
        <v>-2174895.7906899997</v>
      </c>
      <c r="R75" s="289" t="s">
        <v>31</v>
      </c>
      <c r="S75" s="290">
        <v>1</v>
      </c>
      <c r="T75" s="291"/>
      <c r="U75" s="292" t="s">
        <v>31</v>
      </c>
      <c r="V75" s="290">
        <v>0</v>
      </c>
      <c r="W75" s="288">
        <v>0</v>
      </c>
      <c r="Z75" s="301">
        <f>Sheet4!S75-Sheet5!S75</f>
        <v>0</v>
      </c>
      <c r="AA75" s="302">
        <f>Sheet4!S75-Sheet6!S75</f>
        <v>0</v>
      </c>
      <c r="AB75" s="302">
        <f>Sheet5!S75-Sheet6!S75</f>
        <v>0</v>
      </c>
    </row>
    <row r="76" spans="2:28">
      <c r="B76" s="299"/>
      <c r="C76" s="299"/>
      <c r="D76" s="299"/>
      <c r="E76" s="299"/>
      <c r="F76" s="299"/>
      <c r="G76" s="299"/>
      <c r="H76" s="299"/>
      <c r="I76" s="299"/>
      <c r="J76" s="299"/>
      <c r="K76" s="299"/>
      <c r="L76" s="299"/>
      <c r="M76" s="299"/>
      <c r="N76" s="299"/>
      <c r="O76" s="299"/>
      <c r="Q76" s="288">
        <v>-418994.28623571433</v>
      </c>
      <c r="R76" s="293" t="s">
        <v>32</v>
      </c>
      <c r="S76" s="290">
        <v>0.93333333333333335</v>
      </c>
      <c r="T76" s="291"/>
      <c r="U76" s="292" t="s">
        <v>32</v>
      </c>
      <c r="V76" s="290">
        <v>0</v>
      </c>
      <c r="W76" s="288">
        <v>0</v>
      </c>
      <c r="Z76" s="301">
        <f>Sheet4!S76-Sheet5!S76</f>
        <v>9.9999999999999978E-2</v>
      </c>
      <c r="AA76" s="302">
        <f>Sheet4!S76-Sheet6!S76</f>
        <v>0</v>
      </c>
      <c r="AB76" s="302">
        <f>Sheet5!S76-Sheet6!S76</f>
        <v>-9.9999999999999978E-2</v>
      </c>
    </row>
    <row r="77" spans="2:28">
      <c r="B77" s="299"/>
      <c r="C77" s="299"/>
      <c r="D77" s="299"/>
      <c r="E77" s="299"/>
      <c r="F77" s="299"/>
      <c r="G77" s="299"/>
      <c r="H77" s="299"/>
      <c r="I77" s="299"/>
      <c r="J77" s="299"/>
      <c r="K77" s="299"/>
      <c r="L77" s="299"/>
      <c r="M77" s="299"/>
      <c r="N77" s="299"/>
      <c r="O77" s="299"/>
      <c r="Q77" s="288">
        <v>-2062830.5122833329</v>
      </c>
      <c r="R77" s="294" t="s">
        <v>35</v>
      </c>
      <c r="S77" s="290">
        <v>1</v>
      </c>
      <c r="T77" s="291"/>
      <c r="U77" s="292" t="s">
        <v>35</v>
      </c>
      <c r="V77" s="290">
        <v>0</v>
      </c>
      <c r="W77" s="288">
        <v>0</v>
      </c>
      <c r="Z77" s="301">
        <f>Sheet4!S77-Sheet5!S77</f>
        <v>0</v>
      </c>
      <c r="AA77" s="302">
        <f>Sheet4!S77-Sheet6!S77</f>
        <v>0</v>
      </c>
      <c r="AB77" s="302">
        <f>Sheet5!S77-Sheet6!S77</f>
        <v>0</v>
      </c>
    </row>
    <row r="78" spans="2:28">
      <c r="B78" s="299"/>
      <c r="C78" s="299"/>
      <c r="D78" s="299"/>
      <c r="E78" s="299"/>
      <c r="F78" s="299"/>
      <c r="G78" s="299"/>
      <c r="H78" s="299"/>
      <c r="I78" s="299"/>
      <c r="J78" s="299"/>
      <c r="K78" s="299"/>
      <c r="L78" s="299"/>
      <c r="M78" s="299"/>
      <c r="N78" s="299"/>
      <c r="O78" s="299"/>
      <c r="Q78" s="288">
        <v>0</v>
      </c>
      <c r="R78" s="295" t="s">
        <v>72</v>
      </c>
      <c r="S78" s="290">
        <v>0.56666666666666665</v>
      </c>
      <c r="T78" s="291"/>
      <c r="U78" s="292" t="s">
        <v>72</v>
      </c>
      <c r="V78" s="290">
        <v>0.1</v>
      </c>
      <c r="W78" s="288">
        <v>429087.04013333336</v>
      </c>
      <c r="Z78" s="301">
        <f>Sheet4!S78-Sheet5!S78</f>
        <v>0.20333333333333325</v>
      </c>
      <c r="AA78" s="302">
        <f>Sheet4!S78-Sheet6!S78</f>
        <v>3.3333333333332993E-3</v>
      </c>
      <c r="AB78" s="302">
        <f>Sheet5!S78-Sheet6!S78</f>
        <v>-0.19999999999999996</v>
      </c>
    </row>
    <row r="79" spans="2:28">
      <c r="B79" s="299"/>
      <c r="C79" s="299"/>
      <c r="D79" s="299"/>
      <c r="E79" s="299"/>
      <c r="F79" s="299"/>
      <c r="G79" s="299"/>
      <c r="H79" s="299"/>
      <c r="I79" s="299"/>
      <c r="J79" s="299"/>
      <c r="K79" s="299"/>
      <c r="L79" s="299"/>
      <c r="M79" s="299"/>
      <c r="N79" s="299"/>
      <c r="O79" s="299"/>
      <c r="Z79" s="301"/>
    </row>
    <row r="80" spans="2:28">
      <c r="B80" s="299">
        <v>100000</v>
      </c>
      <c r="C80" s="299">
        <v>67</v>
      </c>
      <c r="D80" s="299">
        <v>68</v>
      </c>
      <c r="E80" s="299">
        <f>E70</f>
        <v>79056</v>
      </c>
      <c r="F80" s="299">
        <v>0</v>
      </c>
      <c r="G80" s="299">
        <v>1000000</v>
      </c>
      <c r="H80" s="299">
        <v>0</v>
      </c>
      <c r="I80" s="299">
        <v>30000</v>
      </c>
      <c r="J80" s="300">
        <v>0.3</v>
      </c>
      <c r="K80" s="300">
        <v>0.7</v>
      </c>
      <c r="L80" s="300">
        <v>0.35</v>
      </c>
      <c r="M80" s="300">
        <v>0.65</v>
      </c>
      <c r="N80" s="300">
        <v>0.3</v>
      </c>
      <c r="O80" s="300">
        <v>0.7</v>
      </c>
      <c r="Q80" s="288">
        <v>-2167780.7837233339</v>
      </c>
      <c r="R80" s="289" t="s">
        <v>31</v>
      </c>
      <c r="S80" s="290">
        <v>1</v>
      </c>
      <c r="T80" s="291"/>
      <c r="U80" s="292" t="s">
        <v>31</v>
      </c>
      <c r="V80" s="290">
        <v>0</v>
      </c>
      <c r="W80" s="288">
        <v>0</v>
      </c>
      <c r="Z80" s="301">
        <f>Sheet4!S80-Sheet5!S80</f>
        <v>0</v>
      </c>
      <c r="AA80" s="302">
        <f>Sheet4!S80-Sheet6!S80</f>
        <v>0</v>
      </c>
      <c r="AB80" s="302">
        <f>Sheet5!S80-Sheet6!S80</f>
        <v>0</v>
      </c>
    </row>
    <row r="81" spans="17:28">
      <c r="Q81" s="288">
        <v>-467841.1381310345</v>
      </c>
      <c r="R81" s="293" t="s">
        <v>32</v>
      </c>
      <c r="S81" s="290">
        <v>0.96666666666666667</v>
      </c>
      <c r="T81" s="291"/>
      <c r="U81" s="292" t="s">
        <v>32</v>
      </c>
      <c r="V81" s="290">
        <v>0</v>
      </c>
      <c r="W81" s="288">
        <v>0</v>
      </c>
      <c r="Z81" s="301">
        <f>Sheet4!S81-Sheet5!S81</f>
        <v>0</v>
      </c>
      <c r="AA81" s="302">
        <f>Sheet4!S81-Sheet6!S81</f>
        <v>0</v>
      </c>
      <c r="AB81" s="302">
        <f>Sheet5!S81-Sheet6!S81</f>
        <v>0</v>
      </c>
    </row>
    <row r="82" spans="17:28">
      <c r="Q82" s="288">
        <v>-2063631.2907166667</v>
      </c>
      <c r="R82" s="294" t="s">
        <v>35</v>
      </c>
      <c r="S82" s="290">
        <v>1</v>
      </c>
      <c r="T82" s="291"/>
      <c r="U82" s="292" t="s">
        <v>35</v>
      </c>
      <c r="V82" s="290">
        <v>0</v>
      </c>
      <c r="W82" s="288">
        <v>0</v>
      </c>
      <c r="Z82" s="301">
        <f>Sheet4!S82-Sheet5!S82</f>
        <v>0</v>
      </c>
      <c r="AA82" s="302">
        <f>Sheet4!S82-Sheet6!S82</f>
        <v>0</v>
      </c>
      <c r="AB82" s="302">
        <f>Sheet5!S82-Sheet6!S82</f>
        <v>0</v>
      </c>
    </row>
    <row r="83" spans="17:28">
      <c r="Q83" s="288">
        <v>0</v>
      </c>
      <c r="R83" s="295" t="s">
        <v>72</v>
      </c>
      <c r="S83" s="290">
        <v>0.76666666666666672</v>
      </c>
      <c r="T83" s="291"/>
      <c r="U83" s="292" t="s">
        <v>72</v>
      </c>
      <c r="V83" s="290">
        <v>3.3333333333333333E-2</v>
      </c>
      <c r="W83" s="288">
        <v>417466.83789999998</v>
      </c>
      <c r="Z83" s="301">
        <f>Sheet4!S83-Sheet5!S83</f>
        <v>0.1366666666666666</v>
      </c>
      <c r="AA83" s="302">
        <f>Sheet4!S83-Sheet6!S83</f>
        <v>0.1366666666666666</v>
      </c>
      <c r="AB83" s="30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310</v>
      </c>
    </row>
    <row r="4" spans="2:23" s="10" customFormat="1" ht="39" customHeight="1">
      <c r="B4" t="s">
        <v>294</v>
      </c>
      <c r="C4" s="10" t="s">
        <v>295</v>
      </c>
      <c r="D4" s="10" t="s">
        <v>305</v>
      </c>
      <c r="E4" s="10" t="s">
        <v>22</v>
      </c>
      <c r="F4" s="10" t="s">
        <v>306</v>
      </c>
      <c r="G4" s="10" t="s">
        <v>303</v>
      </c>
      <c r="H4" s="10" t="s">
        <v>14</v>
      </c>
      <c r="I4" s="10" t="s">
        <v>296</v>
      </c>
      <c r="J4" s="10" t="s">
        <v>301</v>
      </c>
      <c r="K4" s="10" t="s">
        <v>302</v>
      </c>
      <c r="L4" s="10" t="s">
        <v>297</v>
      </c>
      <c r="M4" s="10" t="s">
        <v>298</v>
      </c>
      <c r="N4" s="10" t="s">
        <v>299</v>
      </c>
      <c r="O4" s="10" t="s">
        <v>300</v>
      </c>
      <c r="Q4" s="283" t="s">
        <v>41</v>
      </c>
      <c r="R4" s="284" t="s">
        <v>33</v>
      </c>
      <c r="S4" s="285">
        <v>0</v>
      </c>
      <c r="T4" s="286"/>
      <c r="U4" s="284" t="s">
        <v>34</v>
      </c>
      <c r="V4" s="287">
        <v>400000</v>
      </c>
      <c r="W4" s="283" t="s">
        <v>41</v>
      </c>
    </row>
    <row r="5" spans="2:23">
      <c r="B5" s="276">
        <v>70000</v>
      </c>
      <c r="C5" s="276">
        <v>66</v>
      </c>
      <c r="D5" s="276">
        <v>66</v>
      </c>
      <c r="E5" s="276">
        <f>(3750+2475)*12</f>
        <v>74700</v>
      </c>
      <c r="F5" s="276">
        <v>0</v>
      </c>
      <c r="G5" s="276">
        <v>1000000</v>
      </c>
      <c r="H5" s="276">
        <v>0</v>
      </c>
      <c r="I5" s="276">
        <v>30000</v>
      </c>
      <c r="J5" s="296">
        <v>0.3</v>
      </c>
      <c r="K5" s="296">
        <v>0.7</v>
      </c>
      <c r="L5" s="296">
        <v>0.3</v>
      </c>
      <c r="M5" s="296">
        <v>0.7</v>
      </c>
      <c r="N5" s="296">
        <v>0.2</v>
      </c>
      <c r="O5" s="296">
        <v>0.8</v>
      </c>
      <c r="Q5" s="288">
        <v>-1258102.3893500001</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1142290.0634500002</v>
      </c>
    </row>
    <row r="7" spans="2:23">
      <c r="B7" s="276"/>
      <c r="C7" s="276"/>
      <c r="D7" s="276"/>
      <c r="E7" s="276"/>
      <c r="F7" s="276"/>
      <c r="G7" s="276"/>
      <c r="H7" s="276"/>
      <c r="I7" s="276"/>
      <c r="J7" s="276"/>
      <c r="K7" s="276"/>
      <c r="L7" s="276"/>
      <c r="M7" s="276" t="s">
        <v>304</v>
      </c>
      <c r="N7" s="276"/>
      <c r="O7" s="276"/>
      <c r="Q7" s="288">
        <v>-1146257.74606</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1688187.8396399999</v>
      </c>
    </row>
    <row r="9" spans="2:23">
      <c r="B9" s="276"/>
      <c r="C9" s="276"/>
      <c r="D9" s="276"/>
      <c r="E9" s="276"/>
      <c r="F9" s="276"/>
      <c r="G9" s="276"/>
      <c r="H9" s="276"/>
      <c r="I9" s="276"/>
      <c r="J9" s="276"/>
      <c r="K9" s="276"/>
      <c r="L9" s="276"/>
      <c r="M9" s="276"/>
      <c r="N9" s="276"/>
      <c r="O9" s="276"/>
    </row>
    <row r="10" spans="2:23">
      <c r="B10" s="276">
        <v>70000</v>
      </c>
      <c r="C10" s="276">
        <v>66</v>
      </c>
      <c r="D10" s="276">
        <v>68</v>
      </c>
      <c r="E10" s="276">
        <f>(4186+2885)*12</f>
        <v>84852</v>
      </c>
      <c r="F10" s="276">
        <v>0</v>
      </c>
      <c r="G10" s="276">
        <v>1000000</v>
      </c>
      <c r="H10" s="276">
        <v>0</v>
      </c>
      <c r="I10" s="276">
        <v>30000</v>
      </c>
      <c r="J10" s="296">
        <v>0.3</v>
      </c>
      <c r="K10" s="296">
        <v>0.7</v>
      </c>
      <c r="L10" s="296">
        <v>0.3</v>
      </c>
      <c r="M10" s="296">
        <v>0.7</v>
      </c>
      <c r="N10" s="296">
        <v>0.2</v>
      </c>
      <c r="O10" s="296">
        <v>0.8</v>
      </c>
      <c r="Q10" s="288">
        <v>-1246281.1879533331</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1232840.3308600001</v>
      </c>
    </row>
    <row r="12" spans="2:23">
      <c r="B12" s="276"/>
      <c r="C12" s="276"/>
      <c r="D12" s="276"/>
      <c r="E12" s="276"/>
      <c r="F12" s="276"/>
      <c r="G12" s="276"/>
      <c r="H12" s="276"/>
      <c r="I12" s="276"/>
      <c r="J12" s="276"/>
      <c r="K12" s="276"/>
      <c r="L12" s="276"/>
      <c r="M12" s="276"/>
      <c r="N12" s="276"/>
      <c r="O12" s="276"/>
      <c r="Q12" s="288">
        <v>-1137644.7507866668</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1700545.9087999996</v>
      </c>
    </row>
    <row r="14" spans="2:23">
      <c r="B14" s="276"/>
      <c r="C14" s="276"/>
      <c r="D14" s="276"/>
      <c r="E14" s="276"/>
      <c r="F14" s="276"/>
      <c r="G14" s="276"/>
      <c r="H14" s="276"/>
      <c r="I14" s="276"/>
      <c r="J14" s="276"/>
      <c r="K14" s="276"/>
      <c r="L14" s="276"/>
      <c r="M14" s="276"/>
      <c r="N14" s="276"/>
      <c r="O14" s="276"/>
    </row>
    <row r="15" spans="2:23">
      <c r="B15" s="276">
        <v>70000</v>
      </c>
      <c r="C15" s="276">
        <v>66</v>
      </c>
      <c r="D15" s="276">
        <v>66</v>
      </c>
      <c r="E15" s="276">
        <f>(3750+2475)*12</f>
        <v>74700</v>
      </c>
      <c r="F15" s="276">
        <v>0</v>
      </c>
      <c r="G15" s="276">
        <v>1000000</v>
      </c>
      <c r="H15" s="276">
        <v>0</v>
      </c>
      <c r="I15" s="276">
        <v>30000</v>
      </c>
      <c r="J15" s="296">
        <v>0.3</v>
      </c>
      <c r="K15" s="296">
        <v>0.7</v>
      </c>
      <c r="L15" s="296">
        <v>0.35</v>
      </c>
      <c r="M15" s="296">
        <v>0.65</v>
      </c>
      <c r="N15" s="296">
        <v>0.3</v>
      </c>
      <c r="O15" s="296">
        <v>0.7</v>
      </c>
      <c r="Q15" s="288">
        <v>-1304046.0844700001</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0.96666666666666667</v>
      </c>
      <c r="W16" s="288">
        <v>1014219.0445448277</v>
      </c>
    </row>
    <row r="17" spans="2:23">
      <c r="B17" s="276"/>
      <c r="C17" s="276"/>
      <c r="D17" s="276"/>
      <c r="E17" s="276"/>
      <c r="F17" s="276"/>
      <c r="G17" s="276"/>
      <c r="H17" s="276"/>
      <c r="I17" s="276"/>
      <c r="J17" s="276"/>
      <c r="K17" s="276"/>
      <c r="L17" s="276"/>
      <c r="M17" s="276"/>
      <c r="N17" s="276"/>
      <c r="O17" s="276"/>
      <c r="Q17" s="288">
        <v>-1160075.4050033332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1703682.9206466665</v>
      </c>
    </row>
    <row r="19" spans="2:23">
      <c r="B19" s="276"/>
      <c r="C19" s="276"/>
      <c r="D19" s="276"/>
      <c r="E19" s="276"/>
      <c r="F19" s="276"/>
      <c r="G19" s="276"/>
      <c r="H19" s="276"/>
      <c r="I19" s="276"/>
      <c r="J19" s="276"/>
      <c r="K19" s="276"/>
      <c r="L19" s="276"/>
      <c r="M19" s="276"/>
      <c r="N19" s="276"/>
      <c r="O19" s="276"/>
    </row>
    <row r="20" spans="2:23">
      <c r="B20" s="276">
        <v>70000</v>
      </c>
      <c r="C20" s="276">
        <v>66</v>
      </c>
      <c r="D20" s="276">
        <v>68</v>
      </c>
      <c r="E20" s="276">
        <f>E10</f>
        <v>84852</v>
      </c>
      <c r="F20" s="276">
        <v>0</v>
      </c>
      <c r="G20" s="276">
        <v>1000000</v>
      </c>
      <c r="H20" s="276">
        <v>0</v>
      </c>
      <c r="I20" s="276">
        <v>30000</v>
      </c>
      <c r="J20" s="296">
        <v>0.3</v>
      </c>
      <c r="K20" s="296">
        <v>0.7</v>
      </c>
      <c r="L20" s="296">
        <v>0.35</v>
      </c>
      <c r="M20" s="296">
        <v>0.65</v>
      </c>
      <c r="N20" s="296">
        <v>0.3</v>
      </c>
      <c r="O20" s="296">
        <v>0.7</v>
      </c>
      <c r="Q20" s="288">
        <v>-1309270.0260633333</v>
      </c>
      <c r="R20" s="289" t="s">
        <v>31</v>
      </c>
      <c r="S20" s="290">
        <v>1</v>
      </c>
      <c r="T20" s="291"/>
      <c r="U20" s="292" t="s">
        <v>31</v>
      </c>
      <c r="V20" s="290">
        <v>0</v>
      </c>
      <c r="W20" s="288">
        <v>0</v>
      </c>
    </row>
    <row r="21" spans="2:23">
      <c r="Q21" s="288">
        <v>0</v>
      </c>
      <c r="R21" s="293" t="s">
        <v>32</v>
      </c>
      <c r="S21" s="290">
        <v>0</v>
      </c>
      <c r="T21" s="291"/>
      <c r="U21" s="292" t="s">
        <v>32</v>
      </c>
      <c r="V21" s="290">
        <v>1</v>
      </c>
      <c r="W21" s="288">
        <v>1053708.0942033334</v>
      </c>
    </row>
    <row r="22" spans="2:23">
      <c r="Q22" s="288">
        <v>-1168988.0954566668</v>
      </c>
      <c r="R22" s="294" t="s">
        <v>35</v>
      </c>
      <c r="S22" s="290">
        <v>1</v>
      </c>
      <c r="T22" s="291"/>
      <c r="U22" s="292" t="s">
        <v>35</v>
      </c>
      <c r="V22" s="290">
        <v>0</v>
      </c>
      <c r="W22" s="288">
        <v>0</v>
      </c>
    </row>
    <row r="23" spans="2:23">
      <c r="Q23" s="288">
        <v>0</v>
      </c>
      <c r="R23" s="295" t="s">
        <v>72</v>
      </c>
      <c r="S23" s="290">
        <v>0</v>
      </c>
      <c r="T23" s="291"/>
      <c r="U23" s="292" t="s">
        <v>72</v>
      </c>
      <c r="V23" s="290">
        <v>1</v>
      </c>
      <c r="W23" s="288">
        <v>1691487.7179299996</v>
      </c>
    </row>
    <row r="25" spans="2:23">
      <c r="B25" s="276">
        <v>80000</v>
      </c>
      <c r="C25" s="276">
        <v>66</v>
      </c>
      <c r="D25" s="276">
        <v>66</v>
      </c>
      <c r="E25" s="276">
        <f>(3750+2475)*12</f>
        <v>74700</v>
      </c>
      <c r="F25" s="276">
        <v>0</v>
      </c>
      <c r="G25" s="276">
        <v>1000000</v>
      </c>
      <c r="H25" s="276">
        <v>0</v>
      </c>
      <c r="I25" s="276">
        <v>30000</v>
      </c>
      <c r="J25" s="296">
        <v>0.3</v>
      </c>
      <c r="K25" s="296">
        <v>0.7</v>
      </c>
      <c r="L25" s="296">
        <v>0.3</v>
      </c>
      <c r="M25" s="296">
        <v>0.7</v>
      </c>
      <c r="N25" s="296">
        <v>0.2</v>
      </c>
      <c r="O25" s="296">
        <v>0.8</v>
      </c>
      <c r="Q25" s="288">
        <v>-1641516.4390533334</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-116365.42</v>
      </c>
      <c r="R26" s="293" t="s">
        <v>32</v>
      </c>
      <c r="S26" s="290">
        <v>3.3333333333333333E-2</v>
      </c>
      <c r="T26" s="291"/>
      <c r="U26" s="292" t="s">
        <v>32</v>
      </c>
      <c r="V26" s="290">
        <v>0.7</v>
      </c>
      <c r="W26" s="288">
        <v>756564.31224285695</v>
      </c>
    </row>
    <row r="27" spans="2:23">
      <c r="B27" s="276"/>
      <c r="C27" s="276"/>
      <c r="D27" s="276"/>
      <c r="E27" s="276"/>
      <c r="F27" s="276"/>
      <c r="G27" s="276"/>
      <c r="H27" s="276"/>
      <c r="I27" s="276"/>
      <c r="J27" s="276"/>
      <c r="K27" s="276"/>
      <c r="L27" s="276"/>
      <c r="M27" s="276" t="s">
        <v>304</v>
      </c>
      <c r="N27" s="276"/>
      <c r="O27" s="276"/>
      <c r="Q27" s="288">
        <v>-1547392.6755266669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1058666.7958600002</v>
      </c>
    </row>
    <row r="29" spans="2:23">
      <c r="B29" s="276"/>
      <c r="C29" s="276"/>
      <c r="D29" s="276"/>
      <c r="E29" s="276"/>
      <c r="F29" s="276"/>
      <c r="G29" s="276"/>
      <c r="H29" s="276"/>
      <c r="I29" s="276"/>
      <c r="J29" s="276"/>
      <c r="K29" s="276"/>
      <c r="L29" s="276"/>
      <c r="M29" s="276"/>
      <c r="N29" s="276"/>
      <c r="O29" s="276"/>
    </row>
    <row r="30" spans="2:23">
      <c r="B30" s="276">
        <v>80000</v>
      </c>
      <c r="C30" s="276">
        <v>66</v>
      </c>
      <c r="D30" s="276">
        <v>68</v>
      </c>
      <c r="E30" s="276">
        <f>(4186+2885)*12</f>
        <v>84852</v>
      </c>
      <c r="F30" s="276">
        <v>0</v>
      </c>
      <c r="G30" s="276">
        <v>1000000</v>
      </c>
      <c r="H30" s="276">
        <v>0</v>
      </c>
      <c r="I30" s="276">
        <v>30000</v>
      </c>
      <c r="J30" s="296">
        <v>0.3</v>
      </c>
      <c r="K30" s="296">
        <v>0.7</v>
      </c>
      <c r="L30" s="296">
        <v>0.3</v>
      </c>
      <c r="M30" s="296">
        <v>0.7</v>
      </c>
      <c r="N30" s="296">
        <v>0.2</v>
      </c>
      <c r="O30" s="296">
        <v>0.8</v>
      </c>
      <c r="Q30" s="288">
        <v>-1662949.2423066667</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0.66666666666666663</v>
      </c>
      <c r="W31" s="288">
        <v>644015.63401000004</v>
      </c>
    </row>
    <row r="32" spans="2:23">
      <c r="B32" s="276"/>
      <c r="C32" s="276"/>
      <c r="D32" s="276"/>
      <c r="E32" s="276"/>
      <c r="F32" s="276"/>
      <c r="G32" s="276"/>
      <c r="H32" s="276"/>
      <c r="I32" s="276"/>
      <c r="J32" s="276"/>
      <c r="K32" s="276"/>
      <c r="L32" s="276"/>
      <c r="M32" s="276"/>
      <c r="N32" s="276"/>
      <c r="O32" s="276"/>
      <c r="Q32" s="288">
        <v>-1565181.3279533335</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963597.22672333347</v>
      </c>
    </row>
    <row r="34" spans="2:23">
      <c r="B34" s="276"/>
      <c r="C34" s="276"/>
      <c r="D34" s="276"/>
      <c r="E34" s="276"/>
      <c r="F34" s="276"/>
      <c r="G34" s="276"/>
      <c r="H34" s="276"/>
      <c r="I34" s="276"/>
      <c r="J34" s="276"/>
      <c r="K34" s="276"/>
      <c r="L34" s="276"/>
      <c r="M34" s="276"/>
      <c r="N34" s="276"/>
      <c r="O34" s="276"/>
    </row>
    <row r="35" spans="2:23">
      <c r="B35" s="276">
        <v>80000</v>
      </c>
      <c r="C35" s="276">
        <v>66</v>
      </c>
      <c r="D35" s="276">
        <v>66</v>
      </c>
      <c r="E35" s="276">
        <f>(3750+2475)*12</f>
        <v>74700</v>
      </c>
      <c r="F35" s="276">
        <v>0</v>
      </c>
      <c r="G35" s="276">
        <v>1000000</v>
      </c>
      <c r="H35" s="276">
        <v>0</v>
      </c>
      <c r="I35" s="276">
        <v>30000</v>
      </c>
      <c r="J35" s="296">
        <v>0.3</v>
      </c>
      <c r="K35" s="296">
        <v>0.7</v>
      </c>
      <c r="L35" s="296">
        <v>0.35</v>
      </c>
      <c r="M35" s="296">
        <v>0.65</v>
      </c>
      <c r="N35" s="296">
        <v>0.3</v>
      </c>
      <c r="O35" s="296">
        <v>0.7</v>
      </c>
      <c r="Q35" s="288">
        <v>-1667148.8287133335</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-45577.449549999998</v>
      </c>
      <c r="R36" s="293" t="s">
        <v>32</v>
      </c>
      <c r="S36" s="290">
        <v>6.6666666666666666E-2</v>
      </c>
      <c r="T36" s="291"/>
      <c r="U36" s="292" t="s">
        <v>32</v>
      </c>
      <c r="V36" s="290">
        <v>0.6333333333333333</v>
      </c>
      <c r="W36" s="288">
        <v>691951.7083736842</v>
      </c>
    </row>
    <row r="37" spans="2:23">
      <c r="B37" s="276"/>
      <c r="C37" s="276"/>
      <c r="D37" s="276"/>
      <c r="E37" s="276"/>
      <c r="F37" s="276"/>
      <c r="G37" s="276"/>
      <c r="H37" s="276"/>
      <c r="I37" s="276"/>
      <c r="J37" s="276"/>
      <c r="K37" s="276"/>
      <c r="L37" s="276"/>
      <c r="M37" s="276"/>
      <c r="N37" s="276"/>
      <c r="O37" s="276"/>
      <c r="Q37" s="288">
        <v>-1554060.4912633332</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1068778.1810599999</v>
      </c>
    </row>
    <row r="39" spans="2:23">
      <c r="B39" s="276"/>
      <c r="C39" s="276"/>
      <c r="D39" s="276"/>
      <c r="E39" s="276"/>
      <c r="F39" s="276"/>
      <c r="G39" s="276"/>
      <c r="H39" s="276"/>
      <c r="I39" s="276"/>
      <c r="J39" s="276"/>
      <c r="K39" s="276"/>
      <c r="L39" s="276"/>
      <c r="M39" s="276"/>
      <c r="N39" s="276"/>
      <c r="O39" s="276"/>
    </row>
    <row r="40" spans="2:23">
      <c r="B40" s="276">
        <v>80000</v>
      </c>
      <c r="C40" s="276">
        <v>66</v>
      </c>
      <c r="D40" s="276">
        <v>68</v>
      </c>
      <c r="E40" s="276">
        <f>E30</f>
        <v>84852</v>
      </c>
      <c r="F40" s="276">
        <v>0</v>
      </c>
      <c r="G40" s="276">
        <v>1000000</v>
      </c>
      <c r="H40" s="276">
        <v>0</v>
      </c>
      <c r="I40" s="276">
        <v>30000</v>
      </c>
      <c r="J40" s="296">
        <v>0.3</v>
      </c>
      <c r="K40" s="296">
        <v>0.7</v>
      </c>
      <c r="L40" s="296">
        <v>0.35</v>
      </c>
      <c r="M40" s="296">
        <v>0.65</v>
      </c>
      <c r="N40" s="296">
        <v>0.3</v>
      </c>
      <c r="O40" s="296">
        <v>0.7</v>
      </c>
      <c r="Q40" s="288">
        <v>-1644360.6925100002</v>
      </c>
      <c r="R40" s="289" t="s">
        <v>31</v>
      </c>
      <c r="S40" s="290">
        <v>1</v>
      </c>
      <c r="T40" s="291"/>
      <c r="U40" s="292" t="s">
        <v>31</v>
      </c>
      <c r="V40" s="290">
        <v>0</v>
      </c>
      <c r="W40" s="288">
        <v>0</v>
      </c>
    </row>
    <row r="41" spans="2:23">
      <c r="Q41" s="288">
        <v>0</v>
      </c>
      <c r="R41" s="293" t="s">
        <v>32</v>
      </c>
      <c r="S41" s="290">
        <v>0</v>
      </c>
      <c r="T41" s="291"/>
      <c r="U41" s="292" t="s">
        <v>32</v>
      </c>
      <c r="V41" s="290">
        <v>0.6</v>
      </c>
      <c r="W41" s="288">
        <v>682103.05945555563</v>
      </c>
    </row>
    <row r="42" spans="2:23">
      <c r="Q42" s="288">
        <v>-1543316.4475366666</v>
      </c>
      <c r="R42" s="294" t="s">
        <v>35</v>
      </c>
      <c r="S42" s="290">
        <v>1</v>
      </c>
      <c r="T42" s="291"/>
      <c r="U42" s="292" t="s">
        <v>35</v>
      </c>
      <c r="V42" s="290">
        <v>0</v>
      </c>
      <c r="W42" s="288">
        <v>0</v>
      </c>
    </row>
    <row r="43" spans="2:23">
      <c r="Q43" s="288">
        <v>0</v>
      </c>
      <c r="R43" s="295" t="s">
        <v>72</v>
      </c>
      <c r="S43" s="290">
        <v>0</v>
      </c>
      <c r="T43" s="291"/>
      <c r="U43" s="292" t="s">
        <v>72</v>
      </c>
      <c r="V43" s="290">
        <v>1</v>
      </c>
      <c r="W43" s="288">
        <v>1013953.2877366667</v>
      </c>
    </row>
    <row r="45" spans="2:23">
      <c r="B45" s="276">
        <v>90000</v>
      </c>
      <c r="C45" s="276">
        <v>66</v>
      </c>
      <c r="D45" s="276">
        <v>66</v>
      </c>
      <c r="E45" s="276">
        <f>(3750+2475)*12</f>
        <v>74700</v>
      </c>
      <c r="F45" s="276">
        <v>0</v>
      </c>
      <c r="G45" s="276">
        <v>1000000</v>
      </c>
      <c r="H45" s="276">
        <v>0</v>
      </c>
      <c r="I45" s="276">
        <v>30000</v>
      </c>
      <c r="J45" s="296">
        <v>0.3</v>
      </c>
      <c r="K45" s="296">
        <v>0.7</v>
      </c>
      <c r="L45" s="296">
        <v>0.3</v>
      </c>
      <c r="M45" s="296">
        <v>0.7</v>
      </c>
      <c r="N45" s="296">
        <v>0.2</v>
      </c>
      <c r="O45" s="296">
        <v>0.8</v>
      </c>
      <c r="Q45" s="288">
        <v>-2026561.0994599997</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-186447.47495909091</v>
      </c>
      <c r="R46" s="293" t="s">
        <v>32</v>
      </c>
      <c r="S46" s="290">
        <v>0.73333333333333328</v>
      </c>
      <c r="T46" s="291"/>
      <c r="U46" s="292" t="s">
        <v>32</v>
      </c>
      <c r="V46" s="290">
        <v>0</v>
      </c>
      <c r="W46" s="288">
        <v>0</v>
      </c>
    </row>
    <row r="47" spans="2:23">
      <c r="B47" s="276"/>
      <c r="C47" s="276"/>
      <c r="D47" s="276"/>
      <c r="E47" s="276"/>
      <c r="F47" s="276"/>
      <c r="G47" s="276"/>
      <c r="H47" s="276"/>
      <c r="I47" s="276"/>
      <c r="J47" s="276"/>
      <c r="K47" s="276"/>
      <c r="L47" s="276"/>
      <c r="M47" s="276" t="s">
        <v>304</v>
      </c>
      <c r="N47" s="276"/>
      <c r="O47" s="276"/>
      <c r="Q47" s="288">
        <v>-1935523.4182333334</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6.6666666666666666E-2</v>
      </c>
      <c r="T48" s="291"/>
      <c r="U48" s="292" t="s">
        <v>72</v>
      </c>
      <c r="V48" s="290">
        <v>0.23333333333333334</v>
      </c>
      <c r="W48" s="288">
        <v>553885.54552857135</v>
      </c>
    </row>
    <row r="49" spans="2:23">
      <c r="B49" s="276"/>
      <c r="C49" s="276"/>
      <c r="D49" s="276"/>
      <c r="E49" s="276"/>
      <c r="F49" s="276"/>
      <c r="G49" s="276"/>
      <c r="H49" s="276"/>
      <c r="I49" s="276"/>
      <c r="J49" s="276"/>
      <c r="K49" s="276"/>
      <c r="L49" s="276"/>
      <c r="M49" s="276"/>
      <c r="N49" s="276"/>
      <c r="O49" s="276"/>
    </row>
    <row r="50" spans="2:23">
      <c r="B50" s="276">
        <v>90000</v>
      </c>
      <c r="C50" s="276">
        <v>66</v>
      </c>
      <c r="D50" s="276">
        <v>68</v>
      </c>
      <c r="E50" s="276">
        <f>(4186+2885)*12</f>
        <v>84852</v>
      </c>
      <c r="F50" s="276">
        <v>0</v>
      </c>
      <c r="G50" s="276">
        <v>1000000</v>
      </c>
      <c r="H50" s="276">
        <v>0</v>
      </c>
      <c r="I50" s="276">
        <v>30000</v>
      </c>
      <c r="J50" s="296">
        <v>0.3</v>
      </c>
      <c r="K50" s="296">
        <v>0.7</v>
      </c>
      <c r="L50" s="296">
        <v>0.3</v>
      </c>
      <c r="M50" s="296">
        <v>0.7</v>
      </c>
      <c r="N50" s="296">
        <v>0.2</v>
      </c>
      <c r="O50" s="296">
        <v>0.8</v>
      </c>
      <c r="Q50" s="288">
        <v>-2037488.8671933333</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-172090.90106470586</v>
      </c>
      <c r="R51" s="293" t="s">
        <v>32</v>
      </c>
      <c r="S51" s="290">
        <v>0.56666666666666665</v>
      </c>
      <c r="T51" s="291"/>
      <c r="U51" s="292" t="s">
        <v>32</v>
      </c>
      <c r="V51" s="290">
        <v>3.3333333333333333E-2</v>
      </c>
      <c r="W51" s="288">
        <v>442102.71500000003</v>
      </c>
    </row>
    <row r="52" spans="2:23">
      <c r="B52" s="276"/>
      <c r="C52" s="276"/>
      <c r="D52" s="276"/>
      <c r="E52" s="276"/>
      <c r="F52" s="276"/>
      <c r="G52" s="276"/>
      <c r="H52" s="276"/>
      <c r="I52" s="276"/>
      <c r="J52" s="276"/>
      <c r="K52" s="276"/>
      <c r="L52" s="276"/>
      <c r="M52" s="276"/>
      <c r="N52" s="276"/>
      <c r="O52" s="276"/>
      <c r="Q52" s="288">
        <v>-1955005.6502500004</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3.3333333333333333E-2</v>
      </c>
      <c r="T53" s="291"/>
      <c r="U53" s="292" t="s">
        <v>72</v>
      </c>
      <c r="V53" s="290">
        <v>0.23333333333333334</v>
      </c>
      <c r="W53" s="288">
        <v>525796.85427142854</v>
      </c>
    </row>
    <row r="54" spans="2:23">
      <c r="B54" s="276"/>
      <c r="C54" s="276"/>
      <c r="D54" s="276"/>
      <c r="E54" s="276"/>
      <c r="F54" s="276"/>
      <c r="G54" s="276"/>
      <c r="H54" s="276"/>
      <c r="I54" s="276"/>
      <c r="J54" s="276"/>
      <c r="K54" s="276"/>
      <c r="L54" s="276"/>
      <c r="M54" s="276"/>
      <c r="N54" s="276"/>
      <c r="O54" s="276"/>
    </row>
    <row r="55" spans="2:23">
      <c r="B55" s="276">
        <v>90000</v>
      </c>
      <c r="C55" s="276">
        <v>66</v>
      </c>
      <c r="D55" s="276">
        <v>66</v>
      </c>
      <c r="E55" s="276">
        <f>(3750+2475)*12</f>
        <v>74700</v>
      </c>
      <c r="F55" s="276">
        <v>0</v>
      </c>
      <c r="G55" s="276">
        <v>1000000</v>
      </c>
      <c r="H55" s="276">
        <v>0</v>
      </c>
      <c r="I55" s="276">
        <v>30000</v>
      </c>
      <c r="J55" s="296">
        <v>0.3</v>
      </c>
      <c r="K55" s="296">
        <v>0.7</v>
      </c>
      <c r="L55" s="296">
        <v>0.35</v>
      </c>
      <c r="M55" s="296">
        <v>0.65</v>
      </c>
      <c r="N55" s="296">
        <v>0.3</v>
      </c>
      <c r="O55" s="296">
        <v>0.7</v>
      </c>
      <c r="Q55" s="288">
        <v>-2020283.5145933335</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-173812.73153888888</v>
      </c>
      <c r="R56" s="293" t="s">
        <v>32</v>
      </c>
      <c r="S56" s="290">
        <v>0.6</v>
      </c>
      <c r="T56" s="291"/>
      <c r="U56" s="292" t="s">
        <v>32</v>
      </c>
      <c r="V56" s="290">
        <v>0</v>
      </c>
      <c r="W56" s="288">
        <v>0</v>
      </c>
    </row>
    <row r="57" spans="2:23">
      <c r="B57" s="276"/>
      <c r="C57" s="276"/>
      <c r="D57" s="276"/>
      <c r="E57" s="276"/>
      <c r="F57" s="276"/>
      <c r="G57" s="276"/>
      <c r="H57" s="276"/>
      <c r="I57" s="276"/>
      <c r="J57" s="276"/>
      <c r="K57" s="276"/>
      <c r="L57" s="276"/>
      <c r="M57" s="276"/>
      <c r="N57" s="276"/>
      <c r="O57" s="276"/>
      <c r="Q57" s="288">
        <v>-1936734.3985166668</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3.3333333333333333E-2</v>
      </c>
      <c r="T58" s="291"/>
      <c r="U58" s="292" t="s">
        <v>72</v>
      </c>
      <c r="V58" s="290">
        <v>0.43333333333333335</v>
      </c>
      <c r="W58" s="288">
        <v>567574.29065384599</v>
      </c>
    </row>
    <row r="59" spans="2:23">
      <c r="B59" s="276"/>
      <c r="C59" s="276"/>
      <c r="D59" s="276"/>
      <c r="E59" s="276"/>
      <c r="F59" s="276"/>
      <c r="G59" s="276"/>
      <c r="H59" s="276"/>
      <c r="I59" s="276"/>
      <c r="J59" s="276"/>
      <c r="K59" s="276"/>
      <c r="L59" s="276"/>
      <c r="M59" s="276"/>
      <c r="N59" s="276"/>
      <c r="O59" s="276"/>
    </row>
    <row r="60" spans="2:23">
      <c r="B60" s="276">
        <v>90000</v>
      </c>
      <c r="C60" s="276">
        <v>66</v>
      </c>
      <c r="D60" s="276">
        <v>68</v>
      </c>
      <c r="E60" s="276">
        <f>E50</f>
        <v>84852</v>
      </c>
      <c r="F60" s="276">
        <v>0</v>
      </c>
      <c r="G60" s="276">
        <v>1000000</v>
      </c>
      <c r="H60" s="276">
        <v>0</v>
      </c>
      <c r="I60" s="276">
        <v>30000</v>
      </c>
      <c r="J60" s="296">
        <v>0.3</v>
      </c>
      <c r="K60" s="296">
        <v>0.7</v>
      </c>
      <c r="L60" s="296">
        <v>0.35</v>
      </c>
      <c r="M60" s="296">
        <v>0.65</v>
      </c>
      <c r="N60" s="296">
        <v>0.3</v>
      </c>
      <c r="O60" s="296">
        <v>0.7</v>
      </c>
      <c r="Q60" s="288">
        <v>-2045893.6597333332</v>
      </c>
      <c r="R60" s="289" t="s">
        <v>31</v>
      </c>
      <c r="S60" s="290">
        <v>1</v>
      </c>
      <c r="T60" s="291"/>
      <c r="U60" s="292" t="s">
        <v>31</v>
      </c>
      <c r="V60" s="290">
        <v>0</v>
      </c>
      <c r="W60" s="288">
        <v>0</v>
      </c>
    </row>
    <row r="61" spans="2:23">
      <c r="Q61" s="288">
        <v>-161686.11823333331</v>
      </c>
      <c r="R61" s="293" t="s">
        <v>32</v>
      </c>
      <c r="S61" s="290">
        <v>0.8</v>
      </c>
      <c r="T61" s="291"/>
      <c r="U61" s="292" t="s">
        <v>32</v>
      </c>
      <c r="V61" s="290">
        <v>0</v>
      </c>
      <c r="W61" s="288">
        <v>0</v>
      </c>
    </row>
    <row r="62" spans="2:23">
      <c r="Q62" s="288">
        <v>-1945458.6870199998</v>
      </c>
      <c r="R62" s="294" t="s">
        <v>35</v>
      </c>
      <c r="S62" s="290">
        <v>1</v>
      </c>
      <c r="T62" s="291"/>
      <c r="U62" s="292" t="s">
        <v>35</v>
      </c>
      <c r="V62" s="290">
        <v>0</v>
      </c>
      <c r="W62" s="288">
        <v>0</v>
      </c>
    </row>
    <row r="63" spans="2:23">
      <c r="Q63" s="288">
        <v>0</v>
      </c>
      <c r="R63" s="295" t="s">
        <v>72</v>
      </c>
      <c r="S63" s="290">
        <v>3.3333333333333333E-2</v>
      </c>
      <c r="T63" s="291"/>
      <c r="U63" s="292" t="s">
        <v>72</v>
      </c>
      <c r="V63" s="290">
        <v>0.36666666666666664</v>
      </c>
      <c r="W63" s="288">
        <v>504441.13839090912</v>
      </c>
    </row>
    <row r="65" spans="2:26">
      <c r="B65" s="276">
        <v>100000</v>
      </c>
      <c r="C65" s="276">
        <v>66</v>
      </c>
      <c r="D65" s="276">
        <v>66</v>
      </c>
      <c r="E65" s="276">
        <f>(3750+2475)*12</f>
        <v>74700</v>
      </c>
      <c r="F65" s="276">
        <v>0</v>
      </c>
      <c r="G65" s="276">
        <v>1000000</v>
      </c>
      <c r="H65" s="276">
        <v>0</v>
      </c>
      <c r="I65" s="276">
        <v>30000</v>
      </c>
      <c r="J65" s="296">
        <v>0.3</v>
      </c>
      <c r="K65" s="296">
        <v>0.7</v>
      </c>
      <c r="L65" s="296">
        <v>0.3</v>
      </c>
      <c r="M65" s="296">
        <v>0.7</v>
      </c>
      <c r="N65" s="296">
        <v>0.2</v>
      </c>
      <c r="O65" s="296">
        <v>0.8</v>
      </c>
      <c r="Q65" s="288">
        <v>-2356576.3398933336</v>
      </c>
      <c r="R65" s="289" t="s">
        <v>31</v>
      </c>
      <c r="S65" s="290">
        <v>1</v>
      </c>
      <c r="T65" s="291"/>
      <c r="U65" s="292" t="s">
        <v>31</v>
      </c>
      <c r="V65" s="290">
        <v>0</v>
      </c>
      <c r="W65" s="288">
        <v>0</v>
      </c>
    </row>
    <row r="66" spans="2:26">
      <c r="B66" s="276"/>
      <c r="C66" s="276"/>
      <c r="D66" s="276"/>
      <c r="E66" s="276"/>
      <c r="F66" s="276"/>
      <c r="G66" s="276"/>
      <c r="H66" s="276"/>
      <c r="I66" s="276"/>
      <c r="J66" s="276"/>
      <c r="K66" s="276"/>
      <c r="L66" s="276"/>
      <c r="M66" s="276"/>
      <c r="N66" s="276"/>
      <c r="O66" s="276"/>
      <c r="Q66" s="288">
        <v>-549645.79732333345</v>
      </c>
      <c r="R66" s="293" t="s">
        <v>32</v>
      </c>
      <c r="S66" s="290">
        <v>1</v>
      </c>
      <c r="T66" s="291"/>
      <c r="U66" s="292" t="s">
        <v>32</v>
      </c>
      <c r="V66" s="290">
        <v>0</v>
      </c>
      <c r="W66" s="288">
        <v>0</v>
      </c>
    </row>
    <row r="67" spans="2:26">
      <c r="B67" s="276"/>
      <c r="C67" s="276"/>
      <c r="D67" s="276"/>
      <c r="E67" s="276"/>
      <c r="F67" s="276"/>
      <c r="G67" s="276"/>
      <c r="H67" s="276"/>
      <c r="I67" s="276"/>
      <c r="J67" s="276"/>
      <c r="K67" s="276"/>
      <c r="L67" s="276"/>
      <c r="M67" s="276" t="s">
        <v>304</v>
      </c>
      <c r="N67" s="276"/>
      <c r="O67" s="276"/>
      <c r="Q67" s="288">
        <v>-2287763.4753866666</v>
      </c>
      <c r="R67" s="294" t="s">
        <v>35</v>
      </c>
      <c r="S67" s="290">
        <v>1</v>
      </c>
      <c r="T67" s="291"/>
      <c r="U67" s="292" t="s">
        <v>35</v>
      </c>
      <c r="V67" s="290">
        <v>0</v>
      </c>
      <c r="W67" s="288">
        <v>0</v>
      </c>
    </row>
    <row r="68" spans="2:26">
      <c r="B68" s="276"/>
      <c r="C68" s="276"/>
      <c r="D68" s="276"/>
      <c r="E68" s="276"/>
      <c r="F68" s="276"/>
      <c r="G68" s="276"/>
      <c r="H68" s="276"/>
      <c r="I68" s="276"/>
      <c r="J68" s="276"/>
      <c r="K68" s="276"/>
      <c r="L68" s="276"/>
      <c r="M68" s="276"/>
      <c r="N68" s="276"/>
      <c r="O68" s="276"/>
      <c r="Q68" s="288">
        <v>0</v>
      </c>
      <c r="R68" s="295" t="s">
        <v>72</v>
      </c>
      <c r="S68" s="290">
        <v>0.9</v>
      </c>
      <c r="T68" s="291"/>
      <c r="U68" s="292" t="s">
        <v>72</v>
      </c>
      <c r="V68" s="290">
        <v>0</v>
      </c>
      <c r="W68" s="288">
        <v>0</v>
      </c>
    </row>
    <row r="69" spans="2:26">
      <c r="B69" s="276"/>
      <c r="C69" s="276"/>
      <c r="D69" s="276"/>
      <c r="E69" s="276"/>
      <c r="F69" s="276"/>
      <c r="G69" s="276"/>
      <c r="H69" s="276"/>
      <c r="I69" s="276"/>
      <c r="J69" s="276"/>
      <c r="K69" s="276"/>
      <c r="L69" s="276"/>
      <c r="M69" s="276"/>
      <c r="N69" s="276"/>
      <c r="O69" s="276"/>
    </row>
    <row r="70" spans="2:26">
      <c r="B70" s="276">
        <v>100000</v>
      </c>
      <c r="C70" s="276">
        <v>66</v>
      </c>
      <c r="D70" s="276">
        <v>68</v>
      </c>
      <c r="E70" s="276">
        <f>(4186+2885)*12</f>
        <v>84852</v>
      </c>
      <c r="F70" s="276">
        <v>0</v>
      </c>
      <c r="G70" s="276">
        <v>1000000</v>
      </c>
      <c r="H70" s="276">
        <v>0</v>
      </c>
      <c r="I70" s="276">
        <v>30000</v>
      </c>
      <c r="J70" s="296">
        <v>0.3</v>
      </c>
      <c r="K70" s="296">
        <v>0.7</v>
      </c>
      <c r="L70" s="296">
        <v>0.3</v>
      </c>
      <c r="M70" s="296">
        <v>0.7</v>
      </c>
      <c r="N70" s="296">
        <v>0.2</v>
      </c>
      <c r="O70" s="296">
        <v>0.8</v>
      </c>
      <c r="Q70" s="288">
        <v>-2369004.1539433333</v>
      </c>
      <c r="R70" s="289" t="s">
        <v>31</v>
      </c>
      <c r="S70" s="290">
        <v>1</v>
      </c>
      <c r="T70" s="291"/>
      <c r="U70" s="292" t="s">
        <v>31</v>
      </c>
      <c r="V70" s="290">
        <v>0</v>
      </c>
      <c r="W70" s="288">
        <v>0</v>
      </c>
    </row>
    <row r="71" spans="2:26">
      <c r="B71" s="276"/>
      <c r="C71" s="276"/>
      <c r="D71" s="276"/>
      <c r="E71" s="276"/>
      <c r="F71" s="276"/>
      <c r="G71" s="276"/>
      <c r="H71" s="276"/>
      <c r="I71" s="276"/>
      <c r="J71" s="276"/>
      <c r="K71" s="276"/>
      <c r="L71" s="276"/>
      <c r="M71" s="276"/>
      <c r="N71" s="276"/>
      <c r="O71" s="276"/>
      <c r="Q71" s="288">
        <v>-553057.18939333328</v>
      </c>
      <c r="R71" s="293" t="s">
        <v>32</v>
      </c>
      <c r="S71" s="290">
        <v>1</v>
      </c>
      <c r="T71" s="291"/>
      <c r="U71" s="292" t="s">
        <v>32</v>
      </c>
      <c r="V71" s="290">
        <v>0</v>
      </c>
      <c r="W71" s="288">
        <v>0</v>
      </c>
    </row>
    <row r="72" spans="2:26">
      <c r="B72" s="276"/>
      <c r="C72" s="276"/>
      <c r="D72" s="276"/>
      <c r="E72" s="276"/>
      <c r="F72" s="276"/>
      <c r="G72" s="276"/>
      <c r="H72" s="276"/>
      <c r="I72" s="276"/>
      <c r="J72" s="276"/>
      <c r="K72" s="276"/>
      <c r="L72" s="276"/>
      <c r="M72" s="276"/>
      <c r="N72" s="276"/>
      <c r="O72" s="276"/>
      <c r="Q72" s="288">
        <v>-2303587.2786500002</v>
      </c>
      <c r="R72" s="294" t="s">
        <v>35</v>
      </c>
      <c r="S72" s="290">
        <v>1</v>
      </c>
      <c r="T72" s="291"/>
      <c r="U72" s="292" t="s">
        <v>35</v>
      </c>
      <c r="V72" s="290">
        <v>0</v>
      </c>
      <c r="W72" s="288">
        <v>0</v>
      </c>
    </row>
    <row r="73" spans="2:26">
      <c r="B73" s="276"/>
      <c r="C73" s="276"/>
      <c r="D73" s="276"/>
      <c r="E73" s="276"/>
      <c r="F73" s="276"/>
      <c r="G73" s="276"/>
      <c r="H73" s="276"/>
      <c r="I73" s="276"/>
      <c r="J73" s="276"/>
      <c r="K73" s="276"/>
      <c r="L73" s="276"/>
      <c r="M73" s="276"/>
      <c r="N73" s="276"/>
      <c r="O73" s="276"/>
      <c r="Q73" s="288">
        <v>0</v>
      </c>
      <c r="R73" s="295" t="s">
        <v>72</v>
      </c>
      <c r="S73" s="290">
        <v>1</v>
      </c>
      <c r="T73" s="291"/>
      <c r="U73" s="292" t="s">
        <v>72</v>
      </c>
      <c r="V73" s="290">
        <v>0</v>
      </c>
      <c r="W73" s="288">
        <v>0</v>
      </c>
    </row>
    <row r="74" spans="2:26">
      <c r="B74" s="276"/>
      <c r="C74" s="276"/>
      <c r="D74" s="276"/>
      <c r="E74" s="276"/>
      <c r="F74" s="276"/>
      <c r="G74" s="276"/>
      <c r="H74" s="276"/>
      <c r="I74" s="276"/>
      <c r="J74" s="276"/>
      <c r="K74" s="276"/>
      <c r="L74" s="276"/>
      <c r="M74" s="276"/>
      <c r="N74" s="276"/>
      <c r="O74" s="276"/>
    </row>
    <row r="75" spans="2:26">
      <c r="B75" s="276">
        <v>100000</v>
      </c>
      <c r="C75" s="276">
        <v>66</v>
      </c>
      <c r="D75" s="276">
        <v>66</v>
      </c>
      <c r="E75" s="276">
        <f>(3750+2475)*12</f>
        <v>74700</v>
      </c>
      <c r="F75" s="276">
        <v>0</v>
      </c>
      <c r="G75" s="276">
        <v>1000000</v>
      </c>
      <c r="H75" s="276">
        <v>0</v>
      </c>
      <c r="I75" s="276">
        <v>30000</v>
      </c>
      <c r="J75" s="296">
        <v>0.3</v>
      </c>
      <c r="K75" s="296">
        <v>0.7</v>
      </c>
      <c r="L75" s="296">
        <v>0.35</v>
      </c>
      <c r="M75" s="296">
        <v>0.65</v>
      </c>
      <c r="N75" s="296">
        <v>0.3</v>
      </c>
      <c r="O75" s="296">
        <v>0.7</v>
      </c>
      <c r="Q75" s="288">
        <v>-2366691.2681899997</v>
      </c>
      <c r="R75" s="289" t="s">
        <v>31</v>
      </c>
      <c r="S75" s="290">
        <v>1</v>
      </c>
      <c r="T75" s="291"/>
      <c r="U75" s="292" t="s">
        <v>31</v>
      </c>
      <c r="V75" s="290">
        <v>0</v>
      </c>
      <c r="W75" s="288">
        <v>0</v>
      </c>
    </row>
    <row r="76" spans="2:26">
      <c r="B76" s="276"/>
      <c r="C76" s="276"/>
      <c r="D76" s="276"/>
      <c r="E76" s="276"/>
      <c r="F76" s="276"/>
      <c r="G76" s="276"/>
      <c r="H76" s="276"/>
      <c r="I76" s="276"/>
      <c r="J76" s="276"/>
      <c r="K76" s="276"/>
      <c r="L76" s="276"/>
      <c r="M76" s="276"/>
      <c r="N76" s="276"/>
      <c r="O76" s="276"/>
      <c r="Q76" s="288">
        <v>-562183.86505999998</v>
      </c>
      <c r="R76" s="293" t="s">
        <v>32</v>
      </c>
      <c r="S76" s="290">
        <v>1</v>
      </c>
      <c r="T76" s="291"/>
      <c r="U76" s="292" t="s">
        <v>32</v>
      </c>
      <c r="V76" s="290">
        <v>0</v>
      </c>
      <c r="W76" s="288">
        <v>0</v>
      </c>
    </row>
    <row r="77" spans="2:26">
      <c r="B77" s="276"/>
      <c r="C77" s="276"/>
      <c r="D77" s="276"/>
      <c r="E77" s="276"/>
      <c r="F77" s="276"/>
      <c r="G77" s="276"/>
      <c r="H77" s="276"/>
      <c r="I77" s="276"/>
      <c r="J77" s="276"/>
      <c r="K77" s="276"/>
      <c r="L77" s="276"/>
      <c r="M77" s="276"/>
      <c r="N77" s="276"/>
      <c r="O77" s="276"/>
      <c r="Q77" s="288">
        <v>-2290459.8750766665</v>
      </c>
      <c r="R77" s="294" t="s">
        <v>35</v>
      </c>
      <c r="S77" s="290">
        <v>1</v>
      </c>
      <c r="T77" s="291"/>
      <c r="U77" s="292" t="s">
        <v>35</v>
      </c>
      <c r="V77" s="290">
        <v>0</v>
      </c>
      <c r="W77" s="288">
        <v>0</v>
      </c>
    </row>
    <row r="78" spans="2:26">
      <c r="B78" s="276"/>
      <c r="C78" s="276"/>
      <c r="D78" s="276"/>
      <c r="E78" s="276"/>
      <c r="F78" s="276"/>
      <c r="G78" s="276"/>
      <c r="H78" s="276"/>
      <c r="I78" s="276"/>
      <c r="J78" s="276"/>
      <c r="K78" s="276"/>
      <c r="L78" s="276"/>
      <c r="M78" s="276"/>
      <c r="N78" s="276"/>
      <c r="O78" s="276"/>
      <c r="Q78" s="288">
        <v>0</v>
      </c>
      <c r="R78" s="295" t="s">
        <v>72</v>
      </c>
      <c r="S78" s="290">
        <v>0.96666666666666667</v>
      </c>
      <c r="T78" s="291"/>
      <c r="U78" s="292" t="s">
        <v>72</v>
      </c>
      <c r="V78" s="290">
        <v>0</v>
      </c>
      <c r="W78" s="288">
        <v>0</v>
      </c>
    </row>
    <row r="79" spans="2:26">
      <c r="B79" s="276"/>
      <c r="C79" s="276"/>
      <c r="D79" s="276"/>
      <c r="E79" s="276"/>
      <c r="F79" s="276"/>
      <c r="G79" s="276"/>
      <c r="H79" s="276"/>
      <c r="I79" s="276"/>
      <c r="J79" s="276"/>
      <c r="K79" s="276"/>
      <c r="L79" s="276"/>
      <c r="M79" s="276"/>
      <c r="N79" s="276"/>
      <c r="O79" s="276"/>
    </row>
    <row r="80" spans="2:26">
      <c r="B80" s="276">
        <v>100000</v>
      </c>
      <c r="C80" s="276">
        <v>66</v>
      </c>
      <c r="D80" s="276">
        <v>68</v>
      </c>
      <c r="E80" s="276">
        <f>E70</f>
        <v>84852</v>
      </c>
      <c r="F80" s="276">
        <v>0</v>
      </c>
      <c r="G80" s="276">
        <v>1000000</v>
      </c>
      <c r="H80" s="276">
        <v>0</v>
      </c>
      <c r="I80" s="276">
        <v>30000</v>
      </c>
      <c r="J80" s="296">
        <v>0.3</v>
      </c>
      <c r="K80" s="296">
        <v>0.7</v>
      </c>
      <c r="L80" s="296">
        <v>0.35</v>
      </c>
      <c r="M80" s="296">
        <v>0.65</v>
      </c>
      <c r="N80" s="296">
        <v>0.3</v>
      </c>
      <c r="O80" s="296">
        <v>0.7</v>
      </c>
      <c r="Q80" s="288">
        <v>-2333264.3716100003</v>
      </c>
      <c r="R80" s="289" t="s">
        <v>31</v>
      </c>
      <c r="S80" s="290">
        <v>1</v>
      </c>
      <c r="T80" s="291"/>
      <c r="U80" s="292" t="s">
        <v>31</v>
      </c>
      <c r="V80" s="290">
        <v>0</v>
      </c>
      <c r="W80" s="288">
        <v>0</v>
      </c>
      <c r="Z80" t="s">
        <v>307</v>
      </c>
    </row>
    <row r="81" spans="17:23">
      <c r="Q81" s="288">
        <v>-509133.55068666674</v>
      </c>
      <c r="R81" s="293" t="s">
        <v>32</v>
      </c>
      <c r="S81" s="290">
        <v>1</v>
      </c>
      <c r="T81" s="291"/>
      <c r="U81" s="292" t="s">
        <v>32</v>
      </c>
      <c r="V81" s="290">
        <v>0</v>
      </c>
      <c r="W81" s="288">
        <v>0</v>
      </c>
    </row>
    <row r="82" spans="17:23">
      <c r="Q82" s="288">
        <v>-2261138.574763333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309</v>
      </c>
    </row>
    <row r="4" spans="2:23" s="10" customFormat="1" ht="39" customHeight="1">
      <c r="B4" t="s">
        <v>294</v>
      </c>
      <c r="C4" s="10" t="s">
        <v>295</v>
      </c>
      <c r="D4" s="10" t="s">
        <v>305</v>
      </c>
      <c r="E4" s="10" t="s">
        <v>22</v>
      </c>
      <c r="F4" s="10" t="s">
        <v>306</v>
      </c>
      <c r="G4" s="10" t="s">
        <v>303</v>
      </c>
      <c r="H4" s="10" t="s">
        <v>14</v>
      </c>
      <c r="I4" s="10" t="s">
        <v>296</v>
      </c>
      <c r="J4" s="10" t="s">
        <v>301</v>
      </c>
      <c r="K4" s="10" t="s">
        <v>302</v>
      </c>
      <c r="L4" s="10" t="s">
        <v>297</v>
      </c>
      <c r="M4" s="10" t="s">
        <v>298</v>
      </c>
      <c r="N4" s="10" t="s">
        <v>299</v>
      </c>
      <c r="O4" s="10" t="s">
        <v>300</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-1121850.8419033333</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1309837.5051333334</v>
      </c>
    </row>
    <row r="7" spans="2:23">
      <c r="B7" s="276"/>
      <c r="C7" s="276"/>
      <c r="D7" s="276"/>
      <c r="E7" s="276"/>
      <c r="F7" s="276"/>
      <c r="G7" s="276"/>
      <c r="H7" s="276"/>
      <c r="I7" s="276"/>
      <c r="J7" s="276"/>
      <c r="K7" s="276"/>
      <c r="L7" s="276"/>
      <c r="M7" s="276" t="s">
        <v>304</v>
      </c>
      <c r="N7" s="276"/>
      <c r="O7" s="276"/>
      <c r="Q7" s="288">
        <v>-1008829.2740800002</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1830503.4869466673</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-1168620.7213099999</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1194144.8671800003</v>
      </c>
    </row>
    <row r="12" spans="2:23">
      <c r="B12" s="276"/>
      <c r="C12" s="276"/>
      <c r="D12" s="276"/>
      <c r="E12" s="276"/>
      <c r="F12" s="276"/>
      <c r="G12" s="276"/>
      <c r="H12" s="276"/>
      <c r="I12" s="276"/>
      <c r="J12" s="276"/>
      <c r="K12" s="276"/>
      <c r="L12" s="276"/>
      <c r="M12" s="276"/>
      <c r="N12" s="276"/>
      <c r="O12" s="276"/>
      <c r="Q12" s="288">
        <v>-1051011.9751433332</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1679757.4651300001</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-1149136.3640566666</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1</v>
      </c>
      <c r="W16" s="288">
        <v>1155725.3138299999</v>
      </c>
    </row>
    <row r="17" spans="2:23">
      <c r="B17" s="276"/>
      <c r="C17" s="276"/>
      <c r="D17" s="276"/>
      <c r="E17" s="276"/>
      <c r="F17" s="276"/>
      <c r="G17" s="276"/>
      <c r="H17" s="276"/>
      <c r="I17" s="276"/>
      <c r="J17" s="276"/>
      <c r="K17" s="276"/>
      <c r="L17" s="276"/>
      <c r="M17" s="276"/>
      <c r="N17" s="276"/>
      <c r="O17" s="276"/>
      <c r="Q17" s="288">
        <v>-1023061.9894466666</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1762667.8292266664</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-1148893.6820366667</v>
      </c>
      <c r="R20" s="289" t="s">
        <v>31</v>
      </c>
      <c r="S20" s="290">
        <v>1</v>
      </c>
      <c r="T20" s="291"/>
      <c r="U20" s="292" t="s">
        <v>31</v>
      </c>
      <c r="V20" s="290">
        <v>0</v>
      </c>
      <c r="W20" s="288">
        <v>0</v>
      </c>
    </row>
    <row r="21" spans="2:23">
      <c r="Q21" s="288">
        <v>0</v>
      </c>
      <c r="R21" s="293" t="s">
        <v>32</v>
      </c>
      <c r="S21" s="290">
        <v>0</v>
      </c>
      <c r="T21" s="291"/>
      <c r="U21" s="292" t="s">
        <v>32</v>
      </c>
      <c r="V21" s="290">
        <v>1</v>
      </c>
      <c r="W21" s="288">
        <v>1196493.8725266668</v>
      </c>
    </row>
    <row r="22" spans="2:23">
      <c r="Q22" s="288">
        <v>-1017905.0218266669</v>
      </c>
      <c r="R22" s="294" t="s">
        <v>35</v>
      </c>
      <c r="S22" s="290">
        <v>1</v>
      </c>
      <c r="T22" s="291"/>
      <c r="U22" s="292" t="s">
        <v>35</v>
      </c>
      <c r="V22" s="290">
        <v>0</v>
      </c>
      <c r="W22" s="288">
        <v>0</v>
      </c>
    </row>
    <row r="23" spans="2:23">
      <c r="Q23" s="288">
        <v>0</v>
      </c>
      <c r="R23" s="295" t="s">
        <v>72</v>
      </c>
      <c r="S23" s="290">
        <v>0</v>
      </c>
      <c r="T23" s="291"/>
      <c r="U23" s="292" t="s">
        <v>72</v>
      </c>
      <c r="V23" s="290">
        <v>1</v>
      </c>
      <c r="W23" s="288">
        <v>1798905.0474866671</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-1503508.7406133336</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0.8666666666666667</v>
      </c>
      <c r="W26" s="288">
        <v>756655.57883846154</v>
      </c>
    </row>
    <row r="27" spans="2:23">
      <c r="B27" s="276"/>
      <c r="C27" s="276"/>
      <c r="D27" s="276"/>
      <c r="E27" s="276"/>
      <c r="F27" s="276"/>
      <c r="G27" s="276"/>
      <c r="H27" s="276"/>
      <c r="I27" s="276"/>
      <c r="J27" s="276"/>
      <c r="K27" s="276"/>
      <c r="L27" s="276"/>
      <c r="M27" s="276" t="s">
        <v>304</v>
      </c>
      <c r="N27" s="276"/>
      <c r="O27" s="276"/>
      <c r="Q27" s="288">
        <v>-1405015.8152399999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1128448.40172</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-1492137.922</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0.83333333333333337</v>
      </c>
      <c r="W31" s="288">
        <v>752867.15348800004</v>
      </c>
    </row>
    <row r="32" spans="2:23">
      <c r="B32" s="276"/>
      <c r="C32" s="276"/>
      <c r="D32" s="276"/>
      <c r="E32" s="276"/>
      <c r="F32" s="276"/>
      <c r="G32" s="276"/>
      <c r="H32" s="276"/>
      <c r="I32" s="276"/>
      <c r="J32" s="276"/>
      <c r="K32" s="276"/>
      <c r="L32" s="276"/>
      <c r="M32" s="276"/>
      <c r="N32" s="276"/>
      <c r="O32" s="276"/>
      <c r="Q32" s="288">
        <v>-1406794.56498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1077583.3313499999</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-1487223.1721299998</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v>
      </c>
      <c r="W36" s="288">
        <v>787071.43295416655</v>
      </c>
    </row>
    <row r="37" spans="2:23">
      <c r="B37" s="276"/>
      <c r="C37" s="276"/>
      <c r="D37" s="276"/>
      <c r="E37" s="276"/>
      <c r="F37" s="276"/>
      <c r="G37" s="276"/>
      <c r="H37" s="276"/>
      <c r="I37" s="276"/>
      <c r="J37" s="276"/>
      <c r="K37" s="276"/>
      <c r="L37" s="276"/>
      <c r="M37" s="276"/>
      <c r="N37" s="276"/>
      <c r="O37" s="276"/>
      <c r="Q37" s="288">
        <v>-1383190.0143466666</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1210213.7011400003</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-1506518.81972</v>
      </c>
      <c r="R40" s="289" t="s">
        <v>31</v>
      </c>
      <c r="S40" s="290">
        <v>1</v>
      </c>
      <c r="T40" s="291"/>
      <c r="U40" s="292" t="s">
        <v>31</v>
      </c>
      <c r="V40" s="290">
        <v>0</v>
      </c>
      <c r="W40" s="288">
        <v>0</v>
      </c>
    </row>
    <row r="41" spans="2:23">
      <c r="Q41" s="288">
        <v>0</v>
      </c>
      <c r="R41" s="293" t="s">
        <v>32</v>
      </c>
      <c r="S41" s="290">
        <v>0</v>
      </c>
      <c r="T41" s="291"/>
      <c r="U41" s="292" t="s">
        <v>32</v>
      </c>
      <c r="V41" s="290">
        <v>0.73333333333333328</v>
      </c>
      <c r="W41" s="288">
        <v>727029.02835909103</v>
      </c>
    </row>
    <row r="42" spans="2:23">
      <c r="Q42" s="288">
        <v>-1403902.0543266663</v>
      </c>
      <c r="R42" s="294" t="s">
        <v>35</v>
      </c>
      <c r="S42" s="290">
        <v>1</v>
      </c>
      <c r="T42" s="291"/>
      <c r="U42" s="292" t="s">
        <v>35</v>
      </c>
      <c r="V42" s="290">
        <v>0</v>
      </c>
      <c r="W42" s="288">
        <v>0</v>
      </c>
    </row>
    <row r="43" spans="2:23">
      <c r="Q43" s="288">
        <v>0</v>
      </c>
      <c r="R43" s="295" t="s">
        <v>72</v>
      </c>
      <c r="S43" s="290">
        <v>0</v>
      </c>
      <c r="T43" s="291"/>
      <c r="U43" s="292" t="s">
        <v>72</v>
      </c>
      <c r="V43" s="290">
        <v>1</v>
      </c>
      <c r="W43" s="288">
        <v>1159770.5963966667</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-1877711.4305533331</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-193821.10639166669</v>
      </c>
      <c r="R46" s="293" t="s">
        <v>32</v>
      </c>
      <c r="S46" s="290">
        <v>0.4</v>
      </c>
      <c r="T46" s="291"/>
      <c r="U46" s="292" t="s">
        <v>32</v>
      </c>
      <c r="V46" s="290">
        <v>0.13333333333333333</v>
      </c>
      <c r="W46" s="288">
        <v>535461.00232500001</v>
      </c>
    </row>
    <row r="47" spans="2:23">
      <c r="B47" s="276"/>
      <c r="C47" s="276"/>
      <c r="D47" s="276"/>
      <c r="E47" s="276"/>
      <c r="F47" s="276"/>
      <c r="G47" s="276"/>
      <c r="H47" s="276"/>
      <c r="I47" s="276"/>
      <c r="J47" s="276"/>
      <c r="K47" s="276"/>
      <c r="L47" s="276"/>
      <c r="M47" s="276" t="s">
        <v>304</v>
      </c>
      <c r="N47" s="276"/>
      <c r="O47" s="276"/>
      <c r="Q47" s="288">
        <v>-1787862.50982</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v>
      </c>
      <c r="T48" s="291"/>
      <c r="U48" s="292" t="s">
        <v>72</v>
      </c>
      <c r="V48" s="290">
        <v>0.6</v>
      </c>
      <c r="W48" s="288">
        <v>625699.83072222222</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-1826884.2955333332</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-156308.46524444444</v>
      </c>
      <c r="R51" s="293" t="s">
        <v>32</v>
      </c>
      <c r="S51" s="290">
        <v>0.3</v>
      </c>
      <c r="T51" s="291"/>
      <c r="U51" s="292" t="s">
        <v>32</v>
      </c>
      <c r="V51" s="290">
        <v>3.3333333333333333E-2</v>
      </c>
      <c r="W51" s="288">
        <v>562861.43590000004</v>
      </c>
    </row>
    <row r="52" spans="2:23">
      <c r="B52" s="276"/>
      <c r="C52" s="276"/>
      <c r="D52" s="276"/>
      <c r="E52" s="276"/>
      <c r="F52" s="276"/>
      <c r="G52" s="276"/>
      <c r="H52" s="276"/>
      <c r="I52" s="276"/>
      <c r="J52" s="276"/>
      <c r="K52" s="276"/>
      <c r="L52" s="276"/>
      <c r="M52" s="276"/>
      <c r="N52" s="276"/>
      <c r="O52" s="276"/>
      <c r="Q52" s="288">
        <v>-1751956.2252633336</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0.6333333333333333</v>
      </c>
      <c r="W53" s="288">
        <v>587781.83496842103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-1803536.1285899999</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-204715.16354999997</v>
      </c>
      <c r="R56" s="293" t="s">
        <v>32</v>
      </c>
      <c r="S56" s="290">
        <v>0.2</v>
      </c>
      <c r="T56" s="291"/>
      <c r="U56" s="292" t="s">
        <v>32</v>
      </c>
      <c r="V56" s="290">
        <v>0.16666666666666666</v>
      </c>
      <c r="W56" s="288">
        <v>586986.34054</v>
      </c>
    </row>
    <row r="57" spans="2:23">
      <c r="B57" s="276"/>
      <c r="C57" s="276"/>
      <c r="D57" s="276"/>
      <c r="E57" s="276"/>
      <c r="F57" s="276"/>
      <c r="G57" s="276"/>
      <c r="H57" s="276"/>
      <c r="I57" s="276"/>
      <c r="J57" s="276"/>
      <c r="K57" s="276"/>
      <c r="L57" s="276"/>
      <c r="M57" s="276"/>
      <c r="N57" s="276"/>
      <c r="O57" s="276"/>
      <c r="Q57" s="288">
        <v>-1719414.3753499999</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v>
      </c>
      <c r="T58" s="291"/>
      <c r="U58" s="292" t="s">
        <v>72</v>
      </c>
      <c r="V58" s="290">
        <v>0.83333333333333337</v>
      </c>
      <c r="W58" s="288">
        <v>712518.95672800008</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-1843606.3159833329</v>
      </c>
      <c r="R60" s="289" t="s">
        <v>31</v>
      </c>
      <c r="S60" s="290">
        <v>1</v>
      </c>
      <c r="T60" s="291"/>
      <c r="U60" s="292" t="s">
        <v>31</v>
      </c>
      <c r="V60" s="290">
        <v>0</v>
      </c>
      <c r="W60" s="288">
        <v>0</v>
      </c>
    </row>
    <row r="61" spans="2:23">
      <c r="Q61" s="288">
        <v>-126422.23974615383</v>
      </c>
      <c r="R61" s="293" t="s">
        <v>32</v>
      </c>
      <c r="S61" s="290">
        <v>0.43333333333333335</v>
      </c>
      <c r="T61" s="291"/>
      <c r="U61" s="292" t="s">
        <v>32</v>
      </c>
      <c r="V61" s="290">
        <v>6.6666666666666666E-2</v>
      </c>
      <c r="W61" s="288">
        <v>483976.24860000005</v>
      </c>
    </row>
    <row r="62" spans="2:23">
      <c r="Q62" s="288">
        <v>-1753990.9786433331</v>
      </c>
      <c r="R62" s="294" t="s">
        <v>35</v>
      </c>
      <c r="S62" s="290">
        <v>1</v>
      </c>
      <c r="T62" s="291"/>
      <c r="U62" s="292" t="s">
        <v>35</v>
      </c>
      <c r="V62" s="290">
        <v>0</v>
      </c>
      <c r="W62" s="288">
        <v>0</v>
      </c>
    </row>
    <row r="63" spans="2:23">
      <c r="Q63" s="288">
        <v>0</v>
      </c>
      <c r="R63" s="295" t="s">
        <v>72</v>
      </c>
      <c r="S63" s="290">
        <v>0</v>
      </c>
      <c r="T63" s="291"/>
      <c r="U63" s="292" t="s">
        <v>72</v>
      </c>
      <c r="V63" s="290">
        <v>0.66666666666666663</v>
      </c>
      <c r="W63" s="288">
        <v>613362.44292499998</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-2184092.4594633337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-362577.16796333337</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304</v>
      </c>
      <c r="N67" s="276"/>
      <c r="O67" s="276"/>
      <c r="Q67" s="288">
        <v>-2113608.5038000001</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0.73333333333333328</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-2206481.3234766666</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-439631.54962666676</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-2134664.6626900001</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0.93333333333333335</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-2178543.8688466665</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-425656.92560370377</v>
      </c>
      <c r="R76" s="293" t="s">
        <v>32</v>
      </c>
      <c r="S76" s="290">
        <v>0.9</v>
      </c>
      <c r="T76" s="291"/>
      <c r="U76" s="292" t="s">
        <v>32</v>
      </c>
      <c r="V76" s="290">
        <v>0</v>
      </c>
      <c r="W76" s="288">
        <v>0</v>
      </c>
    </row>
    <row r="77" spans="2:23">
      <c r="B77" s="276"/>
      <c r="C77" s="276"/>
      <c r="D77" s="276"/>
      <c r="E77" s="276"/>
      <c r="F77" s="276"/>
      <c r="G77" s="276"/>
      <c r="H77" s="276"/>
      <c r="I77" s="276"/>
      <c r="J77" s="276"/>
      <c r="K77" s="276"/>
      <c r="L77" s="276"/>
      <c r="M77" s="276"/>
      <c r="N77" s="276"/>
      <c r="O77" s="276"/>
      <c r="Q77" s="288">
        <v>-2107468.8901800001</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0.76666666666666672</v>
      </c>
      <c r="T78" s="291"/>
      <c r="U78" s="292" t="s">
        <v>72</v>
      </c>
      <c r="V78" s="290">
        <v>6.6666666666666666E-2</v>
      </c>
      <c r="W78" s="288">
        <v>491659.46724999999</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-2212330.1771966671</v>
      </c>
      <c r="R80" s="289" t="s">
        <v>31</v>
      </c>
      <c r="S80" s="290">
        <v>1</v>
      </c>
      <c r="T80" s="291"/>
      <c r="U80" s="292" t="s">
        <v>31</v>
      </c>
      <c r="V80" s="290">
        <v>0</v>
      </c>
      <c r="W80" s="288">
        <v>0</v>
      </c>
    </row>
    <row r="81" spans="17:23">
      <c r="Q81" s="288">
        <v>-448158.23773666663</v>
      </c>
      <c r="R81" s="293" t="s">
        <v>32</v>
      </c>
      <c r="S81" s="290">
        <v>1</v>
      </c>
      <c r="T81" s="291"/>
      <c r="U81" s="292" t="s">
        <v>32</v>
      </c>
      <c r="V81" s="290">
        <v>0</v>
      </c>
      <c r="W81" s="288">
        <v>0</v>
      </c>
    </row>
    <row r="82" spans="17:23">
      <c r="Q82" s="288">
        <v>-2122638.4387766663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308</v>
      </c>
    </row>
    <row r="4" spans="2:23" s="10" customFormat="1" ht="39" customHeight="1">
      <c r="B4" t="s">
        <v>294</v>
      </c>
      <c r="C4" s="10" t="s">
        <v>295</v>
      </c>
      <c r="D4" s="10" t="s">
        <v>305</v>
      </c>
      <c r="E4" s="10" t="s">
        <v>22</v>
      </c>
      <c r="F4" s="10" t="s">
        <v>306</v>
      </c>
      <c r="G4" s="10" t="s">
        <v>303</v>
      </c>
      <c r="H4" s="10" t="s">
        <v>14</v>
      </c>
      <c r="I4" s="10" t="s">
        <v>296</v>
      </c>
      <c r="J4" s="10" t="s">
        <v>301</v>
      </c>
      <c r="K4" s="10" t="s">
        <v>302</v>
      </c>
      <c r="L4" s="10" t="s">
        <v>297</v>
      </c>
      <c r="M4" s="10" t="s">
        <v>298</v>
      </c>
      <c r="N4" s="10" t="s">
        <v>299</v>
      </c>
      <c r="O4" s="10" t="s">
        <v>300</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-1492458.0977950008</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1391111.1203190004</v>
      </c>
    </row>
    <row r="7" spans="2:23">
      <c r="B7" s="276"/>
      <c r="C7" s="276"/>
      <c r="D7" s="276"/>
      <c r="E7" s="276"/>
      <c r="F7" s="276"/>
      <c r="G7" s="276"/>
      <c r="H7" s="276"/>
      <c r="I7" s="276"/>
      <c r="J7" s="276"/>
      <c r="K7" s="276"/>
      <c r="L7" s="276"/>
      <c r="M7" s="276" t="s">
        <v>304</v>
      </c>
      <c r="N7" s="276"/>
      <c r="O7" s="276"/>
      <c r="Q7" s="288">
        <v>-1381714.6791599998</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1911778.5131949997</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-1507342.9288230005</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1373754.9705159997</v>
      </c>
    </row>
    <row r="12" spans="2:23">
      <c r="B12" s="276"/>
      <c r="C12" s="276"/>
      <c r="D12" s="276"/>
      <c r="E12" s="276"/>
      <c r="F12" s="276"/>
      <c r="G12" s="276"/>
      <c r="H12" s="276"/>
      <c r="I12" s="276"/>
      <c r="J12" s="276"/>
      <c r="K12" s="276"/>
      <c r="L12" s="276"/>
      <c r="M12" s="276"/>
      <c r="N12" s="276"/>
      <c r="O12" s="276"/>
      <c r="Q12" s="288">
        <v>-1393107.4456309995</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1888938.9028130004</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-1537427.6055759997</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0.99</v>
      </c>
      <c r="W16" s="288">
        <v>1240069.7727858589</v>
      </c>
    </row>
    <row r="17" spans="2:23">
      <c r="B17" s="276"/>
      <c r="C17" s="276"/>
      <c r="D17" s="276"/>
      <c r="E17" s="276"/>
      <c r="F17" s="276"/>
      <c r="G17" s="276"/>
      <c r="H17" s="276"/>
      <c r="I17" s="276"/>
      <c r="J17" s="276"/>
      <c r="K17" s="276"/>
      <c r="L17" s="276"/>
      <c r="M17" s="276"/>
      <c r="N17" s="276"/>
      <c r="O17" s="276"/>
      <c r="Q17" s="288">
        <v>-1403072.9609130002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1908086.8781560012</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-1526901.7913079998</v>
      </c>
      <c r="R20" s="289" t="s">
        <v>31</v>
      </c>
      <c r="S20" s="290">
        <v>1</v>
      </c>
      <c r="T20" s="291"/>
      <c r="U20" s="292" t="s">
        <v>31</v>
      </c>
      <c r="V20" s="290">
        <v>0</v>
      </c>
      <c r="W20" s="288">
        <v>0</v>
      </c>
    </row>
    <row r="21" spans="2:23">
      <c r="Q21" s="288">
        <v>0</v>
      </c>
      <c r="R21" s="293" t="s">
        <v>32</v>
      </c>
      <c r="S21" s="290">
        <v>0</v>
      </c>
      <c r="T21" s="291"/>
      <c r="U21" s="292" t="s">
        <v>32</v>
      </c>
      <c r="V21" s="290">
        <v>1</v>
      </c>
      <c r="W21" s="288">
        <v>1299501.6926300002</v>
      </c>
    </row>
    <row r="22" spans="2:23">
      <c r="Q22" s="288">
        <v>-1392916.2478469997</v>
      </c>
      <c r="R22" s="294" t="s">
        <v>35</v>
      </c>
      <c r="S22" s="290">
        <v>1</v>
      </c>
      <c r="T22" s="291"/>
      <c r="U22" s="292" t="s">
        <v>35</v>
      </c>
      <c r="V22" s="290">
        <v>0</v>
      </c>
      <c r="W22" s="288">
        <v>0</v>
      </c>
    </row>
    <row r="23" spans="2:23">
      <c r="Q23" s="288">
        <v>0</v>
      </c>
      <c r="R23" s="295" t="s">
        <v>72</v>
      </c>
      <c r="S23" s="290">
        <v>0</v>
      </c>
      <c r="T23" s="291"/>
      <c r="U23" s="292" t="s">
        <v>72</v>
      </c>
      <c r="V23" s="290">
        <v>1</v>
      </c>
      <c r="W23" s="288">
        <v>1946014.9095270003</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-1923092.8710269995</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0.87</v>
      </c>
      <c r="W26" s="288">
        <v>725629.72154942504</v>
      </c>
    </row>
    <row r="27" spans="2:23">
      <c r="B27" s="276"/>
      <c r="C27" s="276"/>
      <c r="D27" s="276"/>
      <c r="E27" s="276"/>
      <c r="F27" s="276"/>
      <c r="G27" s="276"/>
      <c r="H27" s="276"/>
      <c r="I27" s="276"/>
      <c r="J27" s="276"/>
      <c r="K27" s="276"/>
      <c r="L27" s="276"/>
      <c r="M27" s="276" t="s">
        <v>304</v>
      </c>
      <c r="N27" s="276"/>
      <c r="O27" s="276"/>
      <c r="Q27" s="288">
        <v>-1834037.3520050002</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1101284.3974549999</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-1914664.1205979993</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0.93</v>
      </c>
      <c r="W31" s="288">
        <v>709687.73999354825</v>
      </c>
    </row>
    <row r="32" spans="2:23">
      <c r="B32" s="276"/>
      <c r="C32" s="276"/>
      <c r="D32" s="276"/>
      <c r="E32" s="276"/>
      <c r="F32" s="276"/>
      <c r="G32" s="276"/>
      <c r="H32" s="276"/>
      <c r="I32" s="276"/>
      <c r="J32" s="276"/>
      <c r="K32" s="276"/>
      <c r="L32" s="276"/>
      <c r="M32" s="276"/>
      <c r="N32" s="276"/>
      <c r="O32" s="276"/>
      <c r="Q32" s="288">
        <v>-1821565.0455680008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1131636.3309089998</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-1921822.426069</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0.83</v>
      </c>
      <c r="W36" s="288">
        <v>707858.38772289164</v>
      </c>
    </row>
    <row r="37" spans="2:23">
      <c r="B37" s="276"/>
      <c r="C37" s="276"/>
      <c r="D37" s="276"/>
      <c r="E37" s="276"/>
      <c r="F37" s="276"/>
      <c r="G37" s="276"/>
      <c r="H37" s="276"/>
      <c r="I37" s="276"/>
      <c r="J37" s="276"/>
      <c r="K37" s="276"/>
      <c r="L37" s="276"/>
      <c r="M37" s="276"/>
      <c r="N37" s="276"/>
      <c r="O37" s="276"/>
      <c r="Q37" s="288">
        <v>-1808184.2831939999</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1203691.2123999996</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-1916681.4585950002</v>
      </c>
      <c r="R40" s="289" t="s">
        <v>31</v>
      </c>
      <c r="S40" s="290">
        <v>1</v>
      </c>
      <c r="T40" s="291"/>
      <c r="U40" s="292" t="s">
        <v>31</v>
      </c>
      <c r="V40" s="290">
        <v>0</v>
      </c>
      <c r="W40" s="288">
        <v>0</v>
      </c>
    </row>
    <row r="41" spans="2:23">
      <c r="Q41" s="288">
        <v>-45839.555500000002</v>
      </c>
      <c r="R41" s="293" t="s">
        <v>32</v>
      </c>
      <c r="S41" s="290">
        <v>0.02</v>
      </c>
      <c r="T41" s="291"/>
      <c r="U41" s="292" t="s">
        <v>32</v>
      </c>
      <c r="V41" s="290">
        <v>0.85</v>
      </c>
      <c r="W41" s="288">
        <v>721021.43129882356</v>
      </c>
    </row>
    <row r="42" spans="2:23">
      <c r="Q42" s="288">
        <v>-1807276.3176680005</v>
      </c>
      <c r="R42" s="294" t="s">
        <v>35</v>
      </c>
      <c r="S42" s="290">
        <v>1</v>
      </c>
      <c r="T42" s="291"/>
      <c r="U42" s="292" t="s">
        <v>35</v>
      </c>
      <c r="V42" s="290">
        <v>0</v>
      </c>
      <c r="W42" s="288">
        <v>0</v>
      </c>
    </row>
    <row r="43" spans="2:23">
      <c r="Q43" s="288">
        <v>0</v>
      </c>
      <c r="R43" s="295" t="s">
        <v>72</v>
      </c>
      <c r="S43" s="290">
        <v>0</v>
      </c>
      <c r="T43" s="291"/>
      <c r="U43" s="292" t="s">
        <v>72</v>
      </c>
      <c r="V43" s="290">
        <v>1</v>
      </c>
      <c r="W43" s="288">
        <v>1201984.5526850002</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-2309647.2045570002</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-160562.80873720927</v>
      </c>
      <c r="R46" s="293" t="s">
        <v>32</v>
      </c>
      <c r="S46" s="290">
        <v>0.43</v>
      </c>
      <c r="T46" s="291"/>
      <c r="U46" s="292" t="s">
        <v>32</v>
      </c>
      <c r="V46" s="290">
        <v>0.06</v>
      </c>
      <c r="W46" s="288">
        <v>524842.26466666663</v>
      </c>
    </row>
    <row r="47" spans="2:23">
      <c r="B47" s="276"/>
      <c r="C47" s="276"/>
      <c r="D47" s="276"/>
      <c r="E47" s="276"/>
      <c r="F47" s="276"/>
      <c r="G47" s="276"/>
      <c r="H47" s="276"/>
      <c r="I47" s="276"/>
      <c r="J47" s="276"/>
      <c r="K47" s="276"/>
      <c r="L47" s="276"/>
      <c r="M47" s="276" t="s">
        <v>304</v>
      </c>
      <c r="N47" s="276"/>
      <c r="O47" s="276"/>
      <c r="Q47" s="288">
        <v>-2232680.5063420003</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0.02</v>
      </c>
      <c r="T48" s="291"/>
      <c r="U48" s="292" t="s">
        <v>72</v>
      </c>
      <c r="V48" s="290">
        <v>0.52</v>
      </c>
      <c r="W48" s="288">
        <v>527469.8221057693</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-2305960.444151999</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-129843.57087142856</v>
      </c>
      <c r="R51" s="293" t="s">
        <v>32</v>
      </c>
      <c r="S51" s="290">
        <v>0.42</v>
      </c>
      <c r="T51" s="291"/>
      <c r="U51" s="292" t="s">
        <v>32</v>
      </c>
      <c r="V51" s="290">
        <v>0.04</v>
      </c>
      <c r="W51" s="288">
        <v>526540.40214999998</v>
      </c>
    </row>
    <row r="52" spans="2:23">
      <c r="B52" s="276"/>
      <c r="C52" s="276"/>
      <c r="D52" s="276"/>
      <c r="E52" s="276"/>
      <c r="F52" s="276"/>
      <c r="G52" s="276"/>
      <c r="H52" s="276"/>
      <c r="I52" s="276"/>
      <c r="J52" s="276"/>
      <c r="K52" s="276"/>
      <c r="L52" s="276"/>
      <c r="M52" s="276"/>
      <c r="N52" s="276"/>
      <c r="O52" s="276"/>
      <c r="Q52" s="288">
        <v>-2235180.0436810013</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0.38</v>
      </c>
      <c r="W53" s="288">
        <v>544323.46108684223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-2334661.3276310014</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-182781.95149180331</v>
      </c>
      <c r="R56" s="293" t="s">
        <v>32</v>
      </c>
      <c r="S56" s="290">
        <v>0.61</v>
      </c>
      <c r="T56" s="291"/>
      <c r="U56" s="292" t="s">
        <v>32</v>
      </c>
      <c r="V56" s="290">
        <v>7.0000000000000007E-2</v>
      </c>
      <c r="W56" s="288">
        <v>539832.28114285716</v>
      </c>
    </row>
    <row r="57" spans="2:23">
      <c r="B57" s="276"/>
      <c r="C57" s="276"/>
      <c r="D57" s="276"/>
      <c r="E57" s="276"/>
      <c r="F57" s="276"/>
      <c r="G57" s="276"/>
      <c r="H57" s="276"/>
      <c r="I57" s="276"/>
      <c r="J57" s="276"/>
      <c r="K57" s="276"/>
      <c r="L57" s="276"/>
      <c r="M57" s="276"/>
      <c r="N57" s="276"/>
      <c r="O57" s="276"/>
      <c r="Q57" s="288">
        <v>-2239528.8863719995</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0.02</v>
      </c>
      <c r="T58" s="291"/>
      <c r="U58" s="292" t="s">
        <v>72</v>
      </c>
      <c r="V58" s="290">
        <v>0.5</v>
      </c>
      <c r="W58" s="288">
        <v>582974.924596</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-2317135.1453860002</v>
      </c>
      <c r="R60" s="289" t="s">
        <v>31</v>
      </c>
      <c r="S60" s="290">
        <v>1</v>
      </c>
      <c r="T60" s="291"/>
      <c r="U60" s="292" t="s">
        <v>31</v>
      </c>
      <c r="V60" s="290">
        <v>0</v>
      </c>
      <c r="W60" s="288">
        <v>0</v>
      </c>
    </row>
    <row r="61" spans="2:23">
      <c r="Q61" s="288">
        <v>-187163.24649795928</v>
      </c>
      <c r="R61" s="293" t="s">
        <v>32</v>
      </c>
      <c r="S61" s="290">
        <v>0.49</v>
      </c>
      <c r="T61" s="291"/>
      <c r="U61" s="292" t="s">
        <v>32</v>
      </c>
      <c r="V61" s="290">
        <v>0.03</v>
      </c>
      <c r="W61" s="288">
        <v>613402.74196666665</v>
      </c>
    </row>
    <row r="62" spans="2:23">
      <c r="Q62" s="288">
        <v>-2218309.6372450003</v>
      </c>
      <c r="R62" s="294" t="s">
        <v>35</v>
      </c>
      <c r="S62" s="290">
        <v>1</v>
      </c>
      <c r="T62" s="291"/>
      <c r="U62" s="292" t="s">
        <v>35</v>
      </c>
      <c r="V62" s="290">
        <v>0</v>
      </c>
      <c r="W62" s="288">
        <v>0</v>
      </c>
    </row>
    <row r="63" spans="2:23">
      <c r="Q63" s="288">
        <v>0</v>
      </c>
      <c r="R63" s="295" t="s">
        <v>72</v>
      </c>
      <c r="S63" s="290">
        <v>0.03</v>
      </c>
      <c r="T63" s="291"/>
      <c r="U63" s="292" t="s">
        <v>72</v>
      </c>
      <c r="V63" s="290">
        <v>0.61</v>
      </c>
      <c r="W63" s="288">
        <v>593734.64724098356</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-2702974.4348299997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-533834.39530799969</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304</v>
      </c>
      <c r="N67" s="276"/>
      <c r="O67" s="276"/>
      <c r="Q67" s="288">
        <v>-2636741.9274950004</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0.97</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-2698620.4283249998</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-498665.30873899983</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-2632679.3598139994</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0.97</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-2724136.3769400013</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-588975.57519400003</v>
      </c>
      <c r="R76" s="293" t="s">
        <v>32</v>
      </c>
      <c r="S76" s="290">
        <v>1</v>
      </c>
      <c r="T76" s="291"/>
      <c r="U76" s="292" t="s">
        <v>32</v>
      </c>
      <c r="V76" s="290">
        <v>0</v>
      </c>
      <c r="W76" s="288">
        <v>0</v>
      </c>
    </row>
    <row r="77" spans="2:23">
      <c r="B77" s="276"/>
      <c r="C77" s="276"/>
      <c r="D77" s="276"/>
      <c r="E77" s="276"/>
      <c r="F77" s="276"/>
      <c r="G77" s="276"/>
      <c r="H77" s="276"/>
      <c r="I77" s="276"/>
      <c r="J77" s="276"/>
      <c r="K77" s="276"/>
      <c r="L77" s="276"/>
      <c r="M77" s="276"/>
      <c r="N77" s="276"/>
      <c r="O77" s="276"/>
      <c r="Q77" s="288">
        <v>-2635888.9408480008</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0.97</v>
      </c>
      <c r="T78" s="291"/>
      <c r="U78" s="292" t="s">
        <v>72</v>
      </c>
      <c r="V78" s="290">
        <v>0</v>
      </c>
      <c r="W78" s="288">
        <v>0</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-2726287.0839980002</v>
      </c>
      <c r="R80" s="289" t="s">
        <v>31</v>
      </c>
      <c r="S80" s="290">
        <v>1</v>
      </c>
      <c r="T80" s="291"/>
      <c r="U80" s="292" t="s">
        <v>31</v>
      </c>
      <c r="V80" s="290">
        <v>0</v>
      </c>
      <c r="W80" s="288">
        <v>0</v>
      </c>
    </row>
    <row r="81" spans="17:23">
      <c r="Q81" s="288">
        <v>-570714.73405300011</v>
      </c>
      <c r="R81" s="293" t="s">
        <v>32</v>
      </c>
      <c r="S81" s="290">
        <v>1</v>
      </c>
      <c r="T81" s="291"/>
      <c r="U81" s="292" t="s">
        <v>32</v>
      </c>
      <c r="V81" s="290">
        <v>0</v>
      </c>
      <c r="W81" s="288">
        <v>0</v>
      </c>
    </row>
    <row r="82" spans="17:23">
      <c r="Q82" s="288">
        <v>-2644260.3502060007</v>
      </c>
      <c r="R82" s="294" t="s">
        <v>35</v>
      </c>
      <c r="S82" s="290">
        <v>1</v>
      </c>
      <c r="T82" s="291"/>
      <c r="U82" s="292" t="s">
        <v>35</v>
      </c>
      <c r="V82" s="290">
        <v>0</v>
      </c>
      <c r="W82" s="288">
        <v>0</v>
      </c>
    </row>
    <row r="83" spans="17:23">
      <c r="Q83" s="288">
        <v>0</v>
      </c>
      <c r="R83" s="295" t="s">
        <v>72</v>
      </c>
      <c r="S83" s="290">
        <v>0.97</v>
      </c>
      <c r="T83" s="291"/>
      <c r="U83" s="292" t="s">
        <v>72</v>
      </c>
      <c r="V83" s="290">
        <v>0</v>
      </c>
      <c r="W83" s="28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4" bestFit="1" customWidth="1"/>
    <col min="2" max="2" width="8.59765625" style="34" customWidth="1"/>
    <col min="3" max="3" width="20.5312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151</v>
      </c>
      <c r="B1" s="373">
        <v>43830</v>
      </c>
      <c r="C1" s="374"/>
      <c r="D1" s="374"/>
      <c r="E1" s="374"/>
      <c r="F1" s="374"/>
      <c r="G1" s="374"/>
      <c r="H1" s="374"/>
      <c r="I1" s="375"/>
    </row>
    <row r="2" spans="1:20" ht="15.75">
      <c r="A2" s="102" t="s">
        <v>152</v>
      </c>
      <c r="B2" s="360" t="s">
        <v>153</v>
      </c>
      <c r="C2" s="361"/>
      <c r="D2" s="361"/>
      <c r="E2" s="361"/>
      <c r="F2" s="361"/>
      <c r="G2" s="361"/>
      <c r="H2" s="361"/>
      <c r="I2" s="362"/>
    </row>
    <row r="3" spans="1:20" ht="15.75">
      <c r="A3" s="102" t="s">
        <v>154</v>
      </c>
      <c r="B3" s="376" t="s">
        <v>155</v>
      </c>
      <c r="C3" s="377"/>
      <c r="D3" s="377"/>
      <c r="E3" s="378"/>
      <c r="F3" s="103"/>
      <c r="G3" s="103"/>
      <c r="H3" s="376" t="s">
        <v>156</v>
      </c>
      <c r="I3" s="379"/>
      <c r="J3" s="104"/>
      <c r="K3" s="104"/>
      <c r="L3" s="104"/>
      <c r="M3" s="104"/>
      <c r="N3" s="104"/>
    </row>
    <row r="4" spans="1:20" ht="15.75">
      <c r="A4" s="102" t="s">
        <v>157</v>
      </c>
      <c r="B4" s="380" t="s">
        <v>158</v>
      </c>
      <c r="C4" s="381"/>
      <c r="D4" s="381"/>
      <c r="E4" s="381"/>
      <c r="F4" s="381"/>
      <c r="G4" s="381"/>
      <c r="H4" s="381"/>
      <c r="I4" s="382"/>
    </row>
    <row r="5" spans="1:20" ht="15.75">
      <c r="A5" s="102" t="s">
        <v>159</v>
      </c>
      <c r="B5" s="370" t="s">
        <v>160</v>
      </c>
      <c r="C5" s="371"/>
      <c r="D5" s="371"/>
      <c r="E5" s="371"/>
      <c r="F5" s="371"/>
      <c r="G5" s="371"/>
      <c r="H5" s="371"/>
      <c r="I5" s="372"/>
    </row>
    <row r="6" spans="1:20" ht="15.75">
      <c r="A6" s="102" t="s">
        <v>161</v>
      </c>
      <c r="B6" s="360" t="s">
        <v>162</v>
      </c>
      <c r="C6" s="361"/>
      <c r="D6" s="361"/>
      <c r="E6" s="361"/>
      <c r="F6" s="361"/>
      <c r="G6" s="361"/>
      <c r="H6" s="361"/>
      <c r="I6" s="362"/>
    </row>
    <row r="7" spans="1:20" ht="16.149999999999999" thickBot="1">
      <c r="A7" s="105" t="s">
        <v>163</v>
      </c>
      <c r="B7" s="363" t="s">
        <v>164</v>
      </c>
      <c r="C7" s="364"/>
      <c r="D7" s="364"/>
      <c r="E7" s="364"/>
      <c r="F7" s="364"/>
      <c r="G7" s="364"/>
      <c r="H7" s="364"/>
      <c r="I7" s="365"/>
    </row>
    <row r="8" spans="1:20" s="107" customFormat="1" ht="17.649999999999999">
      <c r="A8" s="106" t="s">
        <v>165</v>
      </c>
      <c r="B8" s="106"/>
      <c r="C8" s="106"/>
      <c r="D8" s="106"/>
      <c r="E8" s="106"/>
      <c r="F8" s="106"/>
      <c r="G8" s="106"/>
      <c r="H8" s="106"/>
      <c r="I8" s="106"/>
      <c r="T8" s="108"/>
    </row>
    <row r="9" spans="1:20">
      <c r="A9" s="34" t="s">
        <v>166</v>
      </c>
      <c r="C9" s="109" t="s">
        <v>167</v>
      </c>
      <c r="H9" s="110" t="s">
        <v>168</v>
      </c>
      <c r="I9" s="111"/>
      <c r="J9" s="111"/>
      <c r="K9" s="111"/>
      <c r="L9" s="111"/>
      <c r="M9" s="111"/>
      <c r="N9" s="111"/>
      <c r="O9" s="112"/>
    </row>
    <row r="10" spans="1:20">
      <c r="A10" s="34" t="s">
        <v>169</v>
      </c>
      <c r="C10" s="109">
        <v>2000</v>
      </c>
      <c r="H10" s="113" t="s">
        <v>170</v>
      </c>
      <c r="I10" s="114"/>
      <c r="K10" s="114"/>
      <c r="L10" s="114"/>
      <c r="M10" s="114"/>
      <c r="N10" s="114"/>
      <c r="O10" s="115"/>
    </row>
    <row r="11" spans="1:20">
      <c r="E11" s="32"/>
      <c r="F11" s="32"/>
      <c r="G11" s="32"/>
      <c r="J11" s="116"/>
    </row>
    <row r="12" spans="1:20">
      <c r="A12" s="34" t="s">
        <v>171</v>
      </c>
      <c r="D12" s="117">
        <f>IF(C10=1928,100,VLOOKUP(C10-1,A21:M116,8))</f>
        <v>156658.0490724665</v>
      </c>
      <c r="E12" s="118"/>
      <c r="S12" s="32"/>
      <c r="T12" s="34"/>
    </row>
    <row r="13" spans="1:20">
      <c r="A13" s="34" t="s">
        <v>172</v>
      </c>
      <c r="D13" s="117">
        <f>IF(C10=1928,100,VLOOKUP(C10-1,A21:J116,9))</f>
        <v>1516.0468253839256</v>
      </c>
      <c r="E13" s="118"/>
      <c r="S13" s="32"/>
      <c r="T13" s="34"/>
    </row>
    <row r="14" spans="1:20">
      <c r="A14" s="34" t="s">
        <v>173</v>
      </c>
      <c r="D14" s="117">
        <f>IF(C10=1928,100,VLOOKUP(C10-1,A20:J116,10))</f>
        <v>2912.8788088601259</v>
      </c>
      <c r="E14" s="118"/>
      <c r="I14" s="116"/>
      <c r="S14" s="32"/>
      <c r="T14" s="34"/>
    </row>
    <row r="15" spans="1:20">
      <c r="A15" s="34" t="s">
        <v>174</v>
      </c>
      <c r="D15" s="117">
        <f>IF(C10=1928,100,VLOOKUP(C10-1,A20:L116,12))</f>
        <v>1705.0958509641575</v>
      </c>
      <c r="E15" s="118"/>
      <c r="S15" s="32"/>
      <c r="T15" s="34"/>
    </row>
    <row r="16" spans="1:20">
      <c r="A16" s="34" t="s">
        <v>175</v>
      </c>
      <c r="D16" s="117">
        <f>IF(C10=1928,100,VLOOKUP(C10-1,A20:M116,13))</f>
        <v>1406.2499999999995</v>
      </c>
      <c r="E16" s="118"/>
      <c r="S16" s="32"/>
      <c r="T16" s="34"/>
    </row>
    <row r="17" spans="1:32">
      <c r="A17" s="34" t="s">
        <v>176</v>
      </c>
      <c r="D17" s="119">
        <f>IF(C9="ST",(H116/D12)^(1/(A116-C10+1))-(I116/D13)^(1/(A116-C10+1)),(H116/D12)^(1/(A116-C10+1))-(J116/D14)^(1/(A116-C10+1)))</f>
        <v>3.0675495800587704E-2</v>
      </c>
      <c r="E17" s="41"/>
      <c r="S17" s="32"/>
      <c r="T17" s="34"/>
    </row>
    <row r="18" spans="1:32" ht="15.75" thickBot="1"/>
    <row r="19" spans="1:32" ht="15.75" thickBot="1">
      <c r="B19" s="366" t="s">
        <v>177</v>
      </c>
      <c r="C19" s="366"/>
      <c r="D19" s="366"/>
      <c r="E19" s="366"/>
      <c r="F19" s="366"/>
      <c r="G19" s="366"/>
      <c r="H19" s="353" t="s">
        <v>178</v>
      </c>
      <c r="I19" s="354"/>
      <c r="J19" s="354"/>
      <c r="K19" s="354"/>
      <c r="L19" s="354"/>
      <c r="M19" s="354"/>
      <c r="N19" s="367" t="s">
        <v>179</v>
      </c>
      <c r="O19" s="368"/>
      <c r="P19" s="368"/>
      <c r="Q19" s="369"/>
      <c r="R19" s="354" t="s">
        <v>180</v>
      </c>
      <c r="S19" s="354"/>
      <c r="T19" s="354"/>
      <c r="U19" s="354"/>
      <c r="V19" s="354"/>
      <c r="W19" s="354"/>
      <c r="X19" s="354"/>
      <c r="Y19" s="353" t="s">
        <v>181</v>
      </c>
      <c r="Z19" s="354"/>
      <c r="AA19" s="354"/>
      <c r="AB19" s="354"/>
      <c r="AC19" s="354"/>
      <c r="AD19" s="355"/>
      <c r="AE19" s="356" t="s">
        <v>182</v>
      </c>
      <c r="AF19" s="357"/>
    </row>
    <row r="20" spans="1:32" s="129" customFormat="1" ht="63">
      <c r="A20" s="120" t="s">
        <v>83</v>
      </c>
      <c r="B20" s="121" t="s">
        <v>183</v>
      </c>
      <c r="C20" s="122" t="s">
        <v>184</v>
      </c>
      <c r="D20" s="122" t="s">
        <v>185</v>
      </c>
      <c r="E20" s="121" t="s">
        <v>186</v>
      </c>
      <c r="F20" s="123" t="s">
        <v>143</v>
      </c>
      <c r="G20" s="124" t="s">
        <v>187</v>
      </c>
      <c r="H20" s="125" t="s">
        <v>188</v>
      </c>
      <c r="I20" s="125" t="s">
        <v>189</v>
      </c>
      <c r="J20" s="125" t="s">
        <v>190</v>
      </c>
      <c r="K20" s="125" t="s">
        <v>191</v>
      </c>
      <c r="L20" s="125" t="s">
        <v>192</v>
      </c>
      <c r="M20" s="125" t="s">
        <v>193</v>
      </c>
      <c r="N20" s="126" t="s">
        <v>194</v>
      </c>
      <c r="O20" s="126" t="s">
        <v>195</v>
      </c>
      <c r="P20" s="127" t="s">
        <v>196</v>
      </c>
      <c r="Q20" s="127" t="s">
        <v>197</v>
      </c>
      <c r="R20" s="126" t="s">
        <v>198</v>
      </c>
      <c r="S20" s="126" t="s">
        <v>199</v>
      </c>
      <c r="T20" s="126" t="s">
        <v>200</v>
      </c>
      <c r="U20" s="126" t="s">
        <v>201</v>
      </c>
      <c r="V20" s="126" t="s">
        <v>202</v>
      </c>
      <c r="W20" s="126" t="s">
        <v>203</v>
      </c>
      <c r="X20" s="126" t="s">
        <v>204</v>
      </c>
      <c r="Y20" s="125" t="s">
        <v>188</v>
      </c>
      <c r="Z20" s="125" t="s">
        <v>189</v>
      </c>
      <c r="AA20" s="125" t="s">
        <v>190</v>
      </c>
      <c r="AB20" s="125" t="s">
        <v>191</v>
      </c>
      <c r="AC20" s="125" t="s">
        <v>192</v>
      </c>
      <c r="AD20" s="125" t="s">
        <v>193</v>
      </c>
      <c r="AE20" s="128" t="s">
        <v>205</v>
      </c>
      <c r="AF20" s="128" t="s">
        <v>206</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50" t="s">
        <v>207</v>
      </c>
      <c r="B118" s="351"/>
      <c r="C118" s="351"/>
      <c r="D118" s="351"/>
      <c r="E118" s="351"/>
      <c r="F118" s="351"/>
      <c r="G118" s="352"/>
      <c r="H118" s="151"/>
      <c r="I118" s="152"/>
      <c r="J118" s="358" t="s">
        <v>208</v>
      </c>
      <c r="K118" s="359"/>
      <c r="L118" s="348" t="s">
        <v>209</v>
      </c>
      <c r="M118" s="349"/>
      <c r="R118" s="350" t="s">
        <v>210</v>
      </c>
      <c r="S118" s="351"/>
      <c r="T118" s="351"/>
      <c r="U118" s="351"/>
      <c r="V118" s="351"/>
      <c r="W118" s="351"/>
      <c r="X118" s="352"/>
    </row>
    <row r="119" spans="1:32" ht="63.4" thickBot="1">
      <c r="A119" s="153" t="s">
        <v>126</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211</v>
      </c>
      <c r="K119" s="155" t="s">
        <v>212</v>
      </c>
      <c r="L119" s="155" t="s">
        <v>211</v>
      </c>
      <c r="M119" s="155" t="s">
        <v>212</v>
      </c>
      <c r="R119" s="156"/>
      <c r="S119" s="157" t="s">
        <v>199</v>
      </c>
      <c r="T119" s="157" t="s">
        <v>200</v>
      </c>
      <c r="U119" s="157" t="s">
        <v>201</v>
      </c>
      <c r="V119" s="157" t="s">
        <v>202</v>
      </c>
      <c r="W119" s="157" t="s">
        <v>203</v>
      </c>
      <c r="X119" s="157" t="s">
        <v>204</v>
      </c>
      <c r="AC119" s="348" t="s">
        <v>209</v>
      </c>
      <c r="AD119" s="349"/>
    </row>
    <row r="120" spans="1:32">
      <c r="A120" s="36" t="s">
        <v>128</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126</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211</v>
      </c>
      <c r="AD120" s="155" t="s">
        <v>212</v>
      </c>
    </row>
    <row r="121" spans="1:32">
      <c r="A121" s="36" t="s">
        <v>129</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128</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129</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50" t="s">
        <v>213</v>
      </c>
      <c r="B123" s="351"/>
      <c r="C123" s="351"/>
      <c r="D123" s="351"/>
      <c r="E123" s="351"/>
      <c r="F123" s="351"/>
      <c r="G123" s="352"/>
      <c r="H123" s="151"/>
      <c r="I123" s="151"/>
      <c r="K123" s="158" t="s">
        <v>208</v>
      </c>
      <c r="L123" s="158"/>
      <c r="M123" s="158"/>
      <c r="R123" s="350" t="s">
        <v>213</v>
      </c>
      <c r="S123" s="351"/>
      <c r="T123" s="351"/>
      <c r="U123" s="351"/>
      <c r="V123" s="351"/>
      <c r="W123" s="351"/>
      <c r="X123" s="352"/>
      <c r="Y123" s="31"/>
      <c r="AC123" s="40">
        <f>STDEV(AE108:AE117)/(($A$116-$A$107+1)^0.5)</f>
        <v>5.0445229647862057E-2</v>
      </c>
      <c r="AD123" s="40">
        <f>STDEV(AF108:AF117)/(($A$116-$A$107+1)^0.5)</f>
        <v>3.7798242460286895E-2</v>
      </c>
    </row>
    <row r="124" spans="1:32">
      <c r="A124" s="153" t="s">
        <v>126</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211</v>
      </c>
      <c r="K124" s="160" t="s">
        <v>212</v>
      </c>
      <c r="R124" s="153" t="s">
        <v>126</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128</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128</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129</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129</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214</v>
      </c>
    </row>
    <row r="129" spans="1:1">
      <c r="A129" s="34" t="s">
        <v>215</v>
      </c>
    </row>
    <row r="153" spans="4:4">
      <c r="D153" s="241">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83</v>
      </c>
      <c r="B2" s="36" t="s">
        <v>84</v>
      </c>
      <c r="C2" s="37" t="s">
        <v>85</v>
      </c>
      <c r="D2" s="36" t="s">
        <v>86</v>
      </c>
      <c r="E2" s="36" t="s">
        <v>87</v>
      </c>
      <c r="F2" s="36" t="s">
        <v>88</v>
      </c>
      <c r="G2" s="38" t="s">
        <v>89</v>
      </c>
      <c r="H2" s="38" t="s">
        <v>90</v>
      </c>
      <c r="I2" s="38" t="s">
        <v>91</v>
      </c>
      <c r="J2" s="38" t="s">
        <v>92</v>
      </c>
      <c r="K2" s="38" t="s">
        <v>93</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94</v>
      </c>
      <c r="B1" s="58" t="s">
        <v>95</v>
      </c>
      <c r="C1" s="34"/>
    </row>
    <row r="2" spans="1:3" ht="15.4">
      <c r="A2" s="31" t="s">
        <v>96</v>
      </c>
      <c r="B2" s="58" t="s">
        <v>97</v>
      </c>
      <c r="C2" s="34"/>
    </row>
    <row r="3" spans="1:3" ht="15.4">
      <c r="A3" s="31" t="s">
        <v>98</v>
      </c>
      <c r="B3" s="58" t="s">
        <v>99</v>
      </c>
      <c r="C3" s="34"/>
    </row>
    <row r="4" spans="1:3" ht="15.4">
      <c r="A4" s="59"/>
      <c r="B4" s="58" t="s">
        <v>100</v>
      </c>
      <c r="C4" s="34"/>
    </row>
    <row r="5" spans="1:3" ht="15.4">
      <c r="B5" s="32"/>
      <c r="C5" s="34"/>
    </row>
    <row r="6" spans="1:3" ht="15.4">
      <c r="B6" s="32"/>
      <c r="C6" s="34"/>
    </row>
    <row r="7" spans="1:3" ht="15.4">
      <c r="A7" s="35" t="s">
        <v>83</v>
      </c>
      <c r="B7" s="36" t="s">
        <v>87</v>
      </c>
      <c r="C7" s="36" t="s">
        <v>88</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101</v>
      </c>
    </row>
    <row r="2" spans="1:7">
      <c r="A2" s="31" t="s">
        <v>102</v>
      </c>
    </row>
    <row r="3" spans="1:7">
      <c r="A3" s="31" t="s">
        <v>103</v>
      </c>
    </row>
    <row r="4" spans="1:7">
      <c r="A4" s="31" t="s">
        <v>104</v>
      </c>
    </row>
    <row r="5" spans="1:7">
      <c r="A5" s="31" t="s">
        <v>105</v>
      </c>
    </row>
    <row r="6" spans="1:7">
      <c r="A6" s="31" t="s">
        <v>106</v>
      </c>
    </row>
    <row r="8" spans="1:7">
      <c r="A8" s="31" t="s">
        <v>107</v>
      </c>
      <c r="B8" s="31" t="s">
        <v>108</v>
      </c>
    </row>
    <row r="9" spans="1:7" s="61" customFormat="1">
      <c r="A9" s="31"/>
      <c r="B9" s="31"/>
      <c r="D9" s="31"/>
      <c r="E9" s="31"/>
      <c r="F9" s="31"/>
      <c r="G9" s="31"/>
    </row>
    <row r="10" spans="1:7" s="61" customFormat="1">
      <c r="A10" s="31" t="s">
        <v>109</v>
      </c>
      <c r="B10" s="31" t="s">
        <v>110</v>
      </c>
      <c r="D10" s="31"/>
      <c r="E10" s="31"/>
      <c r="F10" s="31"/>
      <c r="G10" s="31"/>
    </row>
    <row r="11" spans="1:7" s="61" customFormat="1">
      <c r="A11" s="31" t="s">
        <v>111</v>
      </c>
      <c r="B11" s="31" t="s">
        <v>112</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101</v>
      </c>
    </row>
    <row r="2" spans="1:3">
      <c r="A2" s="65" t="s">
        <v>102</v>
      </c>
    </row>
    <row r="3" spans="1:3">
      <c r="A3" s="65" t="s">
        <v>103</v>
      </c>
    </row>
    <row r="4" spans="1:3">
      <c r="A4" s="65" t="s">
        <v>113</v>
      </c>
    </row>
    <row r="5" spans="1:3">
      <c r="A5" s="65" t="s">
        <v>105</v>
      </c>
    </row>
    <row r="6" spans="1:3">
      <c r="A6" s="65" t="s">
        <v>106</v>
      </c>
    </row>
    <row r="8" spans="1:3">
      <c r="A8" s="65" t="s">
        <v>114</v>
      </c>
      <c r="B8" s="31" t="s">
        <v>115</v>
      </c>
    </row>
    <row r="10" spans="1:3">
      <c r="A10" s="65" t="s">
        <v>109</v>
      </c>
    </row>
    <row r="11" spans="1:3">
      <c r="A11" s="65" t="s">
        <v>111</v>
      </c>
      <c r="B11" s="31" t="s">
        <v>114</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83" t="s">
        <v>116</v>
      </c>
      <c r="B1" s="384"/>
      <c r="C1" s="384"/>
      <c r="D1" s="384"/>
      <c r="E1" s="385"/>
      <c r="G1" s="383" t="s">
        <v>117</v>
      </c>
      <c r="H1" s="384"/>
      <c r="I1" s="384"/>
      <c r="J1" s="384"/>
      <c r="K1" s="385"/>
    </row>
    <row r="2" spans="1:11" ht="15.4">
      <c r="A2" s="70"/>
      <c r="B2" s="386" t="s">
        <v>118</v>
      </c>
      <c r="C2" s="386"/>
      <c r="D2" s="386" t="s">
        <v>119</v>
      </c>
      <c r="E2" s="387"/>
      <c r="G2" s="70"/>
      <c r="H2" s="386" t="s">
        <v>120</v>
      </c>
      <c r="I2" s="386"/>
      <c r="J2" s="386" t="s">
        <v>121</v>
      </c>
      <c r="K2" s="387"/>
    </row>
    <row r="3" spans="1:11" ht="15">
      <c r="A3" s="71"/>
      <c r="B3" s="72" t="s">
        <v>122</v>
      </c>
      <c r="C3" s="72" t="s">
        <v>123</v>
      </c>
      <c r="D3" s="72" t="s">
        <v>122</v>
      </c>
      <c r="E3" s="73" t="s">
        <v>123</v>
      </c>
      <c r="G3" s="71"/>
      <c r="H3" s="72" t="s">
        <v>124</v>
      </c>
      <c r="I3" s="72" t="s">
        <v>125</v>
      </c>
      <c r="J3" s="72" t="s">
        <v>124</v>
      </c>
      <c r="K3" s="73" t="s">
        <v>125</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126</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127</v>
      </c>
      <c r="B5" s="78">
        <f>'[1]Returns by year'!L120</f>
        <v>2.0281402852918649E-2</v>
      </c>
      <c r="C5" s="78">
        <f>'[1]Returns by year'!M120</f>
        <v>2.136736485935305E-2</v>
      </c>
      <c r="D5" s="79"/>
      <c r="E5" s="80"/>
      <c r="G5" s="77" t="s">
        <v>127</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128</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127</v>
      </c>
      <c r="B7" s="78">
        <f>'[1]Returns by year'!L121</f>
        <v>2.446119319205476E-2</v>
      </c>
      <c r="C7" s="78">
        <f>'[1]Returns by year'!M121</f>
        <v>2.7325166458689775E-2</v>
      </c>
      <c r="D7" s="79"/>
      <c r="E7" s="80"/>
      <c r="G7" s="77" t="s">
        <v>127</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129</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127</v>
      </c>
      <c r="B9" s="82">
        <f>'[1]Returns by year'!L122</f>
        <v>4.9725758253884568E-2</v>
      </c>
      <c r="C9" s="82">
        <f>'[1]Returns by year'!AD123</f>
        <v>3.7798242460286895E-2</v>
      </c>
      <c r="D9" s="83"/>
      <c r="E9" s="84"/>
      <c r="G9" s="81" t="s">
        <v>127</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130</v>
      </c>
      <c r="F1" s="87" t="s">
        <v>101</v>
      </c>
    </row>
    <row r="2" spans="1:8">
      <c r="F2" s="31" t="s">
        <v>102</v>
      </c>
    </row>
    <row r="3" spans="1:8">
      <c r="F3" s="31" t="s">
        <v>103</v>
      </c>
    </row>
    <row r="4" spans="1:8">
      <c r="F4" s="31" t="s">
        <v>113</v>
      </c>
    </row>
    <row r="5" spans="1:8">
      <c r="F5" s="31" t="s">
        <v>105</v>
      </c>
    </row>
    <row r="6" spans="1:8">
      <c r="F6" s="31" t="s">
        <v>106</v>
      </c>
    </row>
    <row r="8" spans="1:8">
      <c r="F8" s="31" t="s">
        <v>131</v>
      </c>
      <c r="G8" s="31" t="s">
        <v>132</v>
      </c>
    </row>
    <row r="9" spans="1:8">
      <c r="A9" s="89" t="s">
        <v>133</v>
      </c>
      <c r="B9" s="88" t="s">
        <v>134</v>
      </c>
      <c r="C9" s="31" t="s">
        <v>135</v>
      </c>
    </row>
    <row r="10" spans="1:8">
      <c r="A10" s="89">
        <v>1890</v>
      </c>
      <c r="B10" s="90">
        <v>3.557296</v>
      </c>
      <c r="F10" s="31" t="s">
        <v>109</v>
      </c>
    </row>
    <row r="11" spans="1:8" ht="14.25">
      <c r="A11" s="89">
        <v>1891</v>
      </c>
      <c r="B11" s="90">
        <v>3.209111</v>
      </c>
      <c r="C11" s="68">
        <f t="shared" ref="C11:C74" si="0">B11/B10-1</f>
        <v>-9.7879119421043437E-2</v>
      </c>
      <c r="F11" s="31" t="s">
        <v>111</v>
      </c>
      <c r="G11" s="31" t="s">
        <v>131</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136</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101</v>
      </c>
      <c r="I1" s="31" t="s">
        <v>101</v>
      </c>
    </row>
    <row r="2" spans="1:11">
      <c r="A2" s="31" t="s">
        <v>102</v>
      </c>
      <c r="I2" s="31" t="s">
        <v>102</v>
      </c>
    </row>
    <row r="3" spans="1:11">
      <c r="A3" s="31" t="s">
        <v>103</v>
      </c>
      <c r="I3" s="31" t="s">
        <v>103</v>
      </c>
    </row>
    <row r="4" spans="1:11">
      <c r="A4" s="31" t="s">
        <v>113</v>
      </c>
      <c r="I4" s="31" t="s">
        <v>113</v>
      </c>
    </row>
    <row r="5" spans="1:11">
      <c r="A5" s="31" t="s">
        <v>105</v>
      </c>
      <c r="I5" s="31" t="s">
        <v>105</v>
      </c>
    </row>
    <row r="6" spans="1:11">
      <c r="A6" s="31" t="s">
        <v>106</v>
      </c>
      <c r="I6" s="31" t="s">
        <v>106</v>
      </c>
    </row>
    <row r="8" spans="1:11">
      <c r="A8" s="31" t="s">
        <v>137</v>
      </c>
      <c r="B8" s="31" t="s">
        <v>138</v>
      </c>
      <c r="I8" s="31" t="s">
        <v>139</v>
      </c>
      <c r="J8" s="31" t="s">
        <v>140</v>
      </c>
    </row>
    <row r="10" spans="1:11">
      <c r="A10" s="31" t="s">
        <v>109</v>
      </c>
      <c r="I10" s="31" t="s">
        <v>109</v>
      </c>
    </row>
    <row r="11" spans="1:11">
      <c r="A11" s="31" t="s">
        <v>111</v>
      </c>
      <c r="B11" s="31" t="s">
        <v>137</v>
      </c>
      <c r="C11" s="31" t="s">
        <v>141</v>
      </c>
      <c r="I11" s="31" t="s">
        <v>111</v>
      </c>
      <c r="J11" s="31" t="s">
        <v>139</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142</v>
      </c>
      <c r="B2" s="94" t="s">
        <v>143</v>
      </c>
      <c r="D2" s="31" t="s">
        <v>144</v>
      </c>
      <c r="E2" s="95" t="s">
        <v>145</v>
      </c>
    </row>
    <row r="3" spans="1:5">
      <c r="A3" s="96">
        <v>1927</v>
      </c>
      <c r="B3" s="97">
        <v>5.8379122759411635</v>
      </c>
    </row>
    <row r="4" spans="1:5">
      <c r="A4" s="96">
        <v>1928</v>
      </c>
      <c r="B4" s="97">
        <v>5.9249586816460518</v>
      </c>
      <c r="D4" s="31" t="s">
        <v>146</v>
      </c>
      <c r="E4" s="31" t="s">
        <v>147</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83</v>
      </c>
      <c r="B1" s="31" t="s">
        <v>148</v>
      </c>
      <c r="E1" s="31" t="s">
        <v>149</v>
      </c>
    </row>
    <row r="2" spans="1:5" ht="14.25">
      <c r="A2" s="46">
        <v>1927</v>
      </c>
      <c r="B2" s="100">
        <v>20.64</v>
      </c>
      <c r="E2" s="31" t="s">
        <v>150</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216</v>
      </c>
    </row>
    <row r="2" spans="1:19" ht="13.5" customHeight="1">
      <c r="A2" s="163" t="s">
        <v>217</v>
      </c>
      <c r="E2" s="163" t="s">
        <v>218</v>
      </c>
    </row>
    <row r="3" spans="1:19">
      <c r="A3" s="163" t="s">
        <v>219</v>
      </c>
      <c r="I3" s="163" t="s">
        <v>116</v>
      </c>
    </row>
    <row r="4" spans="1:19">
      <c r="A4" s="164"/>
      <c r="B4" s="164" t="s">
        <v>117</v>
      </c>
      <c r="C4" s="164"/>
      <c r="D4" s="164" t="s">
        <v>117</v>
      </c>
      <c r="E4" s="164"/>
      <c r="F4" s="164"/>
      <c r="I4" s="163" t="s">
        <v>220</v>
      </c>
      <c r="L4" s="163" t="s">
        <v>116</v>
      </c>
      <c r="O4" s="163" t="s">
        <v>221</v>
      </c>
    </row>
    <row r="5" spans="1:19">
      <c r="A5" s="164"/>
      <c r="B5" s="164" t="s">
        <v>220</v>
      </c>
      <c r="C5" s="164"/>
      <c r="D5" s="164" t="s">
        <v>222</v>
      </c>
      <c r="E5" s="164" t="s">
        <v>223</v>
      </c>
      <c r="F5" s="164"/>
      <c r="I5" s="163" t="s">
        <v>224</v>
      </c>
      <c r="J5" s="163" t="s">
        <v>225</v>
      </c>
      <c r="L5" s="163" t="s">
        <v>222</v>
      </c>
      <c r="O5" s="163" t="s">
        <v>224</v>
      </c>
      <c r="P5" s="163" t="s">
        <v>226</v>
      </c>
    </row>
    <row r="6" spans="1:19">
      <c r="A6" s="164"/>
      <c r="B6" s="164" t="s">
        <v>224</v>
      </c>
      <c r="C6" s="164"/>
      <c r="D6" s="164" t="s">
        <v>227</v>
      </c>
      <c r="E6" s="164" t="s">
        <v>228</v>
      </c>
      <c r="F6" s="164"/>
      <c r="G6" s="163" t="s">
        <v>229</v>
      </c>
      <c r="I6" s="163" t="s">
        <v>230</v>
      </c>
      <c r="J6" s="163" t="s">
        <v>231</v>
      </c>
      <c r="L6" s="163" t="s">
        <v>227</v>
      </c>
      <c r="M6" s="163" t="s">
        <v>232</v>
      </c>
      <c r="O6" s="163" t="s">
        <v>230</v>
      </c>
      <c r="P6" s="163" t="s">
        <v>233</v>
      </c>
      <c r="S6" s="163" t="s">
        <v>234</v>
      </c>
    </row>
    <row r="7" spans="1:19">
      <c r="A7" s="164" t="s">
        <v>133</v>
      </c>
      <c r="B7" s="164" t="s">
        <v>230</v>
      </c>
      <c r="C7" s="164" t="s">
        <v>133</v>
      </c>
      <c r="D7" s="164" t="s">
        <v>230</v>
      </c>
      <c r="E7" s="164" t="s">
        <v>235</v>
      </c>
      <c r="F7" s="164" t="s">
        <v>229</v>
      </c>
      <c r="G7" s="163" t="s">
        <v>236</v>
      </c>
      <c r="H7" s="165" t="s">
        <v>133</v>
      </c>
      <c r="I7" s="163" t="s">
        <v>134</v>
      </c>
      <c r="K7" s="163" t="s">
        <v>133</v>
      </c>
      <c r="L7" s="163" t="s">
        <v>230</v>
      </c>
      <c r="M7" s="163" t="s">
        <v>236</v>
      </c>
      <c r="N7" s="163" t="s">
        <v>133</v>
      </c>
      <c r="P7" s="163" t="s">
        <v>236</v>
      </c>
      <c r="R7" s="163" t="s">
        <v>133</v>
      </c>
      <c r="S7" s="163" t="s">
        <v>237</v>
      </c>
    </row>
    <row r="8" spans="1:19">
      <c r="A8" s="164">
        <v>1890</v>
      </c>
      <c r="B8" s="164">
        <f>100*(I8/O8)/(I$8/O$8)</f>
        <v>100</v>
      </c>
      <c r="C8" s="164">
        <v>1890</v>
      </c>
      <c r="D8" s="164">
        <v>51.362339834968651</v>
      </c>
      <c r="E8" s="164">
        <v>63.055999999999997</v>
      </c>
      <c r="F8" s="164">
        <v>3.42</v>
      </c>
      <c r="G8" s="163" t="s">
        <v>238</v>
      </c>
      <c r="H8" s="165">
        <v>1890</v>
      </c>
      <c r="I8" s="165">
        <v>3.5572964464730945</v>
      </c>
      <c r="J8" s="163" t="s">
        <v>239</v>
      </c>
      <c r="K8" s="163">
        <f>C8</f>
        <v>1890</v>
      </c>
      <c r="L8" s="163">
        <v>104.12037272937236</v>
      </c>
      <c r="M8" s="163" t="s">
        <v>239</v>
      </c>
      <c r="N8" s="165">
        <v>1890</v>
      </c>
      <c r="O8" s="165">
        <v>7.6116519010000001</v>
      </c>
      <c r="P8" s="163" t="s">
        <v>240</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238</v>
      </c>
      <c r="H9" s="165">
        <v>1891</v>
      </c>
      <c r="I9" s="165">
        <v>3.2091108236535422</v>
      </c>
      <c r="J9" s="163" t="s">
        <v>239</v>
      </c>
      <c r="K9" s="163">
        <f t="shared" ref="K9:K72" si="2">C9</f>
        <v>1891</v>
      </c>
      <c r="L9" s="163">
        <v>98.212114018078367</v>
      </c>
      <c r="M9" s="163" t="s">
        <v>239</v>
      </c>
      <c r="N9" s="165">
        <f t="shared" ref="N9:N70" si="3">N8+1</f>
        <v>1891</v>
      </c>
      <c r="O9" s="165">
        <v>7.8019419829999999</v>
      </c>
      <c r="P9" s="163" t="s">
        <v>240</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238</v>
      </c>
      <c r="H10" s="165">
        <v>1892</v>
      </c>
      <c r="I10" s="165">
        <v>3.2671417607901345</v>
      </c>
      <c r="J10" s="163" t="s">
        <v>239</v>
      </c>
      <c r="K10" s="163">
        <f t="shared" si="2"/>
        <v>1892</v>
      </c>
      <c r="L10" s="163">
        <v>101.55395922450995</v>
      </c>
      <c r="M10" s="163" t="s">
        <v>239</v>
      </c>
      <c r="N10" s="165">
        <f t="shared" si="3"/>
        <v>1892</v>
      </c>
      <c r="O10" s="165">
        <v>7.3262127269999997</v>
      </c>
      <c r="P10" s="163" t="s">
        <v>240</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238</v>
      </c>
      <c r="H11" s="165">
        <v>1893</v>
      </c>
      <c r="I11" s="165">
        <v>3.4064160099179559</v>
      </c>
      <c r="J11" s="163" t="s">
        <v>239</v>
      </c>
      <c r="K11" s="163">
        <f t="shared" si="2"/>
        <v>1893</v>
      </c>
      <c r="L11" s="163">
        <v>93.956641301053907</v>
      </c>
      <c r="M11" s="163" t="s">
        <v>239</v>
      </c>
      <c r="N11" s="165">
        <f t="shared" si="3"/>
        <v>1893</v>
      </c>
      <c r="O11" s="165">
        <v>7.8970910740000004</v>
      </c>
      <c r="P11" s="163" t="s">
        <v>240</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238</v>
      </c>
      <c r="H12" s="165">
        <v>1894</v>
      </c>
      <c r="I12" s="165">
        <v>3.9693161001428989</v>
      </c>
      <c r="J12" s="163" t="s">
        <v>239</v>
      </c>
      <c r="K12" s="163">
        <f t="shared" si="2"/>
        <v>1894</v>
      </c>
      <c r="L12" s="163">
        <v>104.47457306769778</v>
      </c>
      <c r="M12" s="163" t="s">
        <v>239</v>
      </c>
      <c r="N12" s="165">
        <f t="shared" si="3"/>
        <v>1894</v>
      </c>
      <c r="O12" s="165">
        <v>6.8504834710000004</v>
      </c>
      <c r="P12" s="163" t="s">
        <v>240</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238</v>
      </c>
      <c r="H13" s="165">
        <v>1895</v>
      </c>
      <c r="I13" s="165">
        <v>3.6037211961823687</v>
      </c>
      <c r="J13" s="163" t="s">
        <v>239</v>
      </c>
      <c r="K13" s="163">
        <f t="shared" si="2"/>
        <v>1895</v>
      </c>
      <c r="L13" s="163">
        <v>107.47706451377604</v>
      </c>
      <c r="M13" s="163" t="s">
        <v>239</v>
      </c>
      <c r="N13" s="165">
        <f t="shared" si="3"/>
        <v>1895</v>
      </c>
      <c r="O13" s="165">
        <v>6.5650523969999997</v>
      </c>
      <c r="P13" s="163" t="s">
        <v>240</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238</v>
      </c>
      <c r="H14" s="165">
        <v>1896</v>
      </c>
      <c r="I14" s="165">
        <v>3.1220644179486539</v>
      </c>
      <c r="J14" s="163" t="s">
        <v>239</v>
      </c>
      <c r="K14" s="163">
        <f t="shared" si="2"/>
        <v>1896</v>
      </c>
      <c r="L14" s="163">
        <v>106.54886863492854</v>
      </c>
      <c r="M14" s="163" t="s">
        <v>239</v>
      </c>
      <c r="N14" s="165">
        <f t="shared" si="3"/>
        <v>1896</v>
      </c>
      <c r="O14" s="165">
        <v>6.6601933879999997</v>
      </c>
      <c r="P14" s="163" t="s">
        <v>240</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238</v>
      </c>
      <c r="H15" s="165">
        <v>1897</v>
      </c>
      <c r="I15" s="165">
        <v>3.2207170110808607</v>
      </c>
      <c r="J15" s="163" t="s">
        <v>239</v>
      </c>
      <c r="K15" s="163">
        <f t="shared" si="2"/>
        <v>1897</v>
      </c>
      <c r="L15" s="163">
        <v>107.49523620119035</v>
      </c>
      <c r="M15" s="163" t="s">
        <v>239</v>
      </c>
      <c r="N15" s="165">
        <f t="shared" si="3"/>
        <v>1897</v>
      </c>
      <c r="O15" s="165">
        <v>6.469903306</v>
      </c>
      <c r="P15" s="163" t="s">
        <v>240</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238</v>
      </c>
      <c r="H16" s="165">
        <v>1898</v>
      </c>
      <c r="I16" s="165">
        <v>3.4296283847725926</v>
      </c>
      <c r="J16" s="163" t="s">
        <v>239</v>
      </c>
      <c r="K16" s="163">
        <f t="shared" si="2"/>
        <v>1898</v>
      </c>
      <c r="L16" s="163">
        <v>108.97733287732007</v>
      </c>
      <c r="M16" s="163" t="s">
        <v>239</v>
      </c>
      <c r="N16" s="165">
        <f t="shared" si="3"/>
        <v>1898</v>
      </c>
      <c r="O16" s="165">
        <v>6.6601933879999997</v>
      </c>
      <c r="P16" s="163" t="s">
        <v>240</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238</v>
      </c>
      <c r="H17" s="165">
        <v>1899</v>
      </c>
      <c r="I17" s="165">
        <v>3.2787479482174526</v>
      </c>
      <c r="J17" s="163" t="s">
        <v>239</v>
      </c>
      <c r="K17" s="163">
        <f t="shared" si="2"/>
        <v>1899</v>
      </c>
      <c r="L17" s="163">
        <v>115.22372835043592</v>
      </c>
      <c r="M17" s="163" t="s">
        <v>239</v>
      </c>
      <c r="N17" s="165">
        <f t="shared" si="3"/>
        <v>1899</v>
      </c>
      <c r="O17" s="165">
        <v>6.7553424790000003</v>
      </c>
      <c r="P17" s="163" t="s">
        <v>240</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238</v>
      </c>
      <c r="H18" s="165">
        <v>1900</v>
      </c>
      <c r="I18" s="165">
        <v>3.7487985390238485</v>
      </c>
      <c r="J18" s="163" t="s">
        <v>239</v>
      </c>
      <c r="K18" s="163">
        <f t="shared" si="2"/>
        <v>1900</v>
      </c>
      <c r="L18" s="163">
        <v>103.94113451833215</v>
      </c>
      <c r="M18" s="163" t="s">
        <v>239</v>
      </c>
      <c r="N18" s="165">
        <f t="shared" si="3"/>
        <v>1900</v>
      </c>
      <c r="O18" s="165">
        <v>7.8970910740000004</v>
      </c>
      <c r="P18" s="163" t="s">
        <v>240</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238</v>
      </c>
      <c r="H19" s="165">
        <v>1901</v>
      </c>
      <c r="I19" s="165">
        <v>3.145276792803291</v>
      </c>
      <c r="J19" s="163" t="s">
        <v>239</v>
      </c>
      <c r="K19" s="163">
        <f t="shared" si="2"/>
        <v>1901</v>
      </c>
      <c r="L19" s="163">
        <v>105.19600577708134</v>
      </c>
      <c r="M19" s="163" t="s">
        <v>239</v>
      </c>
      <c r="N19" s="165">
        <f t="shared" si="3"/>
        <v>1901</v>
      </c>
      <c r="O19" s="165">
        <v>7.7067928930000003</v>
      </c>
      <c r="P19" s="163" t="s">
        <v>240</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238</v>
      </c>
      <c r="H20" s="165">
        <v>1902</v>
      </c>
      <c r="I20" s="165">
        <v>3.708176883028234</v>
      </c>
      <c r="J20" s="163" t="s">
        <v>239</v>
      </c>
      <c r="K20" s="163">
        <f t="shared" si="2"/>
        <v>1902</v>
      </c>
      <c r="L20" s="163">
        <v>106.24524833770403</v>
      </c>
      <c r="M20" s="163" t="s">
        <v>239</v>
      </c>
      <c r="N20" s="165">
        <f t="shared" si="3"/>
        <v>1902</v>
      </c>
      <c r="O20" s="165">
        <v>7.8970910740000004</v>
      </c>
      <c r="P20" s="163" t="s">
        <v>240</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238</v>
      </c>
      <c r="H21" s="165">
        <v>1903</v>
      </c>
      <c r="I21" s="165">
        <v>3.7662078201648264</v>
      </c>
      <c r="J21" s="163" t="s">
        <v>239</v>
      </c>
      <c r="K21" s="163">
        <f t="shared" si="2"/>
        <v>1903</v>
      </c>
      <c r="L21" s="163">
        <v>100.40756224678127</v>
      </c>
      <c r="M21" s="163" t="s">
        <v>239</v>
      </c>
      <c r="N21" s="165">
        <f t="shared" si="3"/>
        <v>1903</v>
      </c>
      <c r="O21" s="165">
        <v>8.6582595040000001</v>
      </c>
      <c r="P21" s="163" t="s">
        <v>240</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238</v>
      </c>
      <c r="H22" s="165">
        <v>1904</v>
      </c>
      <c r="I22" s="165">
        <v>3.940300631574603</v>
      </c>
      <c r="J22" s="163" t="s">
        <v>239</v>
      </c>
      <c r="K22" s="163">
        <f t="shared" si="2"/>
        <v>1904</v>
      </c>
      <c r="L22" s="163">
        <v>103.80275907970983</v>
      </c>
      <c r="M22" s="163" t="s">
        <v>239</v>
      </c>
      <c r="N22" s="165">
        <f t="shared" si="3"/>
        <v>1904</v>
      </c>
      <c r="O22" s="165">
        <v>8.2776793390000005</v>
      </c>
      <c r="P22" s="163" t="s">
        <v>240</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238</v>
      </c>
      <c r="H23" s="165">
        <v>1905</v>
      </c>
      <c r="I23" s="165">
        <v>3.4528407596272293</v>
      </c>
      <c r="J23" s="163" t="s">
        <v>239</v>
      </c>
      <c r="K23" s="163">
        <f t="shared" si="2"/>
        <v>1905</v>
      </c>
      <c r="L23" s="163">
        <v>106.24570255051941</v>
      </c>
      <c r="M23" s="163" t="s">
        <v>239</v>
      </c>
      <c r="N23" s="165">
        <f t="shared" si="3"/>
        <v>1905</v>
      </c>
      <c r="O23" s="165">
        <v>8.4679289260000008</v>
      </c>
      <c r="P23" s="163" t="s">
        <v>240</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238</v>
      </c>
      <c r="H24" s="165">
        <v>1906</v>
      </c>
      <c r="I24" s="165">
        <v>4.0969841618434009</v>
      </c>
      <c r="J24" s="163" t="s">
        <v>239</v>
      </c>
      <c r="K24" s="163">
        <f t="shared" si="2"/>
        <v>1906</v>
      </c>
      <c r="L24" s="163">
        <v>116.75089561169436</v>
      </c>
      <c r="M24" s="163" t="s">
        <v>239</v>
      </c>
      <c r="N24" s="165">
        <f t="shared" si="3"/>
        <v>1906</v>
      </c>
      <c r="O24" s="165">
        <v>8.4679289260000008</v>
      </c>
      <c r="P24" s="163" t="s">
        <v>240</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238</v>
      </c>
      <c r="H25" s="165">
        <v>1907</v>
      </c>
      <c r="I25" s="165">
        <v>4.5206100029405238</v>
      </c>
      <c r="J25" s="163" t="s">
        <v>239</v>
      </c>
      <c r="K25" s="163">
        <f t="shared" si="2"/>
        <v>1907</v>
      </c>
      <c r="L25" s="163">
        <v>116.75604212640144</v>
      </c>
      <c r="M25" s="163" t="s">
        <v>239</v>
      </c>
      <c r="N25" s="165">
        <f t="shared" si="3"/>
        <v>1907</v>
      </c>
      <c r="O25" s="165">
        <v>8.8485090910000004</v>
      </c>
      <c r="P25" s="163" t="s">
        <v>240</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238</v>
      </c>
      <c r="H26" s="165">
        <v>1908</v>
      </c>
      <c r="I26" s="165">
        <v>4.0795748807024239</v>
      </c>
      <c r="J26" s="163" t="s">
        <v>239</v>
      </c>
      <c r="K26" s="163">
        <f t="shared" si="2"/>
        <v>1908</v>
      </c>
      <c r="L26" s="163">
        <v>115.58544956315518</v>
      </c>
      <c r="M26" s="163" t="s">
        <v>239</v>
      </c>
      <c r="N26" s="165">
        <f t="shared" si="3"/>
        <v>1908</v>
      </c>
      <c r="O26" s="165">
        <v>8.6582595040000001</v>
      </c>
      <c r="P26" s="163" t="s">
        <v>240</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238</v>
      </c>
      <c r="H27" s="165">
        <v>1909</v>
      </c>
      <c r="I27" s="165">
        <v>3.9867253812838763</v>
      </c>
      <c r="J27" s="163" t="s">
        <v>239</v>
      </c>
      <c r="K27" s="163">
        <f t="shared" si="2"/>
        <v>1909</v>
      </c>
      <c r="L27" s="163">
        <v>104.97537717801501</v>
      </c>
      <c r="M27" s="163" t="s">
        <v>239</v>
      </c>
      <c r="N27" s="165">
        <f t="shared" si="3"/>
        <v>1909</v>
      </c>
      <c r="O27" s="165">
        <v>8.9436743799999991</v>
      </c>
      <c r="P27" s="163" t="s">
        <v>240</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238</v>
      </c>
      <c r="H28" s="165">
        <v>1910</v>
      </c>
      <c r="I28" s="165">
        <v>4.3058955355351332</v>
      </c>
      <c r="J28" s="163" t="s">
        <v>239</v>
      </c>
      <c r="K28" s="163">
        <f t="shared" si="2"/>
        <v>1910</v>
      </c>
      <c r="L28" s="163">
        <v>100.09449907868294</v>
      </c>
      <c r="M28" s="163" t="s">
        <v>239</v>
      </c>
      <c r="N28" s="165">
        <f t="shared" si="3"/>
        <v>1910</v>
      </c>
      <c r="O28" s="165">
        <v>9.8951652889999995</v>
      </c>
      <c r="P28" s="163" t="s">
        <v>240</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238</v>
      </c>
      <c r="H29" s="165">
        <v>1911</v>
      </c>
      <c r="I29" s="165">
        <v>4.2072429424029263</v>
      </c>
      <c r="J29" s="163" t="s">
        <v>239</v>
      </c>
      <c r="K29" s="163">
        <f t="shared" si="2"/>
        <v>1911</v>
      </c>
      <c r="L29" s="163">
        <v>103.96475463450649</v>
      </c>
      <c r="M29" s="163" t="s">
        <v>239</v>
      </c>
      <c r="N29" s="165">
        <f t="shared" si="3"/>
        <v>1911</v>
      </c>
      <c r="O29" s="165">
        <v>9.229089256</v>
      </c>
      <c r="P29" s="163" t="s">
        <v>240</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238</v>
      </c>
      <c r="H30" s="165">
        <v>1912</v>
      </c>
      <c r="I30" s="165">
        <v>4.3697295663853835</v>
      </c>
      <c r="J30" s="163" t="s">
        <v>239</v>
      </c>
      <c r="K30" s="163">
        <f t="shared" si="2"/>
        <v>1912</v>
      </c>
      <c r="L30" s="163">
        <v>102.78794412879729</v>
      </c>
      <c r="M30" s="163" t="s">
        <v>239</v>
      </c>
      <c r="N30" s="165">
        <f t="shared" si="3"/>
        <v>1912</v>
      </c>
      <c r="O30" s="165">
        <v>9.1340049590000003</v>
      </c>
      <c r="P30" s="163" t="s">
        <v>240</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238</v>
      </c>
      <c r="H31" s="165">
        <v>1913</v>
      </c>
      <c r="I31" s="165">
        <v>4.3697295663853835</v>
      </c>
      <c r="J31" s="163" t="s">
        <v>239</v>
      </c>
      <c r="K31" s="163">
        <f t="shared" si="2"/>
        <v>1913</v>
      </c>
      <c r="L31" s="163">
        <v>105.27759490893132</v>
      </c>
      <c r="M31" s="163" t="s">
        <v>239</v>
      </c>
      <c r="N31" s="165">
        <f t="shared" si="3"/>
        <v>1913</v>
      </c>
      <c r="O31" s="165">
        <v>9.8000000000000007</v>
      </c>
      <c r="P31" s="163" t="s">
        <v>241</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238</v>
      </c>
      <c r="H32" s="165">
        <v>1914</v>
      </c>
      <c r="I32" s="165">
        <v>4.5322161903678424</v>
      </c>
      <c r="J32" s="163" t="s">
        <v>239</v>
      </c>
      <c r="K32" s="163">
        <f t="shared" si="2"/>
        <v>1914</v>
      </c>
      <c r="L32" s="163">
        <v>91.823118279569897</v>
      </c>
      <c r="M32" s="163" t="s">
        <v>239</v>
      </c>
      <c r="N32" s="165">
        <f t="shared" si="3"/>
        <v>1914</v>
      </c>
      <c r="O32" s="165">
        <v>10</v>
      </c>
      <c r="P32" s="163" t="s">
        <v>241</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238</v>
      </c>
      <c r="H33" s="165">
        <v>1915</v>
      </c>
      <c r="I33" s="165">
        <v>4.1608181926936529</v>
      </c>
      <c r="J33" s="163" t="s">
        <v>239</v>
      </c>
      <c r="K33" s="163">
        <f t="shared" si="2"/>
        <v>1915</v>
      </c>
      <c r="M33" s="163" t="s">
        <v>242</v>
      </c>
      <c r="N33" s="165">
        <f t="shared" si="3"/>
        <v>1915</v>
      </c>
      <c r="O33" s="165">
        <v>10.1</v>
      </c>
      <c r="P33" s="163" t="s">
        <v>241</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238</v>
      </c>
      <c r="H34" s="165">
        <v>1916</v>
      </c>
      <c r="I34" s="165">
        <v>4.5554285652224786</v>
      </c>
      <c r="J34" s="163" t="s">
        <v>239</v>
      </c>
      <c r="K34" s="163">
        <f t="shared" si="2"/>
        <v>1916</v>
      </c>
      <c r="M34" s="163" t="s">
        <v>242</v>
      </c>
      <c r="N34" s="165">
        <f t="shared" si="3"/>
        <v>1916</v>
      </c>
      <c r="O34" s="165">
        <v>10.4</v>
      </c>
      <c r="P34" s="163" t="s">
        <v>241</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238</v>
      </c>
      <c r="H35" s="165">
        <v>1917</v>
      </c>
      <c r="I35" s="165">
        <v>4.6482780646410262</v>
      </c>
      <c r="J35" s="163" t="s">
        <v>239</v>
      </c>
      <c r="K35" s="163">
        <f t="shared" si="2"/>
        <v>1917</v>
      </c>
      <c r="M35" s="163" t="s">
        <v>242</v>
      </c>
      <c r="N35" s="165">
        <f t="shared" si="3"/>
        <v>1917</v>
      </c>
      <c r="O35" s="165">
        <v>11.7</v>
      </c>
      <c r="P35" s="163" t="s">
        <v>241</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238</v>
      </c>
      <c r="H36" s="165">
        <v>1918</v>
      </c>
      <c r="I36" s="165">
        <v>4.9442358440376459</v>
      </c>
      <c r="J36" s="163" t="s">
        <v>239</v>
      </c>
      <c r="K36" s="163">
        <f t="shared" si="2"/>
        <v>1918</v>
      </c>
      <c r="M36" s="163" t="s">
        <v>242</v>
      </c>
      <c r="N36" s="165">
        <f t="shared" si="3"/>
        <v>1918</v>
      </c>
      <c r="O36" s="165">
        <v>14</v>
      </c>
      <c r="P36" s="163" t="s">
        <v>241</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238</v>
      </c>
      <c r="H37" s="165">
        <v>1919</v>
      </c>
      <c r="I37" s="165">
        <v>5.4374988096986785</v>
      </c>
      <c r="J37" s="163" t="s">
        <v>239</v>
      </c>
      <c r="K37" s="163">
        <f t="shared" si="2"/>
        <v>1919</v>
      </c>
      <c r="M37" s="163" t="s">
        <v>242</v>
      </c>
      <c r="N37" s="165">
        <f t="shared" si="3"/>
        <v>1919</v>
      </c>
      <c r="O37" s="165">
        <v>16.5</v>
      </c>
      <c r="P37" s="163" t="s">
        <v>241</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238</v>
      </c>
      <c r="H38" s="165">
        <v>1920</v>
      </c>
      <c r="I38" s="165">
        <v>5.9597772439280075</v>
      </c>
      <c r="J38" s="163" t="s">
        <v>239</v>
      </c>
      <c r="K38" s="163">
        <f t="shared" si="2"/>
        <v>1920</v>
      </c>
      <c r="M38" s="163" t="s">
        <v>242</v>
      </c>
      <c r="N38" s="165">
        <f t="shared" si="3"/>
        <v>1920</v>
      </c>
      <c r="O38" s="165">
        <v>19.3</v>
      </c>
      <c r="P38" s="163" t="s">
        <v>241</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238</v>
      </c>
      <c r="H39" s="165">
        <v>1921</v>
      </c>
      <c r="I39" s="165">
        <v>5.8263060885138458</v>
      </c>
      <c r="J39" s="163" t="s">
        <v>239</v>
      </c>
      <c r="K39" s="163">
        <f t="shared" si="2"/>
        <v>1921</v>
      </c>
      <c r="M39" s="163" t="s">
        <v>242</v>
      </c>
      <c r="N39" s="165">
        <f t="shared" si="3"/>
        <v>1921</v>
      </c>
      <c r="O39" s="165">
        <v>19</v>
      </c>
      <c r="P39" s="163" t="s">
        <v>241</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238</v>
      </c>
      <c r="H40" s="165">
        <v>1922</v>
      </c>
      <c r="I40" s="165">
        <v>5.9075494005050739</v>
      </c>
      <c r="J40" s="163" t="s">
        <v>239</v>
      </c>
      <c r="K40" s="163">
        <f t="shared" si="2"/>
        <v>1922</v>
      </c>
      <c r="M40" s="163" t="s">
        <v>242</v>
      </c>
      <c r="N40" s="165">
        <f t="shared" si="3"/>
        <v>1922</v>
      </c>
      <c r="O40" s="165">
        <v>16.899999999999999</v>
      </c>
      <c r="P40" s="163" t="s">
        <v>241</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238</v>
      </c>
      <c r="H41" s="165">
        <v>1923</v>
      </c>
      <c r="I41" s="165">
        <v>5.9945958062099622</v>
      </c>
      <c r="J41" s="163" t="s">
        <v>239</v>
      </c>
      <c r="K41" s="163">
        <f t="shared" si="2"/>
        <v>1923</v>
      </c>
      <c r="M41" s="163" t="s">
        <v>242</v>
      </c>
      <c r="N41" s="165">
        <f t="shared" si="3"/>
        <v>1923</v>
      </c>
      <c r="O41" s="165">
        <v>16.8</v>
      </c>
      <c r="P41" s="163" t="s">
        <v>241</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238</v>
      </c>
      <c r="H42" s="165">
        <v>1924</v>
      </c>
      <c r="I42" s="165">
        <v>6.0062019936372808</v>
      </c>
      <c r="J42" s="163" t="s">
        <v>239</v>
      </c>
      <c r="K42" s="163">
        <f t="shared" si="2"/>
        <v>1924</v>
      </c>
      <c r="M42" s="163" t="s">
        <v>242</v>
      </c>
      <c r="N42" s="165">
        <f t="shared" si="3"/>
        <v>1924</v>
      </c>
      <c r="O42" s="165">
        <v>17.3</v>
      </c>
      <c r="P42" s="163" t="s">
        <v>241</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238</v>
      </c>
      <c r="H43" s="165">
        <v>1925</v>
      </c>
      <c r="I43" s="165">
        <v>6.3195690541748784</v>
      </c>
      <c r="J43" s="163" t="s">
        <v>239</v>
      </c>
      <c r="K43" s="163">
        <f t="shared" si="2"/>
        <v>1925</v>
      </c>
      <c r="M43" s="163" t="s">
        <v>242</v>
      </c>
      <c r="N43" s="165">
        <f t="shared" si="3"/>
        <v>1925</v>
      </c>
      <c r="O43" s="165">
        <v>17.3</v>
      </c>
      <c r="P43" s="163" t="s">
        <v>241</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238</v>
      </c>
      <c r="H44" s="165">
        <v>1926</v>
      </c>
      <c r="I44" s="165">
        <v>6.0642329307738727</v>
      </c>
      <c r="J44" s="163" t="s">
        <v>239</v>
      </c>
      <c r="K44" s="163">
        <f t="shared" si="2"/>
        <v>1926</v>
      </c>
      <c r="M44" s="163" t="s">
        <v>242</v>
      </c>
      <c r="N44" s="165">
        <f t="shared" si="3"/>
        <v>1926</v>
      </c>
      <c r="O44" s="165">
        <v>17.899999999999999</v>
      </c>
      <c r="P44" s="163" t="s">
        <v>241</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238</v>
      </c>
      <c r="H45" s="165">
        <v>1927</v>
      </c>
      <c r="I45" s="165">
        <v>5.8379122759411635</v>
      </c>
      <c r="J45" s="163" t="s">
        <v>239</v>
      </c>
      <c r="K45" s="163">
        <f t="shared" si="2"/>
        <v>1927</v>
      </c>
      <c r="M45" s="163" t="s">
        <v>242</v>
      </c>
      <c r="N45" s="165">
        <f t="shared" si="3"/>
        <v>1927</v>
      </c>
      <c r="O45" s="165">
        <v>17.5</v>
      </c>
      <c r="P45" s="163" t="s">
        <v>241</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238</v>
      </c>
      <c r="H46" s="165">
        <v>1928</v>
      </c>
      <c r="I46" s="165">
        <v>5.9249586816460518</v>
      </c>
      <c r="J46" s="163" t="s">
        <v>239</v>
      </c>
      <c r="K46" s="163">
        <f t="shared" si="2"/>
        <v>1928</v>
      </c>
      <c r="M46" s="163" t="s">
        <v>242</v>
      </c>
      <c r="N46" s="165">
        <f t="shared" si="3"/>
        <v>1928</v>
      </c>
      <c r="O46" s="165">
        <v>17.3</v>
      </c>
      <c r="P46" s="163" t="s">
        <v>241</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238</v>
      </c>
      <c r="H47" s="165">
        <v>1929</v>
      </c>
      <c r="I47" s="165">
        <v>5.8030937136592087</v>
      </c>
      <c r="J47" s="163" t="s">
        <v>239</v>
      </c>
      <c r="K47" s="163">
        <f t="shared" si="2"/>
        <v>1929</v>
      </c>
      <c r="M47" s="163" t="s">
        <v>242</v>
      </c>
      <c r="N47" s="165">
        <f t="shared" si="3"/>
        <v>1929</v>
      </c>
      <c r="O47" s="165">
        <v>17.100000000000001</v>
      </c>
      <c r="P47" s="163" t="s">
        <v>241</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238</v>
      </c>
      <c r="H48" s="165">
        <v>1930</v>
      </c>
      <c r="I48" s="165">
        <v>5.5535606839718632</v>
      </c>
      <c r="J48" s="163" t="s">
        <v>239</v>
      </c>
      <c r="K48" s="163">
        <f t="shared" si="2"/>
        <v>1930</v>
      </c>
      <c r="M48" s="163" t="s">
        <v>242</v>
      </c>
      <c r="N48" s="165">
        <f t="shared" si="3"/>
        <v>1930</v>
      </c>
      <c r="O48" s="165">
        <v>17.100000000000001</v>
      </c>
      <c r="P48" s="163" t="s">
        <v>241</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238</v>
      </c>
      <c r="H49" s="165">
        <v>1931</v>
      </c>
      <c r="I49" s="165">
        <v>5.1009193743064447</v>
      </c>
      <c r="J49" s="163" t="s">
        <v>239</v>
      </c>
      <c r="K49" s="163">
        <f t="shared" si="2"/>
        <v>1931</v>
      </c>
      <c r="M49" s="163" t="s">
        <v>242</v>
      </c>
      <c r="N49" s="165">
        <f t="shared" si="3"/>
        <v>1931</v>
      </c>
      <c r="O49" s="165">
        <v>15.9</v>
      </c>
      <c r="P49" s="163" t="s">
        <v>241</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238</v>
      </c>
      <c r="H50" s="165">
        <v>1932</v>
      </c>
      <c r="I50" s="165">
        <v>4.5670347526497972</v>
      </c>
      <c r="J50" s="163" t="s">
        <v>239</v>
      </c>
      <c r="K50" s="163">
        <f t="shared" si="2"/>
        <v>1932</v>
      </c>
      <c r="M50" s="163" t="s">
        <v>242</v>
      </c>
      <c r="N50" s="165">
        <f t="shared" si="3"/>
        <v>1932</v>
      </c>
      <c r="O50" s="165">
        <v>14.3</v>
      </c>
      <c r="P50" s="163" t="s">
        <v>241</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238</v>
      </c>
      <c r="H51" s="165">
        <v>1933</v>
      </c>
      <c r="I51" s="165">
        <v>4.3929419412400215</v>
      </c>
      <c r="J51" s="163" t="s">
        <v>239</v>
      </c>
      <c r="K51" s="163">
        <f t="shared" si="2"/>
        <v>1933</v>
      </c>
      <c r="M51" s="163" t="s">
        <v>242</v>
      </c>
      <c r="N51" s="165">
        <f t="shared" si="3"/>
        <v>1933</v>
      </c>
      <c r="O51" s="165">
        <v>12.9</v>
      </c>
      <c r="P51" s="163" t="s">
        <v>241</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238</v>
      </c>
      <c r="H52" s="165">
        <v>1934</v>
      </c>
      <c r="I52" s="165">
        <v>4.5206100029405238</v>
      </c>
      <c r="J52" s="163" t="s">
        <v>243</v>
      </c>
      <c r="K52" s="163">
        <f t="shared" si="2"/>
        <v>1934</v>
      </c>
      <c r="M52" s="163" t="s">
        <v>242</v>
      </c>
      <c r="N52" s="165">
        <f t="shared" si="3"/>
        <v>1934</v>
      </c>
      <c r="O52" s="165">
        <v>13.2</v>
      </c>
      <c r="P52" s="163" t="s">
        <v>241</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238</v>
      </c>
      <c r="H53" s="165">
        <v>1935</v>
      </c>
      <c r="I53" s="165">
        <v>4.9620852592390055</v>
      </c>
      <c r="J53" s="163" t="s">
        <v>243</v>
      </c>
      <c r="K53" s="163">
        <f t="shared" si="2"/>
        <v>1935</v>
      </c>
      <c r="M53" s="163" t="s">
        <v>242</v>
      </c>
      <c r="N53" s="165">
        <f t="shared" si="3"/>
        <v>1935</v>
      </c>
      <c r="O53" s="165">
        <v>13.6</v>
      </c>
      <c r="P53" s="163" t="s">
        <v>241</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238</v>
      </c>
      <c r="H54" s="165">
        <v>1936</v>
      </c>
      <c r="I54" s="165">
        <v>5.1217950075748586</v>
      </c>
      <c r="J54" s="163" t="s">
        <v>243</v>
      </c>
      <c r="K54" s="163">
        <f t="shared" si="2"/>
        <v>1936</v>
      </c>
      <c r="M54" s="163" t="s">
        <v>242</v>
      </c>
      <c r="N54" s="165">
        <f t="shared" si="3"/>
        <v>1936</v>
      </c>
      <c r="O54" s="165">
        <v>13.8</v>
      </c>
      <c r="P54" s="163" t="s">
        <v>241</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238</v>
      </c>
      <c r="H55" s="165">
        <v>1937</v>
      </c>
      <c r="I55" s="165">
        <v>5.253086651224617</v>
      </c>
      <c r="J55" s="163" t="s">
        <v>243</v>
      </c>
      <c r="K55" s="163">
        <f t="shared" si="2"/>
        <v>1937</v>
      </c>
      <c r="M55" s="163" t="s">
        <v>242</v>
      </c>
      <c r="N55" s="165">
        <f t="shared" si="3"/>
        <v>1937</v>
      </c>
      <c r="O55" s="165">
        <v>14.1</v>
      </c>
      <c r="P55" s="163" t="s">
        <v>241</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238</v>
      </c>
      <c r="H56" s="165">
        <v>1938</v>
      </c>
      <c r="I56" s="165">
        <v>5.2071914121565737</v>
      </c>
      <c r="J56" s="163" t="s">
        <v>243</v>
      </c>
      <c r="K56" s="163">
        <f t="shared" si="2"/>
        <v>1938</v>
      </c>
      <c r="M56" s="163" t="s">
        <v>242</v>
      </c>
      <c r="N56" s="165">
        <f t="shared" si="3"/>
        <v>1938</v>
      </c>
      <c r="O56" s="165">
        <v>14.2</v>
      </c>
      <c r="P56" s="163" t="s">
        <v>241</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238</v>
      </c>
      <c r="H57" s="165">
        <v>1939</v>
      </c>
      <c r="I57" s="165">
        <v>5.1394142324802372</v>
      </c>
      <c r="J57" s="163" t="s">
        <v>243</v>
      </c>
      <c r="K57" s="163">
        <f t="shared" si="2"/>
        <v>1939</v>
      </c>
      <c r="M57" s="163" t="s">
        <v>242</v>
      </c>
      <c r="N57" s="165">
        <f t="shared" si="3"/>
        <v>1939</v>
      </c>
      <c r="O57" s="165">
        <v>14</v>
      </c>
      <c r="P57" s="163" t="s">
        <v>241</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238</v>
      </c>
      <c r="H58" s="165">
        <v>1940</v>
      </c>
      <c r="I58" s="165">
        <v>5.3093544985030841</v>
      </c>
      <c r="J58" s="163" t="s">
        <v>243</v>
      </c>
      <c r="K58" s="163">
        <f t="shared" si="2"/>
        <v>1940</v>
      </c>
      <c r="M58" s="163" t="s">
        <v>242</v>
      </c>
      <c r="N58" s="165">
        <f t="shared" si="3"/>
        <v>1940</v>
      </c>
      <c r="O58" s="165">
        <v>13.9</v>
      </c>
      <c r="P58" s="163" t="s">
        <v>241</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238</v>
      </c>
      <c r="H59" s="165">
        <v>1941</v>
      </c>
      <c r="I59" s="165">
        <v>4.8641848885954095</v>
      </c>
      <c r="J59" s="163" t="s">
        <v>243</v>
      </c>
      <c r="K59" s="163">
        <f t="shared" si="2"/>
        <v>1941</v>
      </c>
      <c r="M59" s="163" t="s">
        <v>242</v>
      </c>
      <c r="N59" s="165">
        <f t="shared" si="3"/>
        <v>1941</v>
      </c>
      <c r="O59" s="165">
        <v>14.1</v>
      </c>
      <c r="P59" s="163" t="s">
        <v>241</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238</v>
      </c>
      <c r="H60" s="165">
        <v>1942</v>
      </c>
      <c r="I60" s="165">
        <v>5.0263101758295807</v>
      </c>
      <c r="J60" s="163" t="s">
        <v>243</v>
      </c>
      <c r="K60" s="163">
        <f t="shared" si="2"/>
        <v>1942</v>
      </c>
      <c r="M60" s="163" t="s">
        <v>242</v>
      </c>
      <c r="N60" s="165">
        <f t="shared" si="3"/>
        <v>1942</v>
      </c>
      <c r="O60" s="165">
        <v>15.7</v>
      </c>
      <c r="P60" s="163" t="s">
        <v>241</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238</v>
      </c>
      <c r="H61" s="165">
        <v>1943</v>
      </c>
      <c r="I61" s="165">
        <v>5.6016347051995687</v>
      </c>
      <c r="J61" s="163" t="s">
        <v>243</v>
      </c>
      <c r="K61" s="163">
        <f t="shared" si="2"/>
        <v>1943</v>
      </c>
      <c r="M61" s="163" t="s">
        <v>242</v>
      </c>
      <c r="N61" s="165">
        <f t="shared" si="3"/>
        <v>1943</v>
      </c>
      <c r="O61" s="165">
        <v>16.899999999999999</v>
      </c>
      <c r="P61" s="163" t="s">
        <v>241</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238</v>
      </c>
      <c r="H62" s="165">
        <v>1944</v>
      </c>
      <c r="I62" s="165">
        <v>6.5306225473880071</v>
      </c>
      <c r="J62" s="163" t="s">
        <v>243</v>
      </c>
      <c r="K62" s="163">
        <f t="shared" si="2"/>
        <v>1944</v>
      </c>
      <c r="M62" s="163" t="s">
        <v>242</v>
      </c>
      <c r="N62" s="165">
        <f t="shared" si="3"/>
        <v>1944</v>
      </c>
      <c r="O62" s="165">
        <v>17.399999999999999</v>
      </c>
      <c r="P62" s="163" t="s">
        <v>241</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238</v>
      </c>
      <c r="H63" s="165">
        <v>1945</v>
      </c>
      <c r="I63" s="165">
        <v>7.2997585507171605</v>
      </c>
      <c r="J63" s="163" t="s">
        <v>243</v>
      </c>
      <c r="K63" s="163">
        <f t="shared" si="2"/>
        <v>1945</v>
      </c>
      <c r="M63" s="163" t="s">
        <v>242</v>
      </c>
      <c r="N63" s="165">
        <f t="shared" si="3"/>
        <v>1945</v>
      </c>
      <c r="O63" s="165">
        <v>17.8</v>
      </c>
      <c r="P63" s="163" t="s">
        <v>241</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238</v>
      </c>
      <c r="H64" s="165">
        <v>1946</v>
      </c>
      <c r="I64" s="165">
        <v>9.0591234118332888</v>
      </c>
      <c r="J64" s="163" t="s">
        <v>243</v>
      </c>
      <c r="K64" s="163">
        <f t="shared" si="2"/>
        <v>1946</v>
      </c>
      <c r="M64" s="163" t="s">
        <v>242</v>
      </c>
      <c r="N64" s="165">
        <f t="shared" si="3"/>
        <v>1946</v>
      </c>
      <c r="O64" s="165">
        <v>18.2</v>
      </c>
      <c r="P64" s="163" t="s">
        <v>241</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238</v>
      </c>
      <c r="H65" s="165">
        <v>1947</v>
      </c>
      <c r="I65" s="165">
        <v>10.985444637980221</v>
      </c>
      <c r="J65" s="163" t="s">
        <v>243</v>
      </c>
      <c r="K65" s="163">
        <f t="shared" si="2"/>
        <v>1947</v>
      </c>
      <c r="M65" s="163" t="s">
        <v>242</v>
      </c>
      <c r="N65" s="165">
        <f t="shared" si="3"/>
        <v>1947</v>
      </c>
      <c r="O65" s="165">
        <v>21.5</v>
      </c>
      <c r="P65" s="163" t="s">
        <v>241</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238</v>
      </c>
      <c r="H66" s="165">
        <v>1948</v>
      </c>
      <c r="I66" s="165">
        <v>11.211581706019819</v>
      </c>
      <c r="J66" s="163" t="s">
        <v>243</v>
      </c>
      <c r="K66" s="163">
        <f t="shared" si="2"/>
        <v>1948</v>
      </c>
      <c r="M66" s="163" t="s">
        <v>242</v>
      </c>
      <c r="N66" s="165">
        <f t="shared" si="3"/>
        <v>1948</v>
      </c>
      <c r="O66" s="165">
        <v>23.7</v>
      </c>
      <c r="P66" s="163" t="s">
        <v>241</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238</v>
      </c>
      <c r="H67" s="165">
        <v>1949</v>
      </c>
      <c r="I67" s="165">
        <v>11.221599087921668</v>
      </c>
      <c r="J67" s="163" t="s">
        <v>243</v>
      </c>
      <c r="K67" s="163">
        <f t="shared" si="2"/>
        <v>1949</v>
      </c>
      <c r="M67" s="163" t="s">
        <v>242</v>
      </c>
      <c r="N67" s="165">
        <f t="shared" si="3"/>
        <v>1949</v>
      </c>
      <c r="O67" s="165">
        <v>24</v>
      </c>
      <c r="P67" s="163" t="s">
        <v>241</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238</v>
      </c>
      <c r="H68" s="165">
        <v>1950</v>
      </c>
      <c r="I68" s="165">
        <v>11.630109342784282</v>
      </c>
      <c r="J68" s="163" t="s">
        <v>243</v>
      </c>
      <c r="K68" s="163">
        <f t="shared" si="2"/>
        <v>1950</v>
      </c>
      <c r="M68" s="163" t="s">
        <v>242</v>
      </c>
      <c r="N68" s="165">
        <f t="shared" si="3"/>
        <v>1950</v>
      </c>
      <c r="O68" s="165">
        <v>23.5</v>
      </c>
      <c r="P68" s="163" t="s">
        <v>241</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238</v>
      </c>
      <c r="H69" s="165">
        <v>1951</v>
      </c>
      <c r="I69" s="165">
        <v>12.333457433765126</v>
      </c>
      <c r="J69" s="163" t="s">
        <v>243</v>
      </c>
      <c r="K69" s="163">
        <f t="shared" si="2"/>
        <v>1951</v>
      </c>
      <c r="M69" s="163" t="s">
        <v>242</v>
      </c>
      <c r="N69" s="165">
        <f t="shared" si="3"/>
        <v>1951</v>
      </c>
      <c r="O69" s="165">
        <v>25.4</v>
      </c>
      <c r="P69" s="163" t="s">
        <v>241</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238</v>
      </c>
      <c r="H70" s="165">
        <v>1952</v>
      </c>
      <c r="I70" s="165">
        <v>12.876953685886688</v>
      </c>
      <c r="J70" s="163" t="s">
        <v>243</v>
      </c>
      <c r="K70" s="163">
        <f t="shared" si="2"/>
        <v>1952</v>
      </c>
      <c r="M70" s="163" t="s">
        <v>242</v>
      </c>
      <c r="N70" s="165">
        <f t="shared" si="3"/>
        <v>1952</v>
      </c>
      <c r="O70" s="165">
        <v>26.5</v>
      </c>
      <c r="P70" s="163" t="s">
        <v>241</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238</v>
      </c>
      <c r="H71" s="165">
        <v>1953.0416666666667</v>
      </c>
      <c r="I71" s="165">
        <v>14.260560157790927</v>
      </c>
      <c r="J71" s="163" t="s">
        <v>244</v>
      </c>
      <c r="K71" s="163">
        <f t="shared" si="2"/>
        <v>1953</v>
      </c>
      <c r="M71" s="163" t="s">
        <v>242</v>
      </c>
      <c r="N71" s="165">
        <f>1953+1/24</f>
        <v>1953.0416666666667</v>
      </c>
      <c r="O71" s="167">
        <v>26.6</v>
      </c>
      <c r="P71" s="163" t="s">
        <v>241</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245</v>
      </c>
      <c r="H72" s="165">
        <v>1953.125</v>
      </c>
      <c r="I72" s="165">
        <v>14.260560157790927</v>
      </c>
      <c r="J72" s="163" t="s">
        <v>244</v>
      </c>
      <c r="K72" s="163">
        <f t="shared" si="2"/>
        <v>1954</v>
      </c>
      <c r="M72" s="163" t="s">
        <v>242</v>
      </c>
      <c r="N72" s="165">
        <f>N71+1/12</f>
        <v>1953.125</v>
      </c>
      <c r="O72" s="167">
        <v>26.5</v>
      </c>
      <c r="P72" s="163" t="s">
        <v>241</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245</v>
      </c>
      <c r="H73" s="165">
        <v>1953.2083333333333</v>
      </c>
      <c r="I73" s="165">
        <v>14.260560157790927</v>
      </c>
      <c r="J73" s="163" t="s">
        <v>244</v>
      </c>
      <c r="K73" s="163">
        <f t="shared" ref="K73:K126" si="9">C73</f>
        <v>1955</v>
      </c>
      <c r="M73" s="163" t="s">
        <v>242</v>
      </c>
      <c r="N73" s="165">
        <f t="shared" ref="N73:N136" si="10">N72+1/12</f>
        <v>1953.2083333333333</v>
      </c>
      <c r="O73" s="167">
        <v>26.6</v>
      </c>
      <c r="P73" s="163" t="s">
        <v>241</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245</v>
      </c>
      <c r="H74" s="165">
        <v>1953.2916666666665</v>
      </c>
      <c r="I74" s="165">
        <v>14.293685733070348</v>
      </c>
      <c r="J74" s="163" t="s">
        <v>244</v>
      </c>
      <c r="K74" s="163">
        <f t="shared" si="9"/>
        <v>1956</v>
      </c>
      <c r="M74" s="163" t="s">
        <v>242</v>
      </c>
      <c r="N74" s="165">
        <f t="shared" si="10"/>
        <v>1953.2916666666665</v>
      </c>
      <c r="O74" s="167">
        <v>26.6</v>
      </c>
      <c r="P74" s="163" t="s">
        <v>241</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245</v>
      </c>
      <c r="H75" s="165">
        <v>1953.3749999999998</v>
      </c>
      <c r="I75" s="165">
        <v>14.31024852071006</v>
      </c>
      <c r="J75" s="163" t="s">
        <v>244</v>
      </c>
      <c r="K75" s="163">
        <f t="shared" si="9"/>
        <v>1957</v>
      </c>
      <c r="M75" s="163" t="s">
        <v>242</v>
      </c>
      <c r="N75" s="165">
        <f t="shared" si="10"/>
        <v>1953.3749999999998</v>
      </c>
      <c r="O75" s="167">
        <v>26.7</v>
      </c>
      <c r="P75" s="163" t="s">
        <v>241</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245</v>
      </c>
      <c r="H76" s="165">
        <v>1953.458333333333</v>
      </c>
      <c r="I76" s="165">
        <v>14.31024852071006</v>
      </c>
      <c r="J76" s="163" t="s">
        <v>244</v>
      </c>
      <c r="K76" s="163">
        <f t="shared" si="9"/>
        <v>1958</v>
      </c>
      <c r="M76" s="163" t="s">
        <v>242</v>
      </c>
      <c r="N76" s="165">
        <f t="shared" si="10"/>
        <v>1953.458333333333</v>
      </c>
      <c r="O76" s="167">
        <v>26.8</v>
      </c>
      <c r="P76" s="163" t="s">
        <v>241</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245</v>
      </c>
      <c r="H77" s="165">
        <v>1953.5416666666663</v>
      </c>
      <c r="I77" s="165">
        <v>14.34337409598948</v>
      </c>
      <c r="J77" s="163" t="s">
        <v>244</v>
      </c>
      <c r="K77" s="163">
        <f t="shared" si="9"/>
        <v>1959</v>
      </c>
      <c r="M77" s="163" t="s">
        <v>242</v>
      </c>
      <c r="N77" s="165">
        <f t="shared" si="10"/>
        <v>1953.5416666666663</v>
      </c>
      <c r="O77" s="167">
        <v>26.8</v>
      </c>
      <c r="P77" s="163" t="s">
        <v>241</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245</v>
      </c>
      <c r="H78" s="165">
        <v>1953.6249999999995</v>
      </c>
      <c r="I78" s="165">
        <v>14.359936883629192</v>
      </c>
      <c r="J78" s="163" t="s">
        <v>244</v>
      </c>
      <c r="K78" s="163">
        <f t="shared" si="9"/>
        <v>1960</v>
      </c>
      <c r="M78" s="163" t="s">
        <v>242</v>
      </c>
      <c r="N78" s="165">
        <f t="shared" si="10"/>
        <v>1953.6249999999995</v>
      </c>
      <c r="O78" s="167">
        <v>26.9</v>
      </c>
      <c r="P78" s="163" t="s">
        <v>241</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245</v>
      </c>
      <c r="H79" s="165">
        <v>1953.7083333333328</v>
      </c>
      <c r="I79" s="165">
        <v>14.376499671268901</v>
      </c>
      <c r="J79" s="163" t="s">
        <v>244</v>
      </c>
      <c r="K79" s="163">
        <f t="shared" si="9"/>
        <v>1961</v>
      </c>
      <c r="M79" s="163" t="s">
        <v>242</v>
      </c>
      <c r="N79" s="165">
        <f t="shared" si="10"/>
        <v>1953.7083333333328</v>
      </c>
      <c r="O79" s="167">
        <v>26.9</v>
      </c>
      <c r="P79" s="163" t="s">
        <v>241</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245</v>
      </c>
      <c r="H80" s="165">
        <v>1953.7916666666661</v>
      </c>
      <c r="I80" s="165">
        <v>14.376499671268901</v>
      </c>
      <c r="J80" s="163" t="s">
        <v>244</v>
      </c>
      <c r="K80" s="163">
        <f t="shared" si="9"/>
        <v>1962</v>
      </c>
      <c r="M80" s="163" t="s">
        <v>242</v>
      </c>
      <c r="N80" s="165">
        <f t="shared" si="10"/>
        <v>1953.7916666666661</v>
      </c>
      <c r="O80" s="167">
        <v>27</v>
      </c>
      <c r="P80" s="163" t="s">
        <v>241</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245</v>
      </c>
      <c r="H81" s="165">
        <v>1953.8749999999993</v>
      </c>
      <c r="I81" s="165">
        <v>14.359936883629192</v>
      </c>
      <c r="J81" s="163" t="s">
        <v>244</v>
      </c>
      <c r="K81" s="163">
        <f t="shared" si="9"/>
        <v>1963</v>
      </c>
      <c r="M81" s="163" t="s">
        <v>242</v>
      </c>
      <c r="N81" s="165">
        <f t="shared" si="10"/>
        <v>1953.8749999999993</v>
      </c>
      <c r="O81" s="167">
        <v>26.9</v>
      </c>
      <c r="P81" s="163" t="s">
        <v>241</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245</v>
      </c>
      <c r="H82" s="165">
        <v>1953.9583333333326</v>
      </c>
      <c r="I82" s="165">
        <v>14.359936883629192</v>
      </c>
      <c r="J82" s="163" t="s">
        <v>244</v>
      </c>
      <c r="K82" s="163">
        <f t="shared" si="9"/>
        <v>1964</v>
      </c>
      <c r="M82" s="163" t="s">
        <v>242</v>
      </c>
      <c r="N82" s="165">
        <f t="shared" si="10"/>
        <v>1953.9583333333326</v>
      </c>
      <c r="O82" s="167">
        <v>26.9</v>
      </c>
      <c r="P82" s="163" t="s">
        <v>241</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245</v>
      </c>
      <c r="H83" s="165">
        <v>1954.0416666666658</v>
      </c>
      <c r="I83" s="165">
        <v>14.359936883629192</v>
      </c>
      <c r="J83" s="163" t="s">
        <v>244</v>
      </c>
      <c r="K83" s="163">
        <f t="shared" si="9"/>
        <v>1965</v>
      </c>
      <c r="M83" s="163" t="s">
        <v>242</v>
      </c>
      <c r="N83" s="165">
        <f t="shared" si="10"/>
        <v>1954.0416666666658</v>
      </c>
      <c r="O83" s="167">
        <v>26.9</v>
      </c>
      <c r="P83" s="163" t="s">
        <v>241</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245</v>
      </c>
      <c r="H84" s="165">
        <v>1954.1249999999991</v>
      </c>
      <c r="I84" s="165">
        <v>14.376499671268901</v>
      </c>
      <c r="J84" s="163" t="s">
        <v>244</v>
      </c>
      <c r="K84" s="163">
        <f t="shared" si="9"/>
        <v>1966</v>
      </c>
      <c r="M84" s="163" t="s">
        <v>242</v>
      </c>
      <c r="N84" s="165">
        <f t="shared" si="10"/>
        <v>1954.1249999999991</v>
      </c>
      <c r="O84" s="167">
        <v>26.9</v>
      </c>
      <c r="P84" s="163" t="s">
        <v>241</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245</v>
      </c>
      <c r="H85" s="165">
        <v>1954.2083333333323</v>
      </c>
      <c r="I85" s="165">
        <v>14.376499671268901</v>
      </c>
      <c r="J85" s="163" t="s">
        <v>244</v>
      </c>
      <c r="K85" s="163">
        <f t="shared" si="9"/>
        <v>1967</v>
      </c>
      <c r="M85" s="163" t="s">
        <v>242</v>
      </c>
      <c r="N85" s="165">
        <f t="shared" si="10"/>
        <v>1954.2083333333323</v>
      </c>
      <c r="O85" s="167">
        <v>26.9</v>
      </c>
      <c r="P85" s="163" t="s">
        <v>241</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245</v>
      </c>
      <c r="H86" s="165">
        <v>1954.2916666666656</v>
      </c>
      <c r="I86" s="165">
        <v>14.359936883629192</v>
      </c>
      <c r="J86" s="163" t="s">
        <v>244</v>
      </c>
      <c r="K86" s="163">
        <f t="shared" si="9"/>
        <v>1968</v>
      </c>
      <c r="M86" s="163" t="s">
        <v>242</v>
      </c>
      <c r="N86" s="165">
        <f t="shared" si="10"/>
        <v>1954.2916666666656</v>
      </c>
      <c r="O86" s="167">
        <v>26.8</v>
      </c>
      <c r="P86" s="163" t="s">
        <v>241</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245</v>
      </c>
      <c r="H87" s="165">
        <v>1954.3749999999989</v>
      </c>
      <c r="I87" s="165">
        <v>14.359936883629192</v>
      </c>
      <c r="J87" s="163" t="s">
        <v>244</v>
      </c>
      <c r="K87" s="163">
        <f t="shared" si="9"/>
        <v>1969</v>
      </c>
      <c r="M87" s="163" t="s">
        <v>242</v>
      </c>
      <c r="N87" s="165">
        <f t="shared" si="10"/>
        <v>1954.3749999999989</v>
      </c>
      <c r="O87" s="167">
        <v>26.9</v>
      </c>
      <c r="P87" s="163" t="s">
        <v>241</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245</v>
      </c>
      <c r="H88" s="165">
        <v>1954.4583333333321</v>
      </c>
      <c r="I88" s="165">
        <v>14.376499671268901</v>
      </c>
      <c r="J88" s="163" t="s">
        <v>244</v>
      </c>
      <c r="K88" s="163">
        <f>C88</f>
        <v>1970</v>
      </c>
      <c r="M88" s="163" t="s">
        <v>242</v>
      </c>
      <c r="N88" s="165">
        <f t="shared" si="10"/>
        <v>1954.4583333333321</v>
      </c>
      <c r="O88" s="167">
        <v>26.9</v>
      </c>
      <c r="P88" s="163" t="s">
        <v>241</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245</v>
      </c>
      <c r="H89" s="165">
        <v>1954.5416666666654</v>
      </c>
      <c r="I89" s="165">
        <v>14.426188034188034</v>
      </c>
      <c r="J89" s="163" t="s">
        <v>244</v>
      </c>
      <c r="K89" s="163">
        <f t="shared" si="9"/>
        <v>1971</v>
      </c>
      <c r="M89" s="163" t="s">
        <v>242</v>
      </c>
      <c r="N89" s="165">
        <f t="shared" si="10"/>
        <v>1954.5416666666654</v>
      </c>
      <c r="O89" s="167">
        <v>26.9</v>
      </c>
      <c r="P89" s="163" t="s">
        <v>241</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245</v>
      </c>
      <c r="H90" s="165">
        <v>1954.6249999999986</v>
      </c>
      <c r="I90" s="165">
        <v>14.459313609467454</v>
      </c>
      <c r="J90" s="163" t="s">
        <v>244</v>
      </c>
      <c r="K90" s="163">
        <f t="shared" si="9"/>
        <v>1972</v>
      </c>
      <c r="M90" s="163" t="s">
        <v>242</v>
      </c>
      <c r="N90" s="165">
        <f t="shared" si="10"/>
        <v>1954.6249999999986</v>
      </c>
      <c r="O90" s="167">
        <v>26.9</v>
      </c>
      <c r="P90" s="163" t="s">
        <v>241</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245</v>
      </c>
      <c r="H91" s="165">
        <v>1954.7083333333319</v>
      </c>
      <c r="I91" s="165">
        <v>14.492439184746878</v>
      </c>
      <c r="J91" s="163" t="s">
        <v>244</v>
      </c>
      <c r="K91" s="163">
        <f t="shared" si="9"/>
        <v>1973</v>
      </c>
      <c r="M91" s="163" t="s">
        <v>242</v>
      </c>
      <c r="N91" s="165">
        <f t="shared" si="10"/>
        <v>1954.7083333333319</v>
      </c>
      <c r="O91" s="167">
        <v>26.8</v>
      </c>
      <c r="P91" s="163" t="s">
        <v>241</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245</v>
      </c>
      <c r="H92" s="165">
        <v>1954.7916666666652</v>
      </c>
      <c r="I92" s="165">
        <v>14.475876397107166</v>
      </c>
      <c r="J92" s="163" t="s">
        <v>244</v>
      </c>
      <c r="K92" s="163">
        <f t="shared" si="9"/>
        <v>1974</v>
      </c>
      <c r="M92" s="163" t="s">
        <v>242</v>
      </c>
      <c r="N92" s="165">
        <f t="shared" si="10"/>
        <v>1954.7916666666652</v>
      </c>
      <c r="O92" s="167">
        <v>26.8</v>
      </c>
      <c r="P92" s="163" t="s">
        <v>241</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245</v>
      </c>
      <c r="H93" s="165">
        <v>1954.8749999999984</v>
      </c>
      <c r="I93" s="165">
        <v>14.475876397107166</v>
      </c>
      <c r="J93" s="163" t="s">
        <v>244</v>
      </c>
      <c r="K93" s="163">
        <f t="shared" si="9"/>
        <v>1975</v>
      </c>
      <c r="M93" s="163" t="s">
        <v>242</v>
      </c>
      <c r="N93" s="165">
        <f t="shared" si="10"/>
        <v>1954.8749999999984</v>
      </c>
      <c r="O93" s="167">
        <v>26.8</v>
      </c>
      <c r="P93" s="163" t="s">
        <v>241</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245</v>
      </c>
      <c r="H94" s="165">
        <v>1954.9583333333317</v>
      </c>
      <c r="I94" s="165">
        <v>14.492439184746878</v>
      </c>
      <c r="J94" s="163" t="s">
        <v>244</v>
      </c>
      <c r="K94" s="163">
        <f t="shared" si="9"/>
        <v>1976</v>
      </c>
      <c r="M94" s="163" t="s">
        <v>242</v>
      </c>
      <c r="N94" s="165">
        <f t="shared" si="10"/>
        <v>1954.9583333333317</v>
      </c>
      <c r="O94" s="167">
        <v>26.7</v>
      </c>
      <c r="P94" s="163" t="s">
        <v>241</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245</v>
      </c>
      <c r="H95" s="165">
        <v>1955.0416666666649</v>
      </c>
      <c r="I95" s="165">
        <v>14.509001972386587</v>
      </c>
      <c r="J95" s="163" t="s">
        <v>244</v>
      </c>
      <c r="K95" s="163">
        <f t="shared" si="9"/>
        <v>1977</v>
      </c>
      <c r="M95" s="163" t="s">
        <v>242</v>
      </c>
      <c r="N95" s="165">
        <f t="shared" si="10"/>
        <v>1955.0416666666649</v>
      </c>
      <c r="O95" s="167">
        <v>26.7</v>
      </c>
      <c r="P95" s="163" t="s">
        <v>241</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245</v>
      </c>
      <c r="H96" s="165">
        <v>1955.1249999999982</v>
      </c>
      <c r="I96" s="165">
        <v>14.459313609467454</v>
      </c>
      <c r="J96" s="163" t="s">
        <v>244</v>
      </c>
      <c r="K96" s="163">
        <f t="shared" si="9"/>
        <v>1978</v>
      </c>
      <c r="M96" s="163" t="s">
        <v>242</v>
      </c>
      <c r="N96" s="165">
        <f t="shared" si="10"/>
        <v>1955.1249999999982</v>
      </c>
      <c r="O96" s="167">
        <v>26.7</v>
      </c>
      <c r="P96" s="163" t="s">
        <v>241</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245</v>
      </c>
      <c r="H97" s="165">
        <v>1955.2083333333314</v>
      </c>
      <c r="I97" s="165">
        <v>14.426188034188034</v>
      </c>
      <c r="J97" s="163" t="s">
        <v>244</v>
      </c>
      <c r="K97" s="163">
        <f t="shared" si="9"/>
        <v>1979</v>
      </c>
      <c r="M97" s="163" t="s">
        <v>242</v>
      </c>
      <c r="N97" s="165">
        <f t="shared" si="10"/>
        <v>1955.2083333333314</v>
      </c>
      <c r="O97" s="167">
        <v>26.7</v>
      </c>
      <c r="P97" s="163" t="s">
        <v>241</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245</v>
      </c>
      <c r="H98" s="165">
        <v>1955.2916666666647</v>
      </c>
      <c r="I98" s="165">
        <v>14.34337409598948</v>
      </c>
      <c r="J98" s="163" t="s">
        <v>244</v>
      </c>
      <c r="K98" s="163">
        <f t="shared" si="9"/>
        <v>1980</v>
      </c>
      <c r="M98" s="163" t="s">
        <v>242</v>
      </c>
      <c r="N98" s="165">
        <f t="shared" si="10"/>
        <v>1955.2916666666647</v>
      </c>
      <c r="O98" s="167">
        <v>26.7</v>
      </c>
      <c r="P98" s="163" t="s">
        <v>241</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245</v>
      </c>
      <c r="H99" s="165">
        <v>1955.374999999998</v>
      </c>
      <c r="I99" s="165">
        <v>14.34337409598948</v>
      </c>
      <c r="J99" s="163" t="s">
        <v>244</v>
      </c>
      <c r="K99" s="163">
        <f t="shared" si="9"/>
        <v>1981</v>
      </c>
      <c r="M99" s="163" t="s">
        <v>242</v>
      </c>
      <c r="N99" s="165">
        <f t="shared" si="10"/>
        <v>1955.374999999998</v>
      </c>
      <c r="O99" s="167">
        <v>26.7</v>
      </c>
      <c r="P99" s="163" t="s">
        <v>241</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245</v>
      </c>
      <c r="H100" s="165">
        <v>1955.4583333333312</v>
      </c>
      <c r="I100" s="165">
        <v>14.409625246548325</v>
      </c>
      <c r="J100" s="163" t="s">
        <v>244</v>
      </c>
      <c r="K100" s="163">
        <f t="shared" si="9"/>
        <v>1982</v>
      </c>
      <c r="M100" s="163" t="s">
        <v>242</v>
      </c>
      <c r="N100" s="165">
        <f t="shared" si="10"/>
        <v>1955.4583333333312</v>
      </c>
      <c r="O100" s="167">
        <v>26.7</v>
      </c>
      <c r="P100" s="163" t="s">
        <v>241</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245</v>
      </c>
      <c r="H101" s="165">
        <v>1955.5416666666645</v>
      </c>
      <c r="I101" s="165">
        <v>14.459313609467454</v>
      </c>
      <c r="J101" s="163" t="s">
        <v>244</v>
      </c>
      <c r="K101" s="163">
        <f t="shared" si="9"/>
        <v>1983</v>
      </c>
      <c r="M101" s="163" t="s">
        <v>242</v>
      </c>
      <c r="N101" s="165">
        <f t="shared" si="10"/>
        <v>1955.5416666666645</v>
      </c>
      <c r="O101" s="167">
        <v>26.8</v>
      </c>
      <c r="P101" s="163" t="s">
        <v>241</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245</v>
      </c>
      <c r="H102" s="165">
        <v>1955.6249999999977</v>
      </c>
      <c r="I102" s="165">
        <v>14.542127547666009</v>
      </c>
      <c r="J102" s="163" t="s">
        <v>244</v>
      </c>
      <c r="K102" s="163">
        <f t="shared" si="9"/>
        <v>1984</v>
      </c>
      <c r="M102" s="163" t="s">
        <v>242</v>
      </c>
      <c r="N102" s="165">
        <f t="shared" si="10"/>
        <v>1955.6249999999977</v>
      </c>
      <c r="O102" s="167">
        <v>26.8</v>
      </c>
      <c r="P102" s="163" t="s">
        <v>241</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245</v>
      </c>
      <c r="H103" s="165">
        <v>1955.708333333331</v>
      </c>
      <c r="I103" s="165">
        <v>14.575253122945432</v>
      </c>
      <c r="J103" s="163" t="s">
        <v>244</v>
      </c>
      <c r="K103" s="163">
        <f t="shared" si="9"/>
        <v>1985</v>
      </c>
      <c r="M103" s="163" t="s">
        <v>242</v>
      </c>
      <c r="N103" s="165">
        <f t="shared" si="10"/>
        <v>1955.708333333331</v>
      </c>
      <c r="O103" s="167">
        <v>26.9</v>
      </c>
      <c r="P103" s="163" t="s">
        <v>241</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245</v>
      </c>
      <c r="H104" s="165">
        <v>1955.7916666666642</v>
      </c>
      <c r="I104" s="165">
        <v>14.558690335305721</v>
      </c>
      <c r="J104" s="163" t="s">
        <v>244</v>
      </c>
      <c r="K104" s="163">
        <f t="shared" si="9"/>
        <v>1986</v>
      </c>
      <c r="M104" s="163" t="s">
        <v>242</v>
      </c>
      <c r="N104" s="165">
        <f t="shared" si="10"/>
        <v>1955.7916666666642</v>
      </c>
      <c r="O104" s="167">
        <v>26.9</v>
      </c>
      <c r="P104" s="163" t="s">
        <v>241</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245</v>
      </c>
      <c r="H105" s="165">
        <v>1955.8749999999975</v>
      </c>
      <c r="I105" s="165">
        <v>14.525564760026299</v>
      </c>
      <c r="J105" s="163" t="s">
        <v>244</v>
      </c>
      <c r="K105" s="163">
        <f t="shared" si="9"/>
        <v>1987</v>
      </c>
      <c r="M105" s="163" t="s">
        <v>242</v>
      </c>
      <c r="N105" s="165">
        <f t="shared" si="10"/>
        <v>1955.8749999999975</v>
      </c>
      <c r="O105" s="167">
        <v>26.9</v>
      </c>
      <c r="P105" s="163" t="s">
        <v>241</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245</v>
      </c>
      <c r="H106" s="165">
        <v>1955.9583333333308</v>
      </c>
      <c r="I106" s="165">
        <v>14.492439184746878</v>
      </c>
      <c r="J106" s="163" t="s">
        <v>244</v>
      </c>
      <c r="K106" s="163">
        <f t="shared" si="9"/>
        <v>1988</v>
      </c>
      <c r="M106" s="163" t="s">
        <v>242</v>
      </c>
      <c r="N106" s="165">
        <f t="shared" si="10"/>
        <v>1955.9583333333308</v>
      </c>
      <c r="O106" s="167">
        <v>26.8</v>
      </c>
      <c r="P106" s="163" t="s">
        <v>241</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245</v>
      </c>
      <c r="H107" s="165">
        <v>1956.041666666664</v>
      </c>
      <c r="I107" s="165">
        <v>14.459313609467454</v>
      </c>
      <c r="J107" s="163" t="s">
        <v>244</v>
      </c>
      <c r="K107" s="163">
        <f t="shared" si="9"/>
        <v>1989</v>
      </c>
      <c r="M107" s="163" t="s">
        <v>242</v>
      </c>
      <c r="N107" s="165">
        <f t="shared" si="10"/>
        <v>1956.041666666664</v>
      </c>
      <c r="O107" s="167">
        <v>26.8</v>
      </c>
      <c r="P107" s="163" t="s">
        <v>241</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245</v>
      </c>
      <c r="H108" s="165">
        <v>1956.1249999999973</v>
      </c>
      <c r="I108" s="165">
        <v>14.409625246548325</v>
      </c>
      <c r="J108" s="163" t="s">
        <v>244</v>
      </c>
      <c r="K108" s="163">
        <f t="shared" si="9"/>
        <v>1990</v>
      </c>
      <c r="M108" s="163" t="s">
        <v>242</v>
      </c>
      <c r="N108" s="165">
        <f t="shared" si="10"/>
        <v>1956.1249999999973</v>
      </c>
      <c r="O108" s="167">
        <v>26.8</v>
      </c>
      <c r="P108" s="163" t="s">
        <v>241</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245</v>
      </c>
      <c r="H109" s="165">
        <v>1956.2083333333305</v>
      </c>
      <c r="I109" s="165">
        <v>14.359936883629192</v>
      </c>
      <c r="J109" s="163" t="s">
        <v>244</v>
      </c>
      <c r="K109" s="163">
        <f t="shared" si="9"/>
        <v>1991</v>
      </c>
      <c r="M109" s="163" t="s">
        <v>242</v>
      </c>
      <c r="N109" s="165">
        <f t="shared" si="10"/>
        <v>1956.2083333333305</v>
      </c>
      <c r="O109" s="167">
        <v>26.8</v>
      </c>
      <c r="P109" s="163" t="s">
        <v>241</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245</v>
      </c>
      <c r="H110" s="165">
        <v>1956.2916666666638</v>
      </c>
      <c r="I110" s="165">
        <v>14.293685733070348</v>
      </c>
      <c r="J110" s="163" t="s">
        <v>244</v>
      </c>
      <c r="K110" s="163">
        <f t="shared" si="9"/>
        <v>1992</v>
      </c>
      <c r="M110" s="163" t="s">
        <v>242</v>
      </c>
      <c r="N110" s="165">
        <f t="shared" si="10"/>
        <v>1956.2916666666638</v>
      </c>
      <c r="O110" s="167">
        <v>26.9</v>
      </c>
      <c r="P110" s="163" t="s">
        <v>241</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245</v>
      </c>
      <c r="H111" s="165">
        <v>1956.374999999997</v>
      </c>
      <c r="I111" s="165">
        <v>14.31024852071006</v>
      </c>
      <c r="J111" s="163" t="s">
        <v>244</v>
      </c>
      <c r="K111" s="163">
        <f t="shared" si="9"/>
        <v>1993</v>
      </c>
      <c r="M111" s="163" t="s">
        <v>242</v>
      </c>
      <c r="N111" s="165">
        <f t="shared" si="10"/>
        <v>1956.374999999997</v>
      </c>
      <c r="O111" s="167">
        <v>27</v>
      </c>
      <c r="P111" s="163" t="s">
        <v>241</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245</v>
      </c>
      <c r="H112" s="165">
        <v>1956.4583333333303</v>
      </c>
      <c r="I112" s="165">
        <v>14.459313609467454</v>
      </c>
      <c r="J112" s="163" t="s">
        <v>244</v>
      </c>
      <c r="K112" s="163">
        <f t="shared" si="9"/>
        <v>1994</v>
      </c>
      <c r="M112" s="163" t="s">
        <v>242</v>
      </c>
      <c r="N112" s="165">
        <f t="shared" si="10"/>
        <v>1956.4583333333303</v>
      </c>
      <c r="O112" s="167">
        <v>27.2</v>
      </c>
      <c r="P112" s="163" t="s">
        <v>241</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245</v>
      </c>
      <c r="H113" s="165">
        <v>1956.5416666666636</v>
      </c>
      <c r="I113" s="165">
        <v>14.575253122945432</v>
      </c>
      <c r="J113" s="163" t="s">
        <v>244</v>
      </c>
      <c r="K113" s="163">
        <f t="shared" si="9"/>
        <v>1995</v>
      </c>
      <c r="M113" s="163" t="s">
        <v>242</v>
      </c>
      <c r="N113" s="165">
        <f t="shared" si="10"/>
        <v>1956.5416666666636</v>
      </c>
      <c r="O113" s="167">
        <v>27.4</v>
      </c>
      <c r="P113" s="163" t="s">
        <v>241</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245</v>
      </c>
      <c r="H114" s="165">
        <v>1956.6249999999968</v>
      </c>
      <c r="I114" s="165">
        <v>14.674629848783695</v>
      </c>
      <c r="J114" s="163" t="s">
        <v>244</v>
      </c>
      <c r="K114" s="163">
        <f t="shared" si="9"/>
        <v>1996</v>
      </c>
      <c r="M114" s="163" t="s">
        <v>242</v>
      </c>
      <c r="N114" s="165">
        <f t="shared" si="10"/>
        <v>1956.6249999999968</v>
      </c>
      <c r="O114" s="167">
        <v>27.3</v>
      </c>
      <c r="P114" s="163" t="s">
        <v>241</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245</v>
      </c>
      <c r="H115" s="165">
        <v>1956.7083333333301</v>
      </c>
      <c r="I115" s="165">
        <v>14.658067061143987</v>
      </c>
      <c r="J115" s="163" t="s">
        <v>244</v>
      </c>
      <c r="K115" s="163">
        <f t="shared" si="9"/>
        <v>1997</v>
      </c>
      <c r="M115" s="163" t="s">
        <v>242</v>
      </c>
      <c r="N115" s="165">
        <f t="shared" si="10"/>
        <v>1956.7083333333301</v>
      </c>
      <c r="O115" s="167">
        <v>27.4</v>
      </c>
      <c r="P115" s="163" t="s">
        <v>241</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245</v>
      </c>
      <c r="H116" s="165">
        <v>1956.7916666666633</v>
      </c>
      <c r="I116" s="165">
        <v>14.641504273504275</v>
      </c>
      <c r="J116" s="163" t="s">
        <v>244</v>
      </c>
      <c r="K116" s="163">
        <f t="shared" si="9"/>
        <v>1998</v>
      </c>
      <c r="M116" s="163" t="s">
        <v>242</v>
      </c>
      <c r="N116" s="165">
        <f t="shared" si="10"/>
        <v>1956.7916666666633</v>
      </c>
      <c r="O116" s="167">
        <v>27.5</v>
      </c>
      <c r="P116" s="163" t="s">
        <v>241</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245</v>
      </c>
      <c r="H117" s="165">
        <v>1956.8749999999966</v>
      </c>
      <c r="I117" s="165">
        <v>14.608378698224854</v>
      </c>
      <c r="J117" s="163" t="s">
        <v>244</v>
      </c>
      <c r="K117" s="163">
        <f t="shared" si="9"/>
        <v>1999</v>
      </c>
      <c r="M117" s="163" t="s">
        <v>242</v>
      </c>
      <c r="N117" s="165">
        <f t="shared" si="10"/>
        <v>1956.8749999999966</v>
      </c>
      <c r="O117" s="167">
        <v>27.5</v>
      </c>
      <c r="P117" s="163" t="s">
        <v>241</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245</v>
      </c>
      <c r="H118" s="165">
        <v>1956.9583333333298</v>
      </c>
      <c r="I118" s="165">
        <v>14.624941485864563</v>
      </c>
      <c r="J118" s="163" t="s">
        <v>244</v>
      </c>
      <c r="K118" s="163">
        <f t="shared" si="9"/>
        <v>2000</v>
      </c>
      <c r="M118" s="163" t="s">
        <v>242</v>
      </c>
      <c r="N118" s="165">
        <f t="shared" si="10"/>
        <v>1956.9583333333298</v>
      </c>
      <c r="O118" s="167">
        <v>27.6</v>
      </c>
      <c r="P118" s="163" t="s">
        <v>241</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245</v>
      </c>
      <c r="H119" s="165">
        <v>1957.0416666666631</v>
      </c>
      <c r="I119" s="165">
        <v>14.674629848783695</v>
      </c>
      <c r="J119" s="163" t="s">
        <v>244</v>
      </c>
      <c r="K119" s="163">
        <f t="shared" si="9"/>
        <v>2001</v>
      </c>
      <c r="M119" s="163" t="s">
        <v>242</v>
      </c>
      <c r="N119" s="165">
        <f t="shared" si="10"/>
        <v>1957.0416666666631</v>
      </c>
      <c r="O119" s="167">
        <v>27.6</v>
      </c>
      <c r="P119" s="163" t="s">
        <v>241</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245</v>
      </c>
      <c r="H120" s="165">
        <v>1957.1249999999964</v>
      </c>
      <c r="I120" s="165">
        <v>14.807132149901381</v>
      </c>
      <c r="J120" s="163" t="s">
        <v>244</v>
      </c>
      <c r="K120" s="163">
        <f t="shared" si="9"/>
        <v>2002</v>
      </c>
      <c r="M120" s="163" t="s">
        <v>242</v>
      </c>
      <c r="N120" s="165">
        <f t="shared" si="10"/>
        <v>1957.1249999999964</v>
      </c>
      <c r="O120" s="167">
        <v>27.7</v>
      </c>
      <c r="P120" s="163" t="s">
        <v>241</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245</v>
      </c>
      <c r="H121" s="165">
        <v>1957.2083333333296</v>
      </c>
      <c r="I121" s="165">
        <v>14.807132149901381</v>
      </c>
      <c r="J121" s="163" t="s">
        <v>244</v>
      </c>
      <c r="K121" s="163">
        <f t="shared" si="9"/>
        <v>2003</v>
      </c>
      <c r="M121" s="163" t="s">
        <v>242</v>
      </c>
      <c r="N121" s="165">
        <f t="shared" si="10"/>
        <v>1957.2083333333296</v>
      </c>
      <c r="O121" s="167">
        <v>27.8</v>
      </c>
      <c r="P121" s="163" t="s">
        <v>241</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245</v>
      </c>
      <c r="H122" s="165">
        <v>1957.2916666666629</v>
      </c>
      <c r="I122" s="165">
        <v>14.906508875739647</v>
      </c>
      <c r="J122" s="163" t="s">
        <v>244</v>
      </c>
      <c r="K122" s="163">
        <f t="shared" si="9"/>
        <v>2004</v>
      </c>
      <c r="M122" s="163" t="s">
        <v>242</v>
      </c>
      <c r="N122" s="165">
        <f t="shared" si="10"/>
        <v>1957.2916666666629</v>
      </c>
      <c r="O122" s="167">
        <v>27.9</v>
      </c>
      <c r="P122" s="163" t="s">
        <v>241</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245</v>
      </c>
      <c r="H123" s="165">
        <v>1957.3749999999961</v>
      </c>
      <c r="I123" s="165">
        <v>14.956197238658776</v>
      </c>
      <c r="J123" s="163" t="s">
        <v>244</v>
      </c>
      <c r="K123" s="163">
        <f t="shared" si="9"/>
        <v>2005</v>
      </c>
      <c r="M123" s="163" t="s">
        <v>242</v>
      </c>
      <c r="N123" s="165">
        <f t="shared" si="10"/>
        <v>1957.3749999999961</v>
      </c>
      <c r="O123" s="167">
        <v>28</v>
      </c>
      <c r="P123" s="163" t="s">
        <v>241</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245</v>
      </c>
      <c r="H124" s="165">
        <v>1957.4583333333294</v>
      </c>
      <c r="I124" s="165">
        <v>14.906508875739647</v>
      </c>
      <c r="J124" s="163" t="s">
        <v>244</v>
      </c>
      <c r="K124" s="163">
        <f t="shared" si="9"/>
        <v>2006</v>
      </c>
      <c r="M124" s="163" t="s">
        <v>242</v>
      </c>
      <c r="N124" s="165">
        <f t="shared" si="10"/>
        <v>1957.4583333333294</v>
      </c>
      <c r="O124" s="167">
        <v>28.1</v>
      </c>
      <c r="P124" s="163" t="s">
        <v>241</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245</v>
      </c>
      <c r="H125" s="165">
        <v>1957.5416666666626</v>
      </c>
      <c r="I125" s="165">
        <v>14.906508875739647</v>
      </c>
      <c r="J125" s="163" t="s">
        <v>244</v>
      </c>
      <c r="K125" s="163">
        <f t="shared" si="9"/>
        <v>2007</v>
      </c>
      <c r="M125" s="163" t="s">
        <v>242</v>
      </c>
      <c r="N125" s="165">
        <f t="shared" si="10"/>
        <v>1957.5416666666626</v>
      </c>
      <c r="O125" s="167">
        <v>28.3</v>
      </c>
      <c r="P125" s="163" t="s">
        <v>241</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245</v>
      </c>
      <c r="H126" s="165">
        <v>1957.6249999999959</v>
      </c>
      <c r="I126" s="165">
        <v>14.906508875739647</v>
      </c>
      <c r="J126" s="163" t="s">
        <v>244</v>
      </c>
      <c r="K126" s="163">
        <f t="shared" si="9"/>
        <v>2008</v>
      </c>
      <c r="M126" s="163" t="s">
        <v>242</v>
      </c>
      <c r="N126" s="165">
        <f t="shared" si="10"/>
        <v>1957.6249999999959</v>
      </c>
      <c r="O126" s="167">
        <v>28.3</v>
      </c>
      <c r="P126" s="163" t="s">
        <v>241</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245</v>
      </c>
      <c r="H127" s="165">
        <v>1957.7083333333292</v>
      </c>
      <c r="I127" s="165">
        <v>14.956197238658776</v>
      </c>
      <c r="J127" s="163" t="s">
        <v>244</v>
      </c>
      <c r="K127" s="163">
        <v>2009</v>
      </c>
      <c r="M127" s="163" t="s">
        <v>242</v>
      </c>
      <c r="N127" s="165">
        <f t="shared" si="10"/>
        <v>1957.7083333333292</v>
      </c>
      <c r="O127" s="167">
        <v>28.3</v>
      </c>
      <c r="P127" s="163" t="s">
        <v>241</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245</v>
      </c>
      <c r="H128" s="165">
        <v>1957.7916666666624</v>
      </c>
      <c r="I128" s="165">
        <v>15.039011176857331</v>
      </c>
      <c r="J128" s="163" t="s">
        <v>244</v>
      </c>
      <c r="K128" s="163">
        <v>2010</v>
      </c>
      <c r="M128" s="163" t="s">
        <v>242</v>
      </c>
      <c r="N128" s="165">
        <f t="shared" si="10"/>
        <v>1957.7916666666624</v>
      </c>
      <c r="O128" s="167">
        <v>28.3</v>
      </c>
      <c r="P128" s="163" t="s">
        <v>241</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245</v>
      </c>
      <c r="H129" s="165">
        <v>1957.8749999999957</v>
      </c>
      <c r="I129" s="165">
        <v>15.039011176857331</v>
      </c>
      <c r="J129" s="163" t="s">
        <v>244</v>
      </c>
      <c r="K129" s="163">
        <v>2011</v>
      </c>
      <c r="M129" s="163" t="s">
        <v>242</v>
      </c>
      <c r="N129" s="165">
        <f t="shared" si="10"/>
        <v>1957.8749999999957</v>
      </c>
      <c r="O129" s="167">
        <v>28.4</v>
      </c>
      <c r="P129" s="163" t="s">
        <v>241</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245</v>
      </c>
      <c r="H130" s="165">
        <v>1957.9583333333289</v>
      </c>
      <c r="I130" s="165">
        <v>15.022448389217621</v>
      </c>
      <c r="J130" s="163" t="s">
        <v>244</v>
      </c>
      <c r="K130" s="163">
        <v>2012</v>
      </c>
      <c r="M130" s="163" t="s">
        <v>242</v>
      </c>
      <c r="N130" s="165">
        <f t="shared" si="10"/>
        <v>1957.9583333333289</v>
      </c>
      <c r="O130" s="167">
        <v>28.4</v>
      </c>
      <c r="P130" s="163" t="s">
        <v>241</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245</v>
      </c>
      <c r="H131" s="165">
        <v>1958.0416666666622</v>
      </c>
      <c r="I131" s="165">
        <v>15.039011176857331</v>
      </c>
      <c r="J131" s="163" t="s">
        <v>244</v>
      </c>
      <c r="K131" s="163">
        <v>2013</v>
      </c>
      <c r="M131" s="163" t="s">
        <v>242</v>
      </c>
      <c r="N131" s="165">
        <f t="shared" si="10"/>
        <v>1958.0416666666622</v>
      </c>
      <c r="O131" s="167">
        <v>28.6</v>
      </c>
      <c r="P131" s="163" t="s">
        <v>241</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245</v>
      </c>
      <c r="H132" s="165">
        <v>1958.1249999999955</v>
      </c>
      <c r="I132" s="165">
        <v>15.039011176857331</v>
      </c>
      <c r="J132" s="163" t="s">
        <v>244</v>
      </c>
      <c r="K132" s="163">
        <v>2014</v>
      </c>
      <c r="M132" s="163" t="s">
        <v>242</v>
      </c>
      <c r="N132" s="165">
        <f t="shared" si="10"/>
        <v>1958.1249999999955</v>
      </c>
      <c r="O132" s="167">
        <v>28.6</v>
      </c>
      <c r="P132" s="163" t="s">
        <v>241</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245</v>
      </c>
      <c r="H133" s="165">
        <v>1958.2083333333287</v>
      </c>
      <c r="I133" s="165">
        <v>15.171513477975017</v>
      </c>
      <c r="J133" s="163" t="s">
        <v>244</v>
      </c>
      <c r="K133" s="163">
        <v>2015</v>
      </c>
      <c r="M133" s="163" t="s">
        <v>242</v>
      </c>
      <c r="N133" s="165">
        <f t="shared" si="10"/>
        <v>1958.2083333333287</v>
      </c>
      <c r="O133" s="167">
        <v>28.8</v>
      </c>
      <c r="P133" s="163" t="s">
        <v>241</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245</v>
      </c>
      <c r="H134" s="165">
        <v>1958.291666666662</v>
      </c>
      <c r="I134" s="165">
        <v>15.204639053254438</v>
      </c>
      <c r="J134" s="163" t="s">
        <v>244</v>
      </c>
      <c r="K134" s="163">
        <v>2016</v>
      </c>
      <c r="M134" s="163" t="s">
        <v>242</v>
      </c>
      <c r="N134" s="165">
        <f t="shared" si="10"/>
        <v>1958.291666666662</v>
      </c>
      <c r="O134" s="167">
        <v>28.9</v>
      </c>
      <c r="P134" s="163" t="s">
        <v>241</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245</v>
      </c>
      <c r="H135" s="165">
        <v>1958.3749999999952</v>
      </c>
      <c r="I135" s="165">
        <v>15.237764628533862</v>
      </c>
      <c r="J135" s="163" t="s">
        <v>244</v>
      </c>
      <c r="K135" s="163">
        <v>2017</v>
      </c>
      <c r="M135" s="163" t="s">
        <v>242</v>
      </c>
      <c r="N135" s="165">
        <f t="shared" si="10"/>
        <v>1958.3749999999952</v>
      </c>
      <c r="O135" s="167">
        <v>28.9</v>
      </c>
      <c r="P135" s="163" t="s">
        <v>241</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245</v>
      </c>
      <c r="H136" s="165">
        <v>1958.4583333333285</v>
      </c>
      <c r="I136" s="165">
        <v>15.154950690335308</v>
      </c>
      <c r="J136" s="163" t="s">
        <v>244</v>
      </c>
      <c r="K136" s="163">
        <v>2018</v>
      </c>
      <c r="M136" s="163" t="s">
        <v>242</v>
      </c>
      <c r="N136" s="165">
        <f t="shared" si="10"/>
        <v>1958.4583333333285</v>
      </c>
      <c r="O136" s="167">
        <v>28.9</v>
      </c>
      <c r="P136" s="163" t="s">
        <v>241</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245</v>
      </c>
      <c r="H137" s="165">
        <v>1958.5416666666617</v>
      </c>
      <c r="I137" s="165">
        <v>15.154950690335308</v>
      </c>
      <c r="J137" s="163" t="s">
        <v>244</v>
      </c>
      <c r="K137" s="163">
        <v>2019</v>
      </c>
      <c r="M137" s="163" t="s">
        <v>242</v>
      </c>
      <c r="N137" s="165">
        <f t="shared" ref="N137:N200" si="15">N136+1/12</f>
        <v>1958.5416666666617</v>
      </c>
      <c r="O137" s="167">
        <v>29</v>
      </c>
      <c r="P137" s="163" t="s">
        <v>241</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245</v>
      </c>
      <c r="H138" s="165">
        <v>1958.624999999995</v>
      </c>
      <c r="I138" s="165">
        <v>15.138387902695596</v>
      </c>
      <c r="J138" s="163" t="s">
        <v>244</v>
      </c>
      <c r="K138" s="163">
        <v>2020</v>
      </c>
      <c r="M138" s="163" t="s">
        <v>242</v>
      </c>
      <c r="N138" s="165">
        <f t="shared" si="15"/>
        <v>1958.624999999995</v>
      </c>
      <c r="O138" s="167">
        <v>28.9</v>
      </c>
      <c r="P138" s="163" t="s">
        <v>241</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245</v>
      </c>
      <c r="H139" s="165">
        <v>1958.7083333333283</v>
      </c>
      <c r="I139" s="165">
        <v>15.088699539776464</v>
      </c>
      <c r="J139" s="163" t="s">
        <v>244</v>
      </c>
      <c r="K139" s="163">
        <v>2021</v>
      </c>
      <c r="M139" s="163" t="s">
        <v>242</v>
      </c>
      <c r="N139" s="165">
        <f t="shared" si="15"/>
        <v>1958.7083333333283</v>
      </c>
      <c r="O139" s="167">
        <v>28.9</v>
      </c>
      <c r="P139" s="163" t="s">
        <v>241</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245</v>
      </c>
      <c r="H140" s="165">
        <v>1958.7916666666615</v>
      </c>
      <c r="I140" s="165">
        <v>15.072136752136753</v>
      </c>
      <c r="J140" s="163" t="s">
        <v>244</v>
      </c>
      <c r="K140" s="163">
        <v>2022</v>
      </c>
      <c r="M140" s="163" t="s">
        <v>242</v>
      </c>
      <c r="N140" s="165">
        <f t="shared" si="15"/>
        <v>1958.7916666666615</v>
      </c>
      <c r="O140" s="167">
        <v>28.9</v>
      </c>
      <c r="P140" s="163" t="s">
        <v>241</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245</v>
      </c>
      <c r="H141" s="165">
        <v>1958.8749999999948</v>
      </c>
      <c r="I141" s="165">
        <v>15.105262327416176</v>
      </c>
      <c r="J141" s="163" t="s">
        <v>244</v>
      </c>
      <c r="K141" s="163">
        <v>2023</v>
      </c>
      <c r="M141" s="163" t="s">
        <v>242</v>
      </c>
      <c r="N141" s="165">
        <f t="shared" si="15"/>
        <v>1958.8749999999948</v>
      </c>
      <c r="O141" s="167">
        <v>29</v>
      </c>
      <c r="P141" s="163" t="s">
        <v>241</v>
      </c>
      <c r="R141" s="163">
        <v>2023</v>
      </c>
      <c r="S141" s="170">
        <f>O911</f>
        <v>299.17</v>
      </c>
    </row>
    <row r="142" spans="1:19" ht="13.15">
      <c r="A142" s="164">
        <f t="shared" si="13"/>
        <v>1958.958333333328</v>
      </c>
      <c r="B142" s="164">
        <f t="shared" si="14"/>
        <v>111.96060293356891</v>
      </c>
      <c r="C142" s="164">
        <v>2024</v>
      </c>
      <c r="F142" s="164">
        <v>3.99</v>
      </c>
      <c r="G142" s="163" t="s">
        <v>245</v>
      </c>
      <c r="H142" s="165">
        <v>1958.958333333328</v>
      </c>
      <c r="I142" s="165">
        <v>15.121825115055884</v>
      </c>
      <c r="J142" s="163" t="s">
        <v>244</v>
      </c>
      <c r="K142" s="163">
        <v>2024</v>
      </c>
      <c r="M142" s="163" t="s">
        <v>242</v>
      </c>
      <c r="N142" s="165">
        <f t="shared" si="15"/>
        <v>1958.958333333328</v>
      </c>
      <c r="O142" s="167">
        <v>28.9</v>
      </c>
      <c r="P142" s="163" t="s">
        <v>241</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244</v>
      </c>
      <c r="N143" s="165">
        <f t="shared" si="15"/>
        <v>1959.0416666666613</v>
      </c>
      <c r="O143" s="167">
        <v>29</v>
      </c>
      <c r="P143" s="163" t="s">
        <v>241</v>
      </c>
    </row>
    <row r="144" spans="1:19" ht="13.15">
      <c r="A144" s="164">
        <f t="shared" si="13"/>
        <v>1959.1249999999945</v>
      </c>
      <c r="B144" s="164">
        <f t="shared" si="14"/>
        <v>111.59271486259333</v>
      </c>
      <c r="C144" s="165"/>
      <c r="H144" s="165">
        <v>1959.1249999999945</v>
      </c>
      <c r="I144" s="165">
        <v>15.072136752136753</v>
      </c>
      <c r="J144" s="163" t="s">
        <v>244</v>
      </c>
      <c r="N144" s="165">
        <f t="shared" si="15"/>
        <v>1959.1249999999945</v>
      </c>
      <c r="O144" s="167">
        <v>28.9</v>
      </c>
      <c r="P144" s="163" t="s">
        <v>241</v>
      </c>
    </row>
    <row r="145" spans="1:16" ht="13.15">
      <c r="A145" s="164">
        <f t="shared" si="13"/>
        <v>1959.2083333333278</v>
      </c>
      <c r="B145" s="164">
        <f t="shared" si="14"/>
        <v>111.59271486259333</v>
      </c>
      <c r="C145" s="165"/>
      <c r="H145" s="165">
        <v>1959.2083333333278</v>
      </c>
      <c r="I145" s="165">
        <v>15.072136752136753</v>
      </c>
      <c r="J145" s="163" t="s">
        <v>244</v>
      </c>
      <c r="N145" s="165">
        <f t="shared" si="15"/>
        <v>1959.2083333333278</v>
      </c>
      <c r="O145" s="167">
        <v>28.9</v>
      </c>
      <c r="P145" s="163" t="s">
        <v>241</v>
      </c>
    </row>
    <row r="146" spans="1:16" ht="13.15">
      <c r="A146" s="164">
        <f t="shared" si="13"/>
        <v>1959.2916666666611</v>
      </c>
      <c r="B146" s="164">
        <f t="shared" si="14"/>
        <v>111.20791239754989</v>
      </c>
      <c r="H146" s="165">
        <v>1959.2916666666611</v>
      </c>
      <c r="I146" s="165">
        <v>15.072136752136753</v>
      </c>
      <c r="J146" s="163" t="s">
        <v>244</v>
      </c>
      <c r="N146" s="165">
        <f t="shared" si="15"/>
        <v>1959.2916666666611</v>
      </c>
      <c r="O146" s="167">
        <v>29</v>
      </c>
      <c r="P146" s="163" t="s">
        <v>241</v>
      </c>
    </row>
    <row r="147" spans="1:16" ht="13.15">
      <c r="A147" s="164">
        <f t="shared" si="13"/>
        <v>1959.3749999999943</v>
      </c>
      <c r="B147" s="164">
        <f t="shared" si="14"/>
        <v>111.69673838611055</v>
      </c>
      <c r="H147" s="165">
        <v>1959.3749999999943</v>
      </c>
      <c r="I147" s="165">
        <v>15.138387902695596</v>
      </c>
      <c r="J147" s="163" t="s">
        <v>244</v>
      </c>
      <c r="N147" s="165">
        <f t="shared" si="15"/>
        <v>1959.3749999999943</v>
      </c>
      <c r="O147" s="167">
        <v>29</v>
      </c>
      <c r="P147" s="163" t="s">
        <v>241</v>
      </c>
    </row>
    <row r="148" spans="1:16" ht="13.15">
      <c r="A148" s="164">
        <f t="shared" si="13"/>
        <v>1959.4583333333276</v>
      </c>
      <c r="B148" s="164">
        <f t="shared" si="14"/>
        <v>111.31290079715484</v>
      </c>
      <c r="H148" s="165">
        <v>1959.4583333333276</v>
      </c>
      <c r="I148" s="165">
        <v>15.138387902695596</v>
      </c>
      <c r="J148" s="163" t="s">
        <v>244</v>
      </c>
      <c r="N148" s="165">
        <f t="shared" si="15"/>
        <v>1959.4583333333276</v>
      </c>
      <c r="O148" s="167">
        <v>29.1</v>
      </c>
      <c r="P148" s="163" t="s">
        <v>241</v>
      </c>
    </row>
    <row r="149" spans="1:16" ht="13.15">
      <c r="A149" s="164">
        <f t="shared" si="13"/>
        <v>1959.5416666666608</v>
      </c>
      <c r="B149" s="164">
        <f t="shared" si="14"/>
        <v>110.56758383376754</v>
      </c>
      <c r="H149" s="165">
        <v>1959.5416666666608</v>
      </c>
      <c r="I149" s="165">
        <v>15.088699539776464</v>
      </c>
      <c r="J149" s="163" t="s">
        <v>244</v>
      </c>
      <c r="N149" s="165">
        <f t="shared" si="15"/>
        <v>1959.5416666666608</v>
      </c>
      <c r="O149" s="167">
        <v>29.2</v>
      </c>
      <c r="P149" s="163" t="s">
        <v>241</v>
      </c>
    </row>
    <row r="150" spans="1:16" ht="13.15">
      <c r="A150" s="164">
        <f t="shared" si="13"/>
        <v>1959.6249999999941</v>
      </c>
      <c r="B150" s="164">
        <f t="shared" si="14"/>
        <v>110.44621436742969</v>
      </c>
      <c r="H150" s="165">
        <v>1959.6249999999941</v>
      </c>
      <c r="I150" s="165">
        <v>15.072136752136753</v>
      </c>
      <c r="J150" s="163" t="s">
        <v>244</v>
      </c>
      <c r="N150" s="165">
        <f t="shared" si="15"/>
        <v>1959.6249999999941</v>
      </c>
      <c r="O150" s="167">
        <v>29.2</v>
      </c>
      <c r="P150" s="163" t="s">
        <v>241</v>
      </c>
    </row>
    <row r="151" spans="1:16" ht="13.15">
      <c r="A151" s="164">
        <f t="shared" si="13"/>
        <v>1959.7083333333273</v>
      </c>
      <c r="B151" s="164">
        <f t="shared" si="14"/>
        <v>110.31117530249408</v>
      </c>
      <c r="H151" s="165">
        <v>1959.7083333333273</v>
      </c>
      <c r="I151" s="165">
        <v>15.105262327416176</v>
      </c>
      <c r="J151" s="163" t="s">
        <v>244</v>
      </c>
      <c r="N151" s="165">
        <f t="shared" si="15"/>
        <v>1959.7083333333273</v>
      </c>
      <c r="O151" s="167">
        <v>29.3</v>
      </c>
      <c r="P151" s="163" t="s">
        <v>241</v>
      </c>
    </row>
    <row r="152" spans="1:16" ht="13.15">
      <c r="A152" s="164">
        <f t="shared" si="13"/>
        <v>1959.7916666666606</v>
      </c>
      <c r="B152" s="164">
        <f t="shared" si="14"/>
        <v>110.53868634178234</v>
      </c>
      <c r="H152" s="165">
        <v>1959.7916666666606</v>
      </c>
      <c r="I152" s="165">
        <v>15.188076265614729</v>
      </c>
      <c r="J152" s="163" t="s">
        <v>244</v>
      </c>
      <c r="N152" s="165">
        <f t="shared" si="15"/>
        <v>1959.7916666666606</v>
      </c>
      <c r="O152" s="167">
        <v>29.4</v>
      </c>
      <c r="P152" s="163" t="s">
        <v>241</v>
      </c>
    </row>
    <row r="153" spans="1:16" ht="13.15">
      <c r="A153" s="164">
        <f t="shared" si="13"/>
        <v>1959.8749999999939</v>
      </c>
      <c r="B153" s="164">
        <f t="shared" si="14"/>
        <v>110.65923016549202</v>
      </c>
      <c r="H153" s="165">
        <v>1959.8749999999939</v>
      </c>
      <c r="I153" s="165">
        <v>15.204639053254438</v>
      </c>
      <c r="J153" s="163" t="s">
        <v>244</v>
      </c>
      <c r="N153" s="165">
        <f t="shared" si="15"/>
        <v>1959.8749999999939</v>
      </c>
      <c r="O153" s="167">
        <v>29.4</v>
      </c>
      <c r="P153" s="163" t="s">
        <v>241</v>
      </c>
    </row>
    <row r="154" spans="1:16" ht="13.15">
      <c r="A154" s="164">
        <f t="shared" si="13"/>
        <v>1959.9583333333271</v>
      </c>
      <c r="B154" s="164">
        <f t="shared" si="14"/>
        <v>110.17705487065328</v>
      </c>
      <c r="H154" s="165">
        <v>1959.9583333333271</v>
      </c>
      <c r="I154" s="165">
        <v>15.138387902695596</v>
      </c>
      <c r="J154" s="163" t="s">
        <v>244</v>
      </c>
      <c r="N154" s="165">
        <f t="shared" si="15"/>
        <v>1959.9583333333271</v>
      </c>
      <c r="O154" s="167">
        <v>29.4</v>
      </c>
      <c r="P154" s="163" t="s">
        <v>241</v>
      </c>
    </row>
    <row r="155" spans="1:16" ht="13.15">
      <c r="A155" s="164">
        <f t="shared" si="13"/>
        <v>1960.0416666666604</v>
      </c>
      <c r="B155" s="164">
        <f t="shared" si="14"/>
        <v>110.91595148288056</v>
      </c>
      <c r="H155" s="165">
        <v>1960.0416666666604</v>
      </c>
      <c r="I155" s="165">
        <v>15.188076265614729</v>
      </c>
      <c r="J155" s="163" t="s">
        <v>244</v>
      </c>
      <c r="N155" s="165">
        <f t="shared" si="15"/>
        <v>1960.0416666666604</v>
      </c>
      <c r="O155" s="167">
        <v>29.3</v>
      </c>
      <c r="P155" s="163" t="s">
        <v>241</v>
      </c>
    </row>
    <row r="156" spans="1:16" ht="13.15">
      <c r="A156" s="164">
        <f t="shared" si="13"/>
        <v>1960.1249999999936</v>
      </c>
      <c r="B156" s="164">
        <f t="shared" si="14"/>
        <v>110.53868634178234</v>
      </c>
      <c r="H156" s="165">
        <v>1960.1249999999936</v>
      </c>
      <c r="I156" s="165">
        <v>15.188076265614729</v>
      </c>
      <c r="J156" s="163" t="s">
        <v>244</v>
      </c>
      <c r="N156" s="165">
        <f t="shared" si="15"/>
        <v>1960.1249999999936</v>
      </c>
      <c r="O156" s="167">
        <v>29.4</v>
      </c>
      <c r="P156" s="163" t="s">
        <v>241</v>
      </c>
    </row>
    <row r="157" spans="1:16" ht="13.15">
      <c r="A157" s="164">
        <f t="shared" si="13"/>
        <v>1960.2083333333269</v>
      </c>
      <c r="B157" s="164">
        <f t="shared" si="14"/>
        <v>110.53868634178234</v>
      </c>
      <c r="H157" s="165">
        <v>1960.2083333333269</v>
      </c>
      <c r="I157" s="165">
        <v>15.188076265614729</v>
      </c>
      <c r="J157" s="163" t="s">
        <v>244</v>
      </c>
      <c r="N157" s="165">
        <f t="shared" si="15"/>
        <v>1960.2083333333269</v>
      </c>
      <c r="O157" s="167">
        <v>29.4</v>
      </c>
      <c r="P157" s="163" t="s">
        <v>241</v>
      </c>
    </row>
    <row r="158" spans="1:16" ht="13.15">
      <c r="A158" s="164">
        <f t="shared" si="13"/>
        <v>1960.2916666666601</v>
      </c>
      <c r="B158" s="164">
        <f t="shared" si="14"/>
        <v>110.16397893045425</v>
      </c>
      <c r="H158" s="165">
        <v>1960.2916666666601</v>
      </c>
      <c r="I158" s="165">
        <v>15.188076265614729</v>
      </c>
      <c r="J158" s="163" t="s">
        <v>244</v>
      </c>
      <c r="N158" s="165">
        <f t="shared" si="15"/>
        <v>1960.2916666666601</v>
      </c>
      <c r="O158" s="167">
        <v>29.5</v>
      </c>
      <c r="P158" s="163" t="s">
        <v>241</v>
      </c>
    </row>
    <row r="159" spans="1:16" ht="13.15">
      <c r="A159" s="164">
        <f t="shared" si="13"/>
        <v>1960.3749999999934</v>
      </c>
      <c r="B159" s="164">
        <f t="shared" si="14"/>
        <v>109.92370852929734</v>
      </c>
      <c r="H159" s="165">
        <v>1960.3749999999934</v>
      </c>
      <c r="I159" s="165">
        <v>15.154950690335308</v>
      </c>
      <c r="J159" s="163" t="s">
        <v>244</v>
      </c>
      <c r="N159" s="165">
        <f t="shared" si="15"/>
        <v>1960.3749999999934</v>
      </c>
      <c r="O159" s="167">
        <v>29.5</v>
      </c>
      <c r="P159" s="163" t="s">
        <v>241</v>
      </c>
    </row>
    <row r="160" spans="1:16" ht="13.15">
      <c r="A160" s="164">
        <f t="shared" si="13"/>
        <v>1960.4583333333267</v>
      </c>
      <c r="B160" s="164">
        <f t="shared" si="14"/>
        <v>109.31288597230207</v>
      </c>
      <c r="H160" s="165">
        <v>1960.4583333333267</v>
      </c>
      <c r="I160" s="165">
        <v>15.121825115055884</v>
      </c>
      <c r="J160" s="163" t="s">
        <v>244</v>
      </c>
      <c r="N160" s="165">
        <f t="shared" si="15"/>
        <v>1960.4583333333267</v>
      </c>
      <c r="O160" s="167">
        <v>29.6</v>
      </c>
      <c r="P160" s="163" t="s">
        <v>241</v>
      </c>
    </row>
    <row r="161" spans="1:16" ht="13.15">
      <c r="A161" s="164">
        <f t="shared" si="13"/>
        <v>1960.5416666666599</v>
      </c>
      <c r="B161" s="164">
        <f t="shared" si="14"/>
        <v>109.31288597230207</v>
      </c>
      <c r="H161" s="165">
        <v>1960.5416666666599</v>
      </c>
      <c r="I161" s="165">
        <v>15.121825115055884</v>
      </c>
      <c r="J161" s="163" t="s">
        <v>244</v>
      </c>
      <c r="N161" s="165">
        <f t="shared" si="15"/>
        <v>1960.5416666666599</v>
      </c>
      <c r="O161" s="167">
        <v>29.6</v>
      </c>
      <c r="P161" s="163" t="s">
        <v>241</v>
      </c>
    </row>
    <row r="162" spans="1:16" ht="13.15">
      <c r="A162" s="164">
        <f t="shared" si="13"/>
        <v>1960.6249999999932</v>
      </c>
      <c r="B162" s="164">
        <f t="shared" si="14"/>
        <v>109.79180332595946</v>
      </c>
      <c r="H162" s="165">
        <v>1960.6249999999932</v>
      </c>
      <c r="I162" s="165">
        <v>15.188076265614729</v>
      </c>
      <c r="J162" s="163" t="s">
        <v>244</v>
      </c>
      <c r="N162" s="165">
        <f t="shared" si="15"/>
        <v>1960.6249999999932</v>
      </c>
      <c r="O162" s="167">
        <v>29.6</v>
      </c>
      <c r="P162" s="163" t="s">
        <v>241</v>
      </c>
    </row>
    <row r="163" spans="1:16" ht="13.15">
      <c r="A163" s="164">
        <f t="shared" si="13"/>
        <v>1960.7083333333264</v>
      </c>
      <c r="B163" s="164">
        <f t="shared" si="14"/>
        <v>110.27072067961687</v>
      </c>
      <c r="H163" s="165">
        <v>1960.7083333333264</v>
      </c>
      <c r="I163" s="165">
        <v>15.25432741617357</v>
      </c>
      <c r="J163" s="163" t="s">
        <v>244</v>
      </c>
      <c r="N163" s="165">
        <f t="shared" si="15"/>
        <v>1960.7083333333264</v>
      </c>
      <c r="O163" s="167">
        <v>29.6</v>
      </c>
      <c r="P163" s="163" t="s">
        <v>241</v>
      </c>
    </row>
    <row r="164" spans="1:16" ht="13.15">
      <c r="A164" s="164">
        <f t="shared" si="13"/>
        <v>1960.7916666666597</v>
      </c>
      <c r="B164" s="164">
        <f t="shared" si="14"/>
        <v>109.88742608616958</v>
      </c>
      <c r="H164" s="165">
        <v>1960.7916666666597</v>
      </c>
      <c r="I164" s="165">
        <v>15.304015779092703</v>
      </c>
      <c r="J164" s="163" t="s">
        <v>244</v>
      </c>
      <c r="N164" s="165">
        <f t="shared" si="15"/>
        <v>1960.7916666666597</v>
      </c>
      <c r="O164" s="167">
        <v>29.8</v>
      </c>
      <c r="P164" s="163" t="s">
        <v>241</v>
      </c>
    </row>
    <row r="165" spans="1:16" ht="13.15">
      <c r="A165" s="164">
        <f t="shared" si="13"/>
        <v>1960.874999999993</v>
      </c>
      <c r="B165" s="164">
        <f t="shared" si="14"/>
        <v>109.53064872874695</v>
      </c>
      <c r="H165" s="165">
        <v>1960.874999999993</v>
      </c>
      <c r="I165" s="165">
        <v>15.25432741617357</v>
      </c>
      <c r="J165" s="163" t="s">
        <v>244</v>
      </c>
      <c r="N165" s="165">
        <f t="shared" si="15"/>
        <v>1960.874999999993</v>
      </c>
      <c r="O165" s="167">
        <v>29.8</v>
      </c>
      <c r="P165" s="163" t="s">
        <v>241</v>
      </c>
    </row>
    <row r="166" spans="1:16" ht="13.15">
      <c r="A166" s="164">
        <f t="shared" si="13"/>
        <v>1960.9583333333262</v>
      </c>
      <c r="B166" s="164">
        <f t="shared" si="14"/>
        <v>109.53064872874695</v>
      </c>
      <c r="H166" s="165">
        <v>1960.9583333333262</v>
      </c>
      <c r="I166" s="165">
        <v>15.25432741617357</v>
      </c>
      <c r="J166" s="163" t="s">
        <v>244</v>
      </c>
      <c r="N166" s="165">
        <f t="shared" si="15"/>
        <v>1960.9583333333262</v>
      </c>
      <c r="O166" s="167">
        <v>29.8</v>
      </c>
      <c r="P166" s="163" t="s">
        <v>241</v>
      </c>
    </row>
    <row r="167" spans="1:16" ht="13.15">
      <c r="A167" s="164">
        <f t="shared" si="13"/>
        <v>1961.0416666666595</v>
      </c>
      <c r="B167" s="164">
        <f t="shared" si="14"/>
        <v>109.53064872874695</v>
      </c>
      <c r="H167" s="165">
        <v>1961.0416666666595</v>
      </c>
      <c r="I167" s="165">
        <v>15.25432741617357</v>
      </c>
      <c r="J167" s="163" t="s">
        <v>244</v>
      </c>
      <c r="N167" s="165">
        <f t="shared" si="15"/>
        <v>1961.0416666666595</v>
      </c>
      <c r="O167" s="167">
        <v>29.8</v>
      </c>
      <c r="P167" s="163" t="s">
        <v>241</v>
      </c>
    </row>
    <row r="168" spans="1:16" ht="13.15">
      <c r="A168" s="164">
        <f t="shared" si="13"/>
        <v>1961.1249999999927</v>
      </c>
      <c r="B168" s="164">
        <f t="shared" si="14"/>
        <v>109.29279715713189</v>
      </c>
      <c r="H168" s="165">
        <v>1961.1249999999927</v>
      </c>
      <c r="I168" s="165">
        <v>15.22120184089415</v>
      </c>
      <c r="J168" s="163" t="s">
        <v>244</v>
      </c>
      <c r="N168" s="165">
        <f t="shared" si="15"/>
        <v>1961.1249999999927</v>
      </c>
      <c r="O168" s="167">
        <v>29.8</v>
      </c>
      <c r="P168" s="163" t="s">
        <v>241</v>
      </c>
    </row>
    <row r="169" spans="1:16" ht="13.15">
      <c r="A169" s="164">
        <f t="shared" si="13"/>
        <v>1961.208333333326</v>
      </c>
      <c r="B169" s="164">
        <f t="shared" si="14"/>
        <v>109.53064872874695</v>
      </c>
      <c r="H169" s="165">
        <v>1961.208333333326</v>
      </c>
      <c r="I169" s="165">
        <v>15.25432741617357</v>
      </c>
      <c r="J169" s="163" t="s">
        <v>244</v>
      </c>
      <c r="N169" s="165">
        <f t="shared" si="15"/>
        <v>1961.208333333326</v>
      </c>
      <c r="O169" s="167">
        <v>29.8</v>
      </c>
      <c r="P169" s="163" t="s">
        <v>241</v>
      </c>
    </row>
    <row r="170" spans="1:16" ht="13.15">
      <c r="A170" s="164">
        <f t="shared" si="13"/>
        <v>1961.2916666666592</v>
      </c>
      <c r="B170" s="164">
        <f t="shared" si="14"/>
        <v>109.05494558551679</v>
      </c>
      <c r="H170" s="165">
        <v>1961.2916666666592</v>
      </c>
      <c r="I170" s="165">
        <v>15.188076265614729</v>
      </c>
      <c r="J170" s="163" t="s">
        <v>244</v>
      </c>
      <c r="N170" s="165">
        <f t="shared" si="15"/>
        <v>1961.2916666666592</v>
      </c>
      <c r="O170" s="167">
        <v>29.8</v>
      </c>
      <c r="P170" s="163" t="s">
        <v>241</v>
      </c>
    </row>
    <row r="171" spans="1:16" ht="13.15">
      <c r="A171" s="164">
        <f t="shared" si="13"/>
        <v>1961.3749999999925</v>
      </c>
      <c r="B171" s="164">
        <f t="shared" si="14"/>
        <v>109.41172294293942</v>
      </c>
      <c r="H171" s="165">
        <v>1961.3749999999925</v>
      </c>
      <c r="I171" s="165">
        <v>15.237764628533862</v>
      </c>
      <c r="J171" s="163" t="s">
        <v>244</v>
      </c>
      <c r="N171" s="165">
        <f t="shared" si="15"/>
        <v>1961.3749999999925</v>
      </c>
      <c r="O171" s="167">
        <v>29.8</v>
      </c>
      <c r="P171" s="163" t="s">
        <v>241</v>
      </c>
    </row>
    <row r="172" spans="1:16" ht="13.15">
      <c r="A172" s="164">
        <f t="shared" si="13"/>
        <v>1961.4583333333258</v>
      </c>
      <c r="B172" s="164">
        <f t="shared" si="14"/>
        <v>109.29279715713189</v>
      </c>
      <c r="H172" s="165">
        <v>1961.4583333333258</v>
      </c>
      <c r="I172" s="165">
        <v>15.22120184089415</v>
      </c>
      <c r="J172" s="163" t="s">
        <v>244</v>
      </c>
      <c r="N172" s="165">
        <f t="shared" si="15"/>
        <v>1961.4583333333258</v>
      </c>
      <c r="O172" s="167">
        <v>29.8</v>
      </c>
      <c r="P172" s="163" t="s">
        <v>241</v>
      </c>
    </row>
    <row r="173" spans="1:16" ht="13.15">
      <c r="A173" s="164">
        <f t="shared" si="13"/>
        <v>1961.541666666659</v>
      </c>
      <c r="B173" s="164">
        <f t="shared" si="14"/>
        <v>108.91857735112414</v>
      </c>
      <c r="H173" s="165">
        <v>1961.541666666659</v>
      </c>
      <c r="I173" s="165">
        <v>15.270890203813282</v>
      </c>
      <c r="J173" s="163" t="s">
        <v>244</v>
      </c>
      <c r="N173" s="165">
        <f t="shared" si="15"/>
        <v>1961.541666666659</v>
      </c>
      <c r="O173" s="167">
        <v>30</v>
      </c>
      <c r="P173" s="163" t="s">
        <v>241</v>
      </c>
    </row>
    <row r="174" spans="1:16" ht="13.15">
      <c r="A174" s="164">
        <f t="shared" si="13"/>
        <v>1961.6249999999923</v>
      </c>
      <c r="B174" s="164">
        <f t="shared" si="14"/>
        <v>109.40138157026048</v>
      </c>
      <c r="H174" s="165">
        <v>1961.6249999999923</v>
      </c>
      <c r="I174" s="165">
        <v>15.287452991452991</v>
      </c>
      <c r="J174" s="163" t="s">
        <v>244</v>
      </c>
      <c r="N174" s="165">
        <f t="shared" si="15"/>
        <v>1961.6249999999923</v>
      </c>
      <c r="O174" s="167">
        <v>29.9</v>
      </c>
      <c r="P174" s="163" t="s">
        <v>241</v>
      </c>
    </row>
    <row r="175" spans="1:16" ht="13.15">
      <c r="A175" s="164">
        <f t="shared" si="13"/>
        <v>1961.7083333333255</v>
      </c>
      <c r="B175" s="164">
        <f t="shared" si="14"/>
        <v>109.03671029835962</v>
      </c>
      <c r="H175" s="165">
        <v>1961.7083333333255</v>
      </c>
      <c r="I175" s="165">
        <v>15.287452991452991</v>
      </c>
      <c r="J175" s="163" t="s">
        <v>244</v>
      </c>
      <c r="N175" s="165">
        <f t="shared" si="15"/>
        <v>1961.7083333333255</v>
      </c>
      <c r="O175" s="167">
        <v>30</v>
      </c>
      <c r="P175" s="163" t="s">
        <v>241</v>
      </c>
    </row>
    <row r="176" spans="1:16" ht="13.15">
      <c r="A176" s="164">
        <f t="shared" si="13"/>
        <v>1961.7916666666588</v>
      </c>
      <c r="B176" s="164">
        <f t="shared" si="14"/>
        <v>109.03671029835962</v>
      </c>
      <c r="H176" s="165">
        <v>1961.7916666666588</v>
      </c>
      <c r="I176" s="165">
        <v>15.287452991452991</v>
      </c>
      <c r="J176" s="163" t="s">
        <v>244</v>
      </c>
      <c r="N176" s="165">
        <f t="shared" si="15"/>
        <v>1961.7916666666588</v>
      </c>
      <c r="O176" s="167">
        <v>30</v>
      </c>
      <c r="P176" s="163" t="s">
        <v>241</v>
      </c>
    </row>
    <row r="177" spans="1:16" ht="13.15">
      <c r="A177" s="164">
        <f t="shared" si="13"/>
        <v>1961.874999999992</v>
      </c>
      <c r="B177" s="164">
        <f t="shared" si="14"/>
        <v>109.6273750345371</v>
      </c>
      <c r="H177" s="165">
        <v>1961.874999999992</v>
      </c>
      <c r="I177" s="165">
        <v>15.370266929651544</v>
      </c>
      <c r="J177" s="163" t="s">
        <v>244</v>
      </c>
      <c r="N177" s="165">
        <f t="shared" si="15"/>
        <v>1961.874999999992</v>
      </c>
      <c r="O177" s="167">
        <v>30</v>
      </c>
      <c r="P177" s="163" t="s">
        <v>241</v>
      </c>
    </row>
    <row r="178" spans="1:16" ht="13.15">
      <c r="A178" s="164">
        <f t="shared" si="13"/>
        <v>1961.9583333333253</v>
      </c>
      <c r="B178" s="164">
        <f t="shared" si="14"/>
        <v>109.8636409290081</v>
      </c>
      <c r="H178" s="165">
        <v>1961.9583333333253</v>
      </c>
      <c r="I178" s="165">
        <v>15.403392504930968</v>
      </c>
      <c r="J178" s="163" t="s">
        <v>244</v>
      </c>
      <c r="N178" s="165">
        <f t="shared" si="15"/>
        <v>1961.9583333333253</v>
      </c>
      <c r="O178" s="167">
        <v>30</v>
      </c>
      <c r="P178" s="163" t="s">
        <v>241</v>
      </c>
    </row>
    <row r="179" spans="1:16" ht="13.15">
      <c r="A179" s="164">
        <f t="shared" si="13"/>
        <v>1962.0416666666586</v>
      </c>
      <c r="B179" s="164">
        <f t="shared" si="14"/>
        <v>109.98177387624358</v>
      </c>
      <c r="H179" s="165">
        <v>1962.0416666666586</v>
      </c>
      <c r="I179" s="165">
        <v>15.419955292570677</v>
      </c>
      <c r="J179" s="163" t="s">
        <v>244</v>
      </c>
      <c r="N179" s="165">
        <f t="shared" si="15"/>
        <v>1962.0416666666586</v>
      </c>
      <c r="O179" s="167">
        <v>30</v>
      </c>
      <c r="P179" s="163" t="s">
        <v>241</v>
      </c>
    </row>
    <row r="180" spans="1:16" ht="13.15">
      <c r="A180" s="164">
        <f t="shared" si="13"/>
        <v>1962.1249999999918</v>
      </c>
      <c r="B180" s="164">
        <f t="shared" si="14"/>
        <v>109.38090496522184</v>
      </c>
      <c r="H180" s="165">
        <v>1962.1249999999918</v>
      </c>
      <c r="I180" s="165">
        <v>15.386829717291256</v>
      </c>
      <c r="J180" s="163" t="s">
        <v>244</v>
      </c>
      <c r="N180" s="165">
        <f t="shared" si="15"/>
        <v>1962.1249999999918</v>
      </c>
      <c r="O180" s="167">
        <v>30.1</v>
      </c>
      <c r="P180" s="163" t="s">
        <v>241</v>
      </c>
    </row>
    <row r="181" spans="1:16" ht="13.15">
      <c r="A181" s="164">
        <f t="shared" si="13"/>
        <v>1962.2083333333251</v>
      </c>
      <c r="B181" s="164">
        <f t="shared" si="14"/>
        <v>109.38090496522184</v>
      </c>
      <c r="H181" s="165">
        <v>1962.2083333333251</v>
      </c>
      <c r="I181" s="165">
        <v>15.386829717291256</v>
      </c>
      <c r="J181" s="163" t="s">
        <v>244</v>
      </c>
      <c r="N181" s="165">
        <f t="shared" si="15"/>
        <v>1962.2083333333251</v>
      </c>
      <c r="O181" s="167">
        <v>30.1</v>
      </c>
      <c r="P181" s="163" t="s">
        <v>241</v>
      </c>
    </row>
    <row r="182" spans="1:16" ht="13.15">
      <c r="A182" s="164">
        <f t="shared" si="13"/>
        <v>1962.2916666666583</v>
      </c>
      <c r="B182" s="164">
        <f t="shared" si="14"/>
        <v>109.01871653818469</v>
      </c>
      <c r="H182" s="165">
        <v>1962.2916666666583</v>
      </c>
      <c r="I182" s="165">
        <v>15.386829717291256</v>
      </c>
      <c r="J182" s="163" t="s">
        <v>244</v>
      </c>
      <c r="N182" s="165">
        <f t="shared" si="15"/>
        <v>1962.2916666666583</v>
      </c>
      <c r="O182" s="167">
        <v>30.2</v>
      </c>
      <c r="P182" s="163" t="s">
        <v>241</v>
      </c>
    </row>
    <row r="183" spans="1:16" ht="13.15">
      <c r="A183" s="164">
        <f t="shared" si="13"/>
        <v>1962.3749999999916</v>
      </c>
      <c r="B183" s="164">
        <f t="shared" si="14"/>
        <v>109.60546958736761</v>
      </c>
      <c r="H183" s="165">
        <v>1962.3749999999916</v>
      </c>
      <c r="I183" s="165">
        <v>15.46964365548981</v>
      </c>
      <c r="J183" s="163" t="s">
        <v>244</v>
      </c>
      <c r="N183" s="165">
        <f t="shared" si="15"/>
        <v>1962.3749999999916</v>
      </c>
      <c r="O183" s="167">
        <v>30.2</v>
      </c>
      <c r="P183" s="163" t="s">
        <v>241</v>
      </c>
    </row>
    <row r="184" spans="1:16" ht="13.15">
      <c r="A184" s="164">
        <f t="shared" si="13"/>
        <v>1962.4583333333248</v>
      </c>
      <c r="B184" s="164">
        <f t="shared" si="14"/>
        <v>109.72282019720417</v>
      </c>
      <c r="H184" s="165">
        <v>1962.4583333333248</v>
      </c>
      <c r="I184" s="165">
        <v>15.486206443129522</v>
      </c>
      <c r="J184" s="163" t="s">
        <v>244</v>
      </c>
      <c r="N184" s="165">
        <f t="shared" si="15"/>
        <v>1962.4583333333248</v>
      </c>
      <c r="O184" s="167">
        <v>30.2</v>
      </c>
      <c r="P184" s="163" t="s">
        <v>241</v>
      </c>
    </row>
    <row r="185" spans="1:16" ht="13.15">
      <c r="A185" s="164">
        <f t="shared" si="13"/>
        <v>1962.5416666666581</v>
      </c>
      <c r="B185" s="164">
        <f t="shared" si="14"/>
        <v>109.36069867840152</v>
      </c>
      <c r="H185" s="165">
        <v>1962.5416666666581</v>
      </c>
      <c r="I185" s="165">
        <v>15.486206443129522</v>
      </c>
      <c r="J185" s="163" t="s">
        <v>244</v>
      </c>
      <c r="N185" s="165">
        <f t="shared" si="15"/>
        <v>1962.5416666666581</v>
      </c>
      <c r="O185" s="167">
        <v>30.3</v>
      </c>
      <c r="P185" s="163" t="s">
        <v>241</v>
      </c>
    </row>
    <row r="186" spans="1:16" ht="13.15">
      <c r="A186" s="164">
        <f t="shared" si="13"/>
        <v>1962.6249999999914</v>
      </c>
      <c r="B186" s="164">
        <f t="shared" si="14"/>
        <v>109.36069867840152</v>
      </c>
      <c r="H186" s="165">
        <v>1962.6249999999914</v>
      </c>
      <c r="I186" s="165">
        <v>15.486206443129522</v>
      </c>
      <c r="J186" s="163" t="s">
        <v>244</v>
      </c>
      <c r="N186" s="165">
        <f t="shared" si="15"/>
        <v>1962.6249999999914</v>
      </c>
      <c r="O186" s="167">
        <v>30.3</v>
      </c>
      <c r="P186" s="163" t="s">
        <v>241</v>
      </c>
    </row>
    <row r="187" spans="1:16" ht="13.15">
      <c r="A187" s="164">
        <f t="shared" si="13"/>
        <v>1962.7083333333246</v>
      </c>
      <c r="B187" s="164">
        <f t="shared" si="14"/>
        <v>108.88438097166124</v>
      </c>
      <c r="H187" s="165">
        <v>1962.7083333333246</v>
      </c>
      <c r="I187" s="165">
        <v>15.46964365548981</v>
      </c>
      <c r="J187" s="163" t="s">
        <v>244</v>
      </c>
      <c r="N187" s="165">
        <f t="shared" si="15"/>
        <v>1962.7083333333246</v>
      </c>
      <c r="O187" s="167">
        <v>30.4</v>
      </c>
      <c r="P187" s="163" t="s">
        <v>241</v>
      </c>
    </row>
    <row r="188" spans="1:16" ht="13.15">
      <c r="A188" s="164">
        <f t="shared" si="13"/>
        <v>1962.7916666666579</v>
      </c>
      <c r="B188" s="164">
        <f t="shared" si="14"/>
        <v>108.65122383895961</v>
      </c>
      <c r="H188" s="165">
        <v>1962.7916666666579</v>
      </c>
      <c r="I188" s="165">
        <v>15.436518080210389</v>
      </c>
      <c r="J188" s="163" t="s">
        <v>244</v>
      </c>
      <c r="N188" s="165">
        <f t="shared" si="15"/>
        <v>1962.7916666666579</v>
      </c>
      <c r="O188" s="167">
        <v>30.4</v>
      </c>
      <c r="P188" s="163" t="s">
        <v>241</v>
      </c>
    </row>
    <row r="189" spans="1:16" ht="13.15">
      <c r="A189" s="164">
        <f t="shared" si="13"/>
        <v>1962.8749999999911</v>
      </c>
      <c r="B189" s="164">
        <f t="shared" si="14"/>
        <v>108.76780240531041</v>
      </c>
      <c r="H189" s="165">
        <v>1962.8749999999911</v>
      </c>
      <c r="I189" s="165">
        <v>15.453080867850097</v>
      </c>
      <c r="J189" s="163" t="s">
        <v>244</v>
      </c>
      <c r="N189" s="165">
        <f t="shared" si="15"/>
        <v>1962.8749999999911</v>
      </c>
      <c r="O189" s="167">
        <v>30.4</v>
      </c>
      <c r="P189" s="163" t="s">
        <v>241</v>
      </c>
    </row>
    <row r="190" spans="1:16" ht="13.15">
      <c r="A190" s="164">
        <f t="shared" si="13"/>
        <v>1962.9583333333244</v>
      </c>
      <c r="B190" s="164">
        <f t="shared" si="14"/>
        <v>108.76780240531041</v>
      </c>
      <c r="H190" s="165">
        <v>1962.9583333333244</v>
      </c>
      <c r="I190" s="165">
        <v>15.453080867850097</v>
      </c>
      <c r="J190" s="163" t="s">
        <v>244</v>
      </c>
      <c r="N190" s="165">
        <f t="shared" si="15"/>
        <v>1962.9583333333244</v>
      </c>
      <c r="O190" s="167">
        <v>30.4</v>
      </c>
      <c r="P190" s="163" t="s">
        <v>241</v>
      </c>
    </row>
    <row r="191" spans="1:16" ht="13.15">
      <c r="A191" s="164">
        <f t="shared" si="13"/>
        <v>1963.0416666666576</v>
      </c>
      <c r="B191" s="164">
        <f t="shared" si="14"/>
        <v>108.88438097166124</v>
      </c>
      <c r="H191" s="165">
        <v>1963.0416666666576</v>
      </c>
      <c r="I191" s="165">
        <v>15.46964365548981</v>
      </c>
      <c r="J191" s="163" t="s">
        <v>244</v>
      </c>
      <c r="N191" s="165">
        <f t="shared" si="15"/>
        <v>1963.0416666666576</v>
      </c>
      <c r="O191" s="167">
        <v>30.4</v>
      </c>
      <c r="P191" s="163" t="s">
        <v>241</v>
      </c>
    </row>
    <row r="192" spans="1:16" ht="13.15">
      <c r="A192" s="164">
        <f t="shared" si="13"/>
        <v>1963.1249999999909</v>
      </c>
      <c r="B192" s="164">
        <f t="shared" si="14"/>
        <v>108.88438097166124</v>
      </c>
      <c r="H192" s="165">
        <v>1963.1249999999909</v>
      </c>
      <c r="I192" s="165">
        <v>15.46964365548981</v>
      </c>
      <c r="J192" s="163" t="s">
        <v>244</v>
      </c>
      <c r="N192" s="165">
        <f t="shared" si="15"/>
        <v>1963.1249999999909</v>
      </c>
      <c r="O192" s="167">
        <v>30.4</v>
      </c>
      <c r="P192" s="163" t="s">
        <v>241</v>
      </c>
    </row>
    <row r="193" spans="1:16" ht="13.15">
      <c r="A193" s="164">
        <f t="shared" si="13"/>
        <v>1963.2083333333242</v>
      </c>
      <c r="B193" s="164">
        <f t="shared" si="14"/>
        <v>109.1083647089779</v>
      </c>
      <c r="H193" s="165">
        <v>1963.2083333333242</v>
      </c>
      <c r="I193" s="165">
        <v>15.552457593688365</v>
      </c>
      <c r="J193" s="163" t="s">
        <v>244</v>
      </c>
      <c r="N193" s="165">
        <f t="shared" si="15"/>
        <v>1963.2083333333242</v>
      </c>
      <c r="O193" s="167">
        <v>30.5</v>
      </c>
      <c r="P193" s="163" t="s">
        <v>241</v>
      </c>
    </row>
    <row r="194" spans="1:16" ht="13.15">
      <c r="A194" s="164">
        <f t="shared" si="13"/>
        <v>1963.2916666666574</v>
      </c>
      <c r="B194" s="164">
        <f t="shared" si="14"/>
        <v>109.57315007515031</v>
      </c>
      <c r="H194" s="165">
        <v>1963.2916666666574</v>
      </c>
      <c r="I194" s="165">
        <v>15.618708744247206</v>
      </c>
      <c r="J194" s="163" t="s">
        <v>244</v>
      </c>
      <c r="N194" s="165">
        <f t="shared" si="15"/>
        <v>1963.2916666666574</v>
      </c>
      <c r="O194" s="167">
        <v>30.5</v>
      </c>
      <c r="P194" s="163" t="s">
        <v>241</v>
      </c>
    </row>
    <row r="195" spans="1:16" ht="13.15">
      <c r="A195" s="164">
        <f t="shared" si="13"/>
        <v>1963.3749999999907</v>
      </c>
      <c r="B195" s="164">
        <f t="shared" si="14"/>
        <v>109.34075739206411</v>
      </c>
      <c r="H195" s="165">
        <v>1963.3749999999907</v>
      </c>
      <c r="I195" s="165">
        <v>15.585583168967785</v>
      </c>
      <c r="J195" s="163" t="s">
        <v>244</v>
      </c>
      <c r="N195" s="165">
        <f t="shared" si="15"/>
        <v>1963.3749999999907</v>
      </c>
      <c r="O195" s="167">
        <v>30.5</v>
      </c>
      <c r="P195" s="163" t="s">
        <v>241</v>
      </c>
    </row>
    <row r="196" spans="1:16" ht="13.15">
      <c r="A196" s="164">
        <f t="shared" si="13"/>
        <v>1963.4583333333239</v>
      </c>
      <c r="B196" s="164">
        <f t="shared" si="14"/>
        <v>108.98343465548874</v>
      </c>
      <c r="H196" s="165">
        <v>1963.4583333333239</v>
      </c>
      <c r="I196" s="165">
        <v>15.585583168967785</v>
      </c>
      <c r="J196" s="163" t="s">
        <v>244</v>
      </c>
      <c r="N196" s="165">
        <f t="shared" si="15"/>
        <v>1963.4583333333239</v>
      </c>
      <c r="O196" s="167">
        <v>30.6</v>
      </c>
      <c r="P196" s="163" t="s">
        <v>241</v>
      </c>
    </row>
    <row r="197" spans="1:16" ht="13.15">
      <c r="A197" s="164">
        <f t="shared" si="13"/>
        <v>1963.5416666666572</v>
      </c>
      <c r="B197" s="164">
        <f t="shared" si="14"/>
        <v>108.85931847856951</v>
      </c>
      <c r="H197" s="165">
        <v>1963.5416666666572</v>
      </c>
      <c r="I197" s="165">
        <v>15.618708744247206</v>
      </c>
      <c r="J197" s="163" t="s">
        <v>244</v>
      </c>
      <c r="N197" s="165">
        <f t="shared" si="15"/>
        <v>1963.5416666666572</v>
      </c>
      <c r="O197" s="167">
        <v>30.7</v>
      </c>
      <c r="P197" s="163" t="s">
        <v>241</v>
      </c>
    </row>
    <row r="198" spans="1:16" ht="13.15">
      <c r="A198" s="164">
        <f t="shared" si="13"/>
        <v>1963.6249999999905</v>
      </c>
      <c r="B198" s="164">
        <f t="shared" si="14"/>
        <v>108.85931847856951</v>
      </c>
      <c r="H198" s="165">
        <v>1963.6249999999905</v>
      </c>
      <c r="I198" s="165">
        <v>15.618708744247206</v>
      </c>
      <c r="J198" s="163" t="s">
        <v>244</v>
      </c>
      <c r="N198" s="165">
        <f t="shared" si="15"/>
        <v>1963.6249999999905</v>
      </c>
      <c r="O198" s="167">
        <v>30.7</v>
      </c>
      <c r="P198" s="163" t="s">
        <v>241</v>
      </c>
    </row>
    <row r="199" spans="1:16" ht="13.15">
      <c r="A199" s="164">
        <f t="shared" si="13"/>
        <v>1963.7083333333237</v>
      </c>
      <c r="B199" s="164">
        <f t="shared" si="14"/>
        <v>108.85931847856951</v>
      </c>
      <c r="H199" s="165">
        <v>1963.7083333333237</v>
      </c>
      <c r="I199" s="165">
        <v>15.618708744247206</v>
      </c>
      <c r="J199" s="163" t="s">
        <v>244</v>
      </c>
      <c r="N199" s="165">
        <f t="shared" si="15"/>
        <v>1963.7083333333237</v>
      </c>
      <c r="O199" s="167">
        <v>30.7</v>
      </c>
      <c r="P199" s="163" t="s">
        <v>241</v>
      </c>
    </row>
    <row r="200" spans="1:16" ht="13.15">
      <c r="A200" s="164">
        <f t="shared" si="13"/>
        <v>1963.791666666657</v>
      </c>
      <c r="B200" s="164">
        <f t="shared" si="14"/>
        <v>108.50587913285989</v>
      </c>
      <c r="H200" s="165">
        <v>1963.791666666657</v>
      </c>
      <c r="I200" s="165">
        <v>15.618708744247206</v>
      </c>
      <c r="J200" s="163" t="s">
        <v>244</v>
      </c>
      <c r="N200" s="165">
        <f t="shared" si="15"/>
        <v>1963.791666666657</v>
      </c>
      <c r="O200" s="167">
        <v>30.8</v>
      </c>
      <c r="P200" s="163" t="s">
        <v>241</v>
      </c>
    </row>
    <row r="201" spans="1:16" ht="13.15">
      <c r="A201" s="164">
        <f t="shared" ref="A201:A264" si="16">H201</f>
        <v>1963.8749999999902</v>
      </c>
      <c r="B201" s="164">
        <f t="shared" ref="B201:B264" si="17">100*(I201/O201)/(I$8/O$8)</f>
        <v>109.19626648683355</v>
      </c>
      <c r="H201" s="165">
        <v>1963.8749999999902</v>
      </c>
      <c r="I201" s="165">
        <v>15.718085470085471</v>
      </c>
      <c r="J201" s="163" t="s">
        <v>244</v>
      </c>
      <c r="N201" s="165">
        <f t="shared" ref="N201:N264" si="18">N200+1/12</f>
        <v>1963.8749999999902</v>
      </c>
      <c r="O201" s="167">
        <v>30.8</v>
      </c>
      <c r="P201" s="163" t="s">
        <v>241</v>
      </c>
    </row>
    <row r="202" spans="1:16" ht="13.15">
      <c r="A202" s="164">
        <f t="shared" si="16"/>
        <v>1963.9583333333235</v>
      </c>
      <c r="B202" s="164">
        <f t="shared" si="17"/>
        <v>109.30164923827613</v>
      </c>
      <c r="H202" s="165">
        <v>1963.9583333333235</v>
      </c>
      <c r="I202" s="165">
        <v>15.784336620644313</v>
      </c>
      <c r="J202" s="163" t="s">
        <v>244</v>
      </c>
      <c r="N202" s="165">
        <f t="shared" si="18"/>
        <v>1963.9583333333235</v>
      </c>
      <c r="O202" s="167">
        <v>30.9</v>
      </c>
      <c r="P202" s="163" t="s">
        <v>241</v>
      </c>
    </row>
    <row r="203" spans="1:16" ht="13.15">
      <c r="A203" s="164">
        <f t="shared" si="16"/>
        <v>1964.0416666666567</v>
      </c>
      <c r="B203" s="164">
        <f t="shared" si="17"/>
        <v>109.30164923827613</v>
      </c>
      <c r="H203" s="165">
        <v>1964.0416666666567</v>
      </c>
      <c r="I203" s="165">
        <v>15.784336620644313</v>
      </c>
      <c r="J203" s="163" t="s">
        <v>244</v>
      </c>
      <c r="N203" s="165">
        <f t="shared" si="18"/>
        <v>1964.0416666666567</v>
      </c>
      <c r="O203" s="167">
        <v>30.9</v>
      </c>
      <c r="P203" s="163" t="s">
        <v>241</v>
      </c>
    </row>
    <row r="204" spans="1:16" ht="13.15">
      <c r="A204" s="164">
        <f t="shared" si="16"/>
        <v>1964.12499999999</v>
      </c>
      <c r="B204" s="164">
        <f t="shared" si="17"/>
        <v>109.64572578362221</v>
      </c>
      <c r="H204" s="165">
        <v>1964.12499999999</v>
      </c>
      <c r="I204" s="165">
        <v>15.834024983563445</v>
      </c>
      <c r="J204" s="163" t="s">
        <v>244</v>
      </c>
      <c r="N204" s="165">
        <f t="shared" si="18"/>
        <v>1964.12499999999</v>
      </c>
      <c r="O204" s="167">
        <v>30.9</v>
      </c>
      <c r="P204" s="163" t="s">
        <v>241</v>
      </c>
    </row>
    <row r="205" spans="1:16" ht="13.15">
      <c r="A205" s="164">
        <f t="shared" si="16"/>
        <v>1964.2083333333233</v>
      </c>
      <c r="B205" s="164">
        <f t="shared" si="17"/>
        <v>109.64572578362221</v>
      </c>
      <c r="H205" s="165">
        <v>1964.2083333333233</v>
      </c>
      <c r="I205" s="165">
        <v>15.834024983563445</v>
      </c>
      <c r="J205" s="163" t="s">
        <v>244</v>
      </c>
      <c r="N205" s="165">
        <f t="shared" si="18"/>
        <v>1964.2083333333233</v>
      </c>
      <c r="O205" s="167">
        <v>30.9</v>
      </c>
      <c r="P205" s="163" t="s">
        <v>241</v>
      </c>
    </row>
    <row r="206" spans="1:16" ht="13.15">
      <c r="A206" s="164">
        <f t="shared" si="16"/>
        <v>1964.2916666666565</v>
      </c>
      <c r="B206" s="164">
        <f t="shared" si="17"/>
        <v>109.30164923827613</v>
      </c>
      <c r="H206" s="165">
        <v>1964.2916666666565</v>
      </c>
      <c r="I206" s="165">
        <v>15.784336620644313</v>
      </c>
      <c r="J206" s="163" t="s">
        <v>244</v>
      </c>
      <c r="N206" s="165">
        <f t="shared" si="18"/>
        <v>1964.2916666666565</v>
      </c>
      <c r="O206" s="167">
        <v>30.9</v>
      </c>
      <c r="P206" s="163" t="s">
        <v>241</v>
      </c>
    </row>
    <row r="207" spans="1:16" ht="13.15">
      <c r="A207" s="164">
        <f t="shared" si="16"/>
        <v>1964.3749999999898</v>
      </c>
      <c r="B207" s="164">
        <f t="shared" si="17"/>
        <v>108.842880511148</v>
      </c>
      <c r="H207" s="165">
        <v>1964.3749999999898</v>
      </c>
      <c r="I207" s="165">
        <v>15.718085470085471</v>
      </c>
      <c r="J207" s="163" t="s">
        <v>244</v>
      </c>
      <c r="N207" s="165">
        <f t="shared" si="18"/>
        <v>1964.3749999999898</v>
      </c>
      <c r="O207" s="167">
        <v>30.9</v>
      </c>
      <c r="P207" s="163" t="s">
        <v>241</v>
      </c>
    </row>
    <row r="208" spans="1:16" ht="13.15">
      <c r="A208" s="164">
        <f t="shared" si="16"/>
        <v>1964.458333333323</v>
      </c>
      <c r="B208" s="164">
        <f t="shared" si="17"/>
        <v>108.83474106598929</v>
      </c>
      <c r="H208" s="165">
        <v>1964.458333333323</v>
      </c>
      <c r="I208" s="165">
        <v>15.767773833004604</v>
      </c>
      <c r="J208" s="163" t="s">
        <v>244</v>
      </c>
      <c r="N208" s="165">
        <f t="shared" si="18"/>
        <v>1964.458333333323</v>
      </c>
      <c r="O208" s="167">
        <v>31</v>
      </c>
      <c r="P208" s="163" t="s">
        <v>241</v>
      </c>
    </row>
    <row r="209" spans="1:16" ht="13.15">
      <c r="A209" s="164">
        <f t="shared" si="16"/>
        <v>1964.5416666666563</v>
      </c>
      <c r="B209" s="164">
        <f t="shared" si="17"/>
        <v>108.71269935304815</v>
      </c>
      <c r="H209" s="165">
        <v>1964.5416666666563</v>
      </c>
      <c r="I209" s="165">
        <v>15.800899408284025</v>
      </c>
      <c r="J209" s="163" t="s">
        <v>244</v>
      </c>
      <c r="N209" s="165">
        <f t="shared" si="18"/>
        <v>1964.5416666666563</v>
      </c>
      <c r="O209" s="167">
        <v>31.1</v>
      </c>
      <c r="P209" s="163" t="s">
        <v>241</v>
      </c>
    </row>
    <row r="210" spans="1:16" ht="13.15">
      <c r="A210" s="164">
        <f t="shared" si="16"/>
        <v>1964.6249999999895</v>
      </c>
      <c r="B210" s="164">
        <f t="shared" si="17"/>
        <v>109.40635210099973</v>
      </c>
      <c r="H210" s="165">
        <v>1964.6249999999895</v>
      </c>
      <c r="I210" s="165">
        <v>15.850587771203157</v>
      </c>
      <c r="J210" s="163" t="s">
        <v>244</v>
      </c>
      <c r="N210" s="165">
        <f t="shared" si="18"/>
        <v>1964.6249999999895</v>
      </c>
      <c r="O210" s="167">
        <v>31</v>
      </c>
      <c r="P210" s="163" t="s">
        <v>241</v>
      </c>
    </row>
    <row r="211" spans="1:16" ht="13.15">
      <c r="A211" s="164">
        <f t="shared" si="16"/>
        <v>1964.7083333333228</v>
      </c>
      <c r="B211" s="164">
        <f t="shared" si="17"/>
        <v>109.39642702193521</v>
      </c>
      <c r="H211" s="165">
        <v>1964.7083333333228</v>
      </c>
      <c r="I211" s="165">
        <v>15.900276134122286</v>
      </c>
      <c r="J211" s="163" t="s">
        <v>244</v>
      </c>
      <c r="N211" s="165">
        <f t="shared" si="18"/>
        <v>1964.7083333333228</v>
      </c>
      <c r="O211" s="167">
        <v>31.1</v>
      </c>
      <c r="P211" s="163" t="s">
        <v>241</v>
      </c>
    </row>
    <row r="212" spans="1:16" ht="13.15">
      <c r="A212" s="164">
        <f t="shared" si="16"/>
        <v>1964.7916666666561</v>
      </c>
      <c r="B212" s="164">
        <f t="shared" si="17"/>
        <v>109.62433624489761</v>
      </c>
      <c r="H212" s="165">
        <v>1964.7916666666561</v>
      </c>
      <c r="I212" s="165">
        <v>15.933401709401711</v>
      </c>
      <c r="J212" s="163" t="s">
        <v>244</v>
      </c>
      <c r="N212" s="165">
        <f t="shared" si="18"/>
        <v>1964.7916666666561</v>
      </c>
      <c r="O212" s="167">
        <v>31.1</v>
      </c>
      <c r="P212" s="163" t="s">
        <v>241</v>
      </c>
    </row>
    <row r="213" spans="1:16" ht="13.15">
      <c r="A213" s="164">
        <f t="shared" si="16"/>
        <v>1964.8749999999893</v>
      </c>
      <c r="B213" s="164">
        <f t="shared" si="17"/>
        <v>109.61374430985607</v>
      </c>
      <c r="H213" s="165">
        <v>1964.8749999999893</v>
      </c>
      <c r="I213" s="165">
        <v>15.983090072320842</v>
      </c>
      <c r="J213" s="163" t="s">
        <v>244</v>
      </c>
      <c r="N213" s="165">
        <f t="shared" si="18"/>
        <v>1964.8749999999893</v>
      </c>
      <c r="O213" s="167">
        <v>31.2</v>
      </c>
      <c r="P213" s="163" t="s">
        <v>241</v>
      </c>
    </row>
    <row r="214" spans="1:16" ht="13.15">
      <c r="A214" s="164">
        <f t="shared" si="16"/>
        <v>1964.9583333333226</v>
      </c>
      <c r="B214" s="164">
        <f t="shared" si="17"/>
        <v>109.61374430985607</v>
      </c>
      <c r="H214" s="165">
        <v>1964.9583333333226</v>
      </c>
      <c r="I214" s="165">
        <v>15.983090072320842</v>
      </c>
      <c r="J214" s="163" t="s">
        <v>244</v>
      </c>
      <c r="N214" s="165">
        <f t="shared" si="18"/>
        <v>1964.9583333333226</v>
      </c>
      <c r="O214" s="167">
        <v>31.2</v>
      </c>
      <c r="P214" s="163" t="s">
        <v>241</v>
      </c>
    </row>
    <row r="215" spans="1:16" ht="13.15">
      <c r="A215" s="164">
        <f t="shared" si="16"/>
        <v>1965.0416666666558</v>
      </c>
      <c r="B215" s="164">
        <f t="shared" si="17"/>
        <v>110.29528054390701</v>
      </c>
      <c r="H215" s="165">
        <v>1965.0416666666558</v>
      </c>
      <c r="I215" s="165">
        <v>16.082466798159107</v>
      </c>
      <c r="J215" s="163" t="s">
        <v>244</v>
      </c>
      <c r="N215" s="165">
        <f t="shared" si="18"/>
        <v>1965.0416666666558</v>
      </c>
      <c r="O215" s="167">
        <v>31.2</v>
      </c>
      <c r="P215" s="163" t="s">
        <v>241</v>
      </c>
    </row>
    <row r="216" spans="1:16" ht="13.15">
      <c r="A216" s="164">
        <f t="shared" si="16"/>
        <v>1965.1249999999891</v>
      </c>
      <c r="B216" s="164">
        <f t="shared" si="17"/>
        <v>110.29528054390701</v>
      </c>
      <c r="H216" s="165">
        <v>1965.1249999999891</v>
      </c>
      <c r="I216" s="165">
        <v>16.082466798159107</v>
      </c>
      <c r="J216" s="163" t="s">
        <v>244</v>
      </c>
      <c r="N216" s="165">
        <f t="shared" si="18"/>
        <v>1965.1249999999891</v>
      </c>
      <c r="O216" s="167">
        <v>31.2</v>
      </c>
      <c r="P216" s="163" t="s">
        <v>241</v>
      </c>
    </row>
    <row r="217" spans="1:16" ht="13.15">
      <c r="A217" s="164">
        <f t="shared" si="16"/>
        <v>1965.2083333333223</v>
      </c>
      <c r="B217" s="164">
        <f t="shared" si="17"/>
        <v>109.60322005491065</v>
      </c>
      <c r="H217" s="165">
        <v>1965.2083333333223</v>
      </c>
      <c r="I217" s="165">
        <v>16.032778435239972</v>
      </c>
      <c r="J217" s="163" t="s">
        <v>244</v>
      </c>
      <c r="N217" s="165">
        <f t="shared" si="18"/>
        <v>1965.2083333333223</v>
      </c>
      <c r="O217" s="167">
        <v>31.3</v>
      </c>
      <c r="P217" s="163" t="s">
        <v>241</v>
      </c>
    </row>
    <row r="218" spans="1:16" ht="13.15">
      <c r="A218" s="164">
        <f t="shared" si="16"/>
        <v>1965.2916666666556</v>
      </c>
      <c r="B218" s="164">
        <f t="shared" si="17"/>
        <v>109.02843346766161</v>
      </c>
      <c r="H218" s="165">
        <v>1965.2916666666556</v>
      </c>
      <c r="I218" s="165">
        <v>15.999652859960552</v>
      </c>
      <c r="J218" s="163" t="s">
        <v>244</v>
      </c>
      <c r="N218" s="165">
        <f t="shared" si="18"/>
        <v>1965.2916666666556</v>
      </c>
      <c r="O218" s="167">
        <v>31.4</v>
      </c>
      <c r="P218" s="163" t="s">
        <v>241</v>
      </c>
    </row>
    <row r="219" spans="1:16" ht="13.15">
      <c r="A219" s="164">
        <f t="shared" si="16"/>
        <v>1965.3749999999889</v>
      </c>
      <c r="B219" s="164">
        <f t="shared" si="17"/>
        <v>108.91556759450668</v>
      </c>
      <c r="H219" s="165">
        <v>1965.3749999999889</v>
      </c>
      <c r="I219" s="165">
        <v>15.983090072320842</v>
      </c>
      <c r="J219" s="163" t="s">
        <v>244</v>
      </c>
      <c r="N219" s="165">
        <f t="shared" si="18"/>
        <v>1965.3749999999889</v>
      </c>
      <c r="O219" s="167">
        <v>31.4</v>
      </c>
      <c r="P219" s="163" t="s">
        <v>241</v>
      </c>
    </row>
    <row r="220" spans="1:16" ht="13.15">
      <c r="A220" s="164">
        <f t="shared" si="16"/>
        <v>1965.4583333333221</v>
      </c>
      <c r="B220" s="164">
        <f t="shared" si="17"/>
        <v>108.22622855909839</v>
      </c>
      <c r="H220" s="165">
        <v>1965.4583333333221</v>
      </c>
      <c r="I220" s="165">
        <v>15.983090072320842</v>
      </c>
      <c r="J220" s="163" t="s">
        <v>244</v>
      </c>
      <c r="N220" s="165">
        <f t="shared" si="18"/>
        <v>1965.4583333333221</v>
      </c>
      <c r="O220" s="167">
        <v>31.6</v>
      </c>
      <c r="P220" s="163" t="s">
        <v>241</v>
      </c>
    </row>
    <row r="221" spans="1:16" ht="13.15">
      <c r="A221" s="164">
        <f t="shared" si="16"/>
        <v>1965.5416666666554</v>
      </c>
      <c r="B221" s="164">
        <f t="shared" si="17"/>
        <v>108.4505316234696</v>
      </c>
      <c r="H221" s="165">
        <v>1965.5416666666554</v>
      </c>
      <c r="I221" s="165">
        <v>16.016215647600266</v>
      </c>
      <c r="J221" s="163" t="s">
        <v>244</v>
      </c>
      <c r="N221" s="165">
        <f t="shared" si="18"/>
        <v>1965.5416666666554</v>
      </c>
      <c r="O221" s="167">
        <v>31.6</v>
      </c>
      <c r="P221" s="163" t="s">
        <v>241</v>
      </c>
    </row>
    <row r="222" spans="1:16" ht="13.15">
      <c r="A222" s="164">
        <f t="shared" si="16"/>
        <v>1965.6249999999886</v>
      </c>
      <c r="B222" s="164">
        <f t="shared" si="17"/>
        <v>108.4505316234696</v>
      </c>
      <c r="H222" s="165">
        <v>1965.6249999999886</v>
      </c>
      <c r="I222" s="165">
        <v>16.016215647600266</v>
      </c>
      <c r="J222" s="163" t="s">
        <v>244</v>
      </c>
      <c r="N222" s="165">
        <f t="shared" si="18"/>
        <v>1965.6249999999886</v>
      </c>
      <c r="O222" s="167">
        <v>31.6</v>
      </c>
      <c r="P222" s="163" t="s">
        <v>241</v>
      </c>
    </row>
    <row r="223" spans="1:16" ht="13.15">
      <c r="A223" s="164">
        <f t="shared" si="16"/>
        <v>1965.7083333333219</v>
      </c>
      <c r="B223" s="164">
        <f t="shared" si="17"/>
        <v>108.4505316234696</v>
      </c>
      <c r="H223" s="165">
        <v>1965.7083333333219</v>
      </c>
      <c r="I223" s="165">
        <v>16.016215647600266</v>
      </c>
      <c r="J223" s="163" t="s">
        <v>244</v>
      </c>
      <c r="N223" s="165">
        <f t="shared" si="18"/>
        <v>1965.7083333333219</v>
      </c>
      <c r="O223" s="167">
        <v>31.6</v>
      </c>
      <c r="P223" s="163" t="s">
        <v>241</v>
      </c>
    </row>
    <row r="224" spans="1:16" ht="13.15">
      <c r="A224" s="164">
        <f t="shared" si="16"/>
        <v>1965.7916666666551</v>
      </c>
      <c r="B224" s="164">
        <f t="shared" si="17"/>
        <v>108.77920283293464</v>
      </c>
      <c r="H224" s="165">
        <v>1965.7916666666551</v>
      </c>
      <c r="I224" s="165">
        <v>16.115592373438528</v>
      </c>
      <c r="J224" s="163" t="s">
        <v>244</v>
      </c>
      <c r="N224" s="165">
        <f t="shared" si="18"/>
        <v>1965.7916666666551</v>
      </c>
      <c r="O224" s="167">
        <v>31.7</v>
      </c>
      <c r="P224" s="163" t="s">
        <v>241</v>
      </c>
    </row>
    <row r="225" spans="1:16" ht="13.15">
      <c r="A225" s="164">
        <f t="shared" si="16"/>
        <v>1965.8749999999884</v>
      </c>
      <c r="B225" s="164">
        <f t="shared" si="17"/>
        <v>109.33819154225084</v>
      </c>
      <c r="H225" s="165">
        <v>1965.8749999999884</v>
      </c>
      <c r="I225" s="165">
        <v>16.198406311637079</v>
      </c>
      <c r="J225" s="163" t="s">
        <v>244</v>
      </c>
      <c r="N225" s="165">
        <f t="shared" si="18"/>
        <v>1965.8749999999884</v>
      </c>
      <c r="O225" s="167">
        <v>31.7</v>
      </c>
      <c r="P225" s="163" t="s">
        <v>241</v>
      </c>
    </row>
    <row r="226" spans="1:16" ht="13.15">
      <c r="A226" s="164">
        <f t="shared" si="16"/>
        <v>1965.9583333333217</v>
      </c>
      <c r="B226" s="164">
        <f t="shared" si="17"/>
        <v>109.32869928114924</v>
      </c>
      <c r="H226" s="165">
        <v>1965.9583333333217</v>
      </c>
      <c r="I226" s="165">
        <v>16.248094674556214</v>
      </c>
      <c r="J226" s="163" t="s">
        <v>244</v>
      </c>
      <c r="N226" s="165">
        <f t="shared" si="18"/>
        <v>1965.9583333333217</v>
      </c>
      <c r="O226" s="167">
        <v>31.8</v>
      </c>
      <c r="P226" s="163" t="s">
        <v>241</v>
      </c>
    </row>
    <row r="227" spans="1:16" ht="13.15">
      <c r="A227" s="164">
        <f t="shared" si="16"/>
        <v>1966.0416666666549</v>
      </c>
      <c r="B227" s="164">
        <f t="shared" si="17"/>
        <v>109.66303781106103</v>
      </c>
      <c r="H227" s="165">
        <v>1966.0416666666549</v>
      </c>
      <c r="I227" s="165">
        <v>16.297783037475348</v>
      </c>
      <c r="J227" s="163" t="s">
        <v>244</v>
      </c>
      <c r="N227" s="165">
        <f t="shared" si="18"/>
        <v>1966.0416666666549</v>
      </c>
      <c r="O227" s="167">
        <v>31.8</v>
      </c>
      <c r="P227" s="163" t="s">
        <v>241</v>
      </c>
    </row>
    <row r="228" spans="1:16" ht="13.15">
      <c r="A228" s="164">
        <f t="shared" si="16"/>
        <v>1966.1249999999882</v>
      </c>
      <c r="B228" s="164">
        <f t="shared" si="17"/>
        <v>108.75614454867534</v>
      </c>
      <c r="H228" s="165">
        <v>1966.1249999999882</v>
      </c>
      <c r="I228" s="165">
        <v>16.264657462195924</v>
      </c>
      <c r="J228" s="163" t="s">
        <v>244</v>
      </c>
      <c r="N228" s="165">
        <f t="shared" si="18"/>
        <v>1966.1249999999882</v>
      </c>
      <c r="O228" s="167">
        <v>32</v>
      </c>
      <c r="P228" s="163" t="s">
        <v>241</v>
      </c>
    </row>
    <row r="229" spans="1:16" ht="13.15">
      <c r="A229" s="164">
        <f t="shared" si="16"/>
        <v>1966.2083333333214</v>
      </c>
      <c r="B229" s="164">
        <f t="shared" si="17"/>
        <v>108.41734036005018</v>
      </c>
      <c r="H229" s="165">
        <v>1966.2083333333214</v>
      </c>
      <c r="I229" s="165">
        <v>16.264657462195924</v>
      </c>
      <c r="J229" s="163" t="s">
        <v>244</v>
      </c>
      <c r="N229" s="165">
        <f t="shared" si="18"/>
        <v>1966.2083333333214</v>
      </c>
      <c r="O229" s="167">
        <v>32.1</v>
      </c>
      <c r="P229" s="163" t="s">
        <v>241</v>
      </c>
    </row>
    <row r="230" spans="1:16" ht="13.15">
      <c r="A230" s="164">
        <f t="shared" si="16"/>
        <v>1966.2916666666547</v>
      </c>
      <c r="B230" s="164">
        <f t="shared" si="17"/>
        <v>107.85574656268346</v>
      </c>
      <c r="H230" s="165">
        <v>1966.2916666666547</v>
      </c>
      <c r="I230" s="165">
        <v>16.281220249835634</v>
      </c>
      <c r="J230" s="163" t="s">
        <v>244</v>
      </c>
      <c r="N230" s="165">
        <f t="shared" si="18"/>
        <v>1966.2916666666547</v>
      </c>
      <c r="O230" s="167">
        <v>32.299999999999997</v>
      </c>
      <c r="P230" s="163" t="s">
        <v>241</v>
      </c>
    </row>
    <row r="231" spans="1:16" ht="13.15">
      <c r="A231" s="164">
        <f t="shared" si="16"/>
        <v>1966.3749999999879</v>
      </c>
      <c r="B231" s="164">
        <f t="shared" si="17"/>
        <v>108.07518856993205</v>
      </c>
      <c r="H231" s="165">
        <v>1966.3749999999879</v>
      </c>
      <c r="I231" s="165">
        <v>16.314345825115055</v>
      </c>
      <c r="J231" s="163" t="s">
        <v>244</v>
      </c>
      <c r="N231" s="165">
        <f t="shared" si="18"/>
        <v>1966.3749999999879</v>
      </c>
      <c r="O231" s="167">
        <v>32.299999999999997</v>
      </c>
      <c r="P231" s="163" t="s">
        <v>241</v>
      </c>
    </row>
    <row r="232" spans="1:16" ht="13.15">
      <c r="A232" s="164">
        <f t="shared" si="16"/>
        <v>1966.4583333333212</v>
      </c>
      <c r="B232" s="164">
        <f t="shared" si="17"/>
        <v>107.96038789021407</v>
      </c>
      <c r="H232" s="165">
        <v>1966.4583333333212</v>
      </c>
      <c r="I232" s="165">
        <v>16.347471400394479</v>
      </c>
      <c r="J232" s="163" t="s">
        <v>244</v>
      </c>
      <c r="N232" s="165">
        <f t="shared" si="18"/>
        <v>1966.4583333333212</v>
      </c>
      <c r="O232" s="167">
        <v>32.4</v>
      </c>
      <c r="P232" s="163" t="s">
        <v>241</v>
      </c>
    </row>
    <row r="233" spans="1:16" ht="13.15">
      <c r="A233" s="164">
        <f t="shared" si="16"/>
        <v>1966.5416666666545</v>
      </c>
      <c r="B233" s="164">
        <f t="shared" si="17"/>
        <v>107.73724787876921</v>
      </c>
      <c r="H233" s="165">
        <v>1966.5416666666545</v>
      </c>
      <c r="I233" s="165">
        <v>16.364034188034189</v>
      </c>
      <c r="J233" s="163" t="s">
        <v>244</v>
      </c>
      <c r="N233" s="165">
        <f t="shared" si="18"/>
        <v>1966.5416666666545</v>
      </c>
      <c r="O233" s="167">
        <v>32.5</v>
      </c>
      <c r="P233" s="163" t="s">
        <v>241</v>
      </c>
    </row>
    <row r="234" spans="1:16" ht="13.15">
      <c r="A234" s="164">
        <f t="shared" si="16"/>
        <v>1966.6249999999877</v>
      </c>
      <c r="B234" s="164">
        <f t="shared" si="17"/>
        <v>106.75316791464233</v>
      </c>
      <c r="H234" s="165">
        <v>1966.6249999999877</v>
      </c>
      <c r="I234" s="165">
        <v>16.314345825115055</v>
      </c>
      <c r="J234" s="163" t="s">
        <v>244</v>
      </c>
      <c r="N234" s="165">
        <f t="shared" si="18"/>
        <v>1966.6249999999877</v>
      </c>
      <c r="O234" s="167">
        <v>32.700000000000003</v>
      </c>
      <c r="P234" s="163" t="s">
        <v>241</v>
      </c>
    </row>
    <row r="235" spans="1:16" ht="13.15">
      <c r="A235" s="164">
        <f t="shared" si="16"/>
        <v>1966.708333333321</v>
      </c>
      <c r="B235" s="164">
        <f t="shared" si="17"/>
        <v>106.75316791464233</v>
      </c>
      <c r="H235" s="165">
        <v>1966.708333333321</v>
      </c>
      <c r="I235" s="165">
        <v>16.314345825115055</v>
      </c>
      <c r="J235" s="163" t="s">
        <v>244</v>
      </c>
      <c r="N235" s="165">
        <f t="shared" si="18"/>
        <v>1966.708333333321</v>
      </c>
      <c r="O235" s="167">
        <v>32.700000000000003</v>
      </c>
      <c r="P235" s="163" t="s">
        <v>241</v>
      </c>
    </row>
    <row r="236" spans="1:16" ht="13.15">
      <c r="A236" s="164">
        <f t="shared" si="16"/>
        <v>1966.7916666666542</v>
      </c>
      <c r="B236" s="164">
        <f t="shared" si="17"/>
        <v>106.53509253729679</v>
      </c>
      <c r="H236" s="165">
        <v>1966.7916666666542</v>
      </c>
      <c r="I236" s="165">
        <v>16.3805969756739</v>
      </c>
      <c r="J236" s="163" t="s">
        <v>244</v>
      </c>
      <c r="N236" s="165">
        <f t="shared" si="18"/>
        <v>1966.7916666666542</v>
      </c>
      <c r="O236" s="167">
        <v>32.9</v>
      </c>
      <c r="P236" s="163" t="s">
        <v>241</v>
      </c>
    </row>
    <row r="237" spans="1:16" ht="13.15">
      <c r="A237" s="164">
        <f t="shared" si="16"/>
        <v>1966.8749999999875</v>
      </c>
      <c r="B237" s="164">
        <f t="shared" si="17"/>
        <v>106.53509253729679</v>
      </c>
      <c r="H237" s="165">
        <v>1966.8749999999875</v>
      </c>
      <c r="I237" s="165">
        <v>16.3805969756739</v>
      </c>
      <c r="J237" s="163" t="s">
        <v>244</v>
      </c>
      <c r="N237" s="165">
        <f t="shared" si="18"/>
        <v>1966.8749999999875</v>
      </c>
      <c r="O237" s="167">
        <v>32.9</v>
      </c>
      <c r="P237" s="163" t="s">
        <v>241</v>
      </c>
    </row>
    <row r="238" spans="1:16" ht="13.15">
      <c r="A238" s="164">
        <f t="shared" si="16"/>
        <v>1966.9583333333208</v>
      </c>
      <c r="B238" s="164">
        <f t="shared" si="17"/>
        <v>106.96597258800375</v>
      </c>
      <c r="H238" s="165">
        <v>1966.9583333333208</v>
      </c>
      <c r="I238" s="165">
        <v>16.446848126232741</v>
      </c>
      <c r="J238" s="163" t="s">
        <v>244</v>
      </c>
      <c r="N238" s="165">
        <f t="shared" si="18"/>
        <v>1966.9583333333208</v>
      </c>
      <c r="O238" s="167">
        <v>32.9</v>
      </c>
      <c r="P238" s="163" t="s">
        <v>241</v>
      </c>
    </row>
    <row r="239" spans="1:16" ht="13.15">
      <c r="A239" s="164">
        <f t="shared" si="16"/>
        <v>1967.041666666654</v>
      </c>
      <c r="B239" s="164">
        <f t="shared" si="17"/>
        <v>106.96597258800375</v>
      </c>
      <c r="H239" s="165">
        <v>1967.041666666654</v>
      </c>
      <c r="I239" s="165">
        <v>16.446848126232741</v>
      </c>
      <c r="J239" s="163" t="s">
        <v>244</v>
      </c>
      <c r="N239" s="165">
        <f t="shared" si="18"/>
        <v>1967.041666666654</v>
      </c>
      <c r="O239" s="167">
        <v>32.9</v>
      </c>
      <c r="P239" s="163" t="s">
        <v>241</v>
      </c>
    </row>
    <row r="240" spans="1:16" ht="13.15">
      <c r="A240" s="164">
        <f t="shared" si="16"/>
        <v>1967.1249999999873</v>
      </c>
      <c r="B240" s="164">
        <f t="shared" si="17"/>
        <v>106.96597258800375</v>
      </c>
      <c r="H240" s="165">
        <v>1967.1249999999873</v>
      </c>
      <c r="I240" s="165">
        <v>16.446848126232741</v>
      </c>
      <c r="J240" s="163" t="s">
        <v>244</v>
      </c>
      <c r="N240" s="165">
        <f t="shared" si="18"/>
        <v>1967.1249999999873</v>
      </c>
      <c r="O240" s="167">
        <v>32.9</v>
      </c>
      <c r="P240" s="163" t="s">
        <v>241</v>
      </c>
    </row>
    <row r="241" spans="1:16" ht="13.15">
      <c r="A241" s="164">
        <f t="shared" si="16"/>
        <v>1967.2083333333205</v>
      </c>
      <c r="B241" s="164">
        <f t="shared" si="17"/>
        <v>105.89007815835971</v>
      </c>
      <c r="H241" s="165">
        <v>1967.2083333333205</v>
      </c>
      <c r="I241" s="165">
        <v>16.330908612754769</v>
      </c>
      <c r="J241" s="163" t="s">
        <v>244</v>
      </c>
      <c r="N241" s="165">
        <f t="shared" si="18"/>
        <v>1967.2083333333205</v>
      </c>
      <c r="O241" s="167">
        <v>33</v>
      </c>
      <c r="P241" s="163" t="s">
        <v>241</v>
      </c>
    </row>
    <row r="242" spans="1:16" ht="13.15">
      <c r="A242" s="164">
        <f t="shared" si="16"/>
        <v>1967.2916666666538</v>
      </c>
      <c r="B242" s="164">
        <f t="shared" si="17"/>
        <v>105.99844510254165</v>
      </c>
      <c r="H242" s="165">
        <v>1967.2916666666538</v>
      </c>
      <c r="I242" s="165">
        <v>16.39715976331361</v>
      </c>
      <c r="J242" s="163" t="s">
        <v>244</v>
      </c>
      <c r="N242" s="165">
        <f t="shared" si="18"/>
        <v>1967.2916666666538</v>
      </c>
      <c r="O242" s="167">
        <v>33.1</v>
      </c>
      <c r="P242" s="163" t="s">
        <v>241</v>
      </c>
    </row>
    <row r="243" spans="1:16" ht="13.15">
      <c r="A243" s="164">
        <f t="shared" si="16"/>
        <v>1967.374999999987</v>
      </c>
      <c r="B243" s="164">
        <f t="shared" si="17"/>
        <v>106.3196525119433</v>
      </c>
      <c r="H243" s="165">
        <v>1967.374999999987</v>
      </c>
      <c r="I243" s="165">
        <v>16.496536489151875</v>
      </c>
      <c r="J243" s="163" t="s">
        <v>244</v>
      </c>
      <c r="N243" s="165">
        <f t="shared" si="18"/>
        <v>1967.374999999987</v>
      </c>
      <c r="O243" s="167">
        <v>33.200000000000003</v>
      </c>
      <c r="P243" s="163" t="s">
        <v>241</v>
      </c>
    </row>
    <row r="244" spans="1:16" ht="13.15">
      <c r="A244" s="164">
        <f t="shared" si="16"/>
        <v>1967.4583333333203</v>
      </c>
      <c r="B244" s="164">
        <f t="shared" si="17"/>
        <v>106.21322643335279</v>
      </c>
      <c r="H244" s="165">
        <v>1967.4583333333203</v>
      </c>
      <c r="I244" s="165">
        <v>16.529662064431296</v>
      </c>
      <c r="J244" s="163" t="s">
        <v>244</v>
      </c>
      <c r="N244" s="165">
        <f t="shared" si="18"/>
        <v>1967.4583333333203</v>
      </c>
      <c r="O244" s="167">
        <v>33.299999999999997</v>
      </c>
      <c r="P244" s="163" t="s">
        <v>241</v>
      </c>
    </row>
    <row r="245" spans="1:16" ht="13.15">
      <c r="A245" s="164">
        <f t="shared" si="16"/>
        <v>1967.5416666666536</v>
      </c>
      <c r="B245" s="164">
        <f t="shared" si="17"/>
        <v>105.89522276139664</v>
      </c>
      <c r="H245" s="165">
        <v>1967.5416666666536</v>
      </c>
      <c r="I245" s="165">
        <v>16.529662064431296</v>
      </c>
      <c r="J245" s="163" t="s">
        <v>244</v>
      </c>
      <c r="N245" s="165">
        <f t="shared" si="18"/>
        <v>1967.5416666666536</v>
      </c>
      <c r="O245" s="167">
        <v>33.4</v>
      </c>
      <c r="P245" s="163" t="s">
        <v>241</v>
      </c>
    </row>
    <row r="246" spans="1:16" ht="13.15">
      <c r="A246" s="164">
        <f t="shared" si="16"/>
        <v>1967.6249999999868</v>
      </c>
      <c r="B246" s="164">
        <f t="shared" si="17"/>
        <v>106.21386181292645</v>
      </c>
      <c r="H246" s="165">
        <v>1967.6249999999868</v>
      </c>
      <c r="I246" s="165">
        <v>16.629038790269561</v>
      </c>
      <c r="J246" s="163" t="s">
        <v>244</v>
      </c>
      <c r="N246" s="165">
        <f t="shared" si="18"/>
        <v>1967.6249999999868</v>
      </c>
      <c r="O246" s="167">
        <v>33.5</v>
      </c>
      <c r="P246" s="163" t="s">
        <v>241</v>
      </c>
    </row>
    <row r="247" spans="1:16" ht="13.15">
      <c r="A247" s="164">
        <f t="shared" si="16"/>
        <v>1967.7083333333201</v>
      </c>
      <c r="B247" s="164">
        <f t="shared" si="17"/>
        <v>105.8977491289594</v>
      </c>
      <c r="H247" s="165">
        <v>1967.7083333333201</v>
      </c>
      <c r="I247" s="165">
        <v>16.629038790269561</v>
      </c>
      <c r="J247" s="163" t="s">
        <v>244</v>
      </c>
      <c r="N247" s="165">
        <f t="shared" si="18"/>
        <v>1967.7083333333201</v>
      </c>
      <c r="O247" s="167">
        <v>33.6</v>
      </c>
      <c r="P247" s="163" t="s">
        <v>241</v>
      </c>
    </row>
    <row r="248" spans="1:16" ht="13.15">
      <c r="A248" s="164">
        <f t="shared" si="16"/>
        <v>1967.7916666666533</v>
      </c>
      <c r="B248" s="164">
        <f t="shared" si="17"/>
        <v>106.0041639288218</v>
      </c>
      <c r="H248" s="165">
        <v>1967.7916666666533</v>
      </c>
      <c r="I248" s="165">
        <v>16.695289940828403</v>
      </c>
      <c r="J248" s="163" t="s">
        <v>244</v>
      </c>
      <c r="N248" s="165">
        <f t="shared" si="18"/>
        <v>1967.7916666666533</v>
      </c>
      <c r="O248" s="167">
        <v>33.700000000000003</v>
      </c>
      <c r="P248" s="163" t="s">
        <v>241</v>
      </c>
    </row>
    <row r="249" spans="1:16" ht="13.15">
      <c r="A249" s="164">
        <f t="shared" si="16"/>
        <v>1967.8749999999866</v>
      </c>
      <c r="B249" s="164">
        <f t="shared" si="17"/>
        <v>106.00509732699672</v>
      </c>
      <c r="H249" s="165">
        <v>1967.8749999999866</v>
      </c>
      <c r="I249" s="165">
        <v>16.744978303747533</v>
      </c>
      <c r="J249" s="163" t="s">
        <v>244</v>
      </c>
      <c r="N249" s="165">
        <f t="shared" si="18"/>
        <v>1967.8749999999866</v>
      </c>
      <c r="O249" s="167">
        <v>33.799999999999997</v>
      </c>
      <c r="P249" s="163" t="s">
        <v>241</v>
      </c>
    </row>
    <row r="250" spans="1:16" ht="13.15">
      <c r="A250" s="164">
        <f t="shared" si="16"/>
        <v>1967.9583333333198</v>
      </c>
      <c r="B250" s="164">
        <f t="shared" si="17"/>
        <v>106.21511008076146</v>
      </c>
      <c r="H250" s="165">
        <v>1967.9583333333198</v>
      </c>
      <c r="I250" s="165">
        <v>16.827792241946089</v>
      </c>
      <c r="J250" s="163" t="s">
        <v>244</v>
      </c>
      <c r="N250" s="165">
        <f t="shared" si="18"/>
        <v>1967.9583333333198</v>
      </c>
      <c r="O250" s="167">
        <v>33.9</v>
      </c>
      <c r="P250" s="163" t="s">
        <v>241</v>
      </c>
    </row>
    <row r="251" spans="1:16" ht="13.15">
      <c r="A251" s="164">
        <f t="shared" si="16"/>
        <v>1968.0416666666531</v>
      </c>
      <c r="B251" s="164">
        <f t="shared" si="17"/>
        <v>105.48821827920084</v>
      </c>
      <c r="H251" s="165">
        <v>1968.0416666666531</v>
      </c>
      <c r="I251" s="165">
        <v>16.811229454306378</v>
      </c>
      <c r="J251" s="163" t="s">
        <v>244</v>
      </c>
      <c r="N251" s="165">
        <f t="shared" si="18"/>
        <v>1968.0416666666531</v>
      </c>
      <c r="O251" s="167">
        <v>34.1</v>
      </c>
      <c r="P251" s="163" t="s">
        <v>241</v>
      </c>
    </row>
    <row r="252" spans="1:16" ht="13.15">
      <c r="A252" s="164">
        <f t="shared" si="16"/>
        <v>1968.1249999999864</v>
      </c>
      <c r="B252" s="164">
        <f t="shared" si="17"/>
        <v>105.69790015807227</v>
      </c>
      <c r="H252" s="165">
        <v>1968.1249999999864</v>
      </c>
      <c r="I252" s="165">
        <v>16.89404339250493</v>
      </c>
      <c r="J252" s="163" t="s">
        <v>244</v>
      </c>
      <c r="N252" s="165">
        <f t="shared" si="18"/>
        <v>1968.1249999999864</v>
      </c>
      <c r="O252" s="167">
        <v>34.200000000000003</v>
      </c>
      <c r="P252" s="163" t="s">
        <v>241</v>
      </c>
    </row>
    <row r="253" spans="1:16" ht="13.15">
      <c r="A253" s="164">
        <f t="shared" si="16"/>
        <v>1968.2083333333196</v>
      </c>
      <c r="B253" s="164">
        <f t="shared" si="17"/>
        <v>105.1830964598234</v>
      </c>
      <c r="H253" s="165">
        <v>1968.2083333333196</v>
      </c>
      <c r="I253" s="165">
        <v>16.860917817225509</v>
      </c>
      <c r="J253" s="163" t="s">
        <v>244</v>
      </c>
      <c r="N253" s="165">
        <f t="shared" si="18"/>
        <v>1968.2083333333196</v>
      </c>
      <c r="O253" s="167">
        <v>34.299999999999997</v>
      </c>
      <c r="P253" s="163" t="s">
        <v>241</v>
      </c>
    </row>
    <row r="254" spans="1:16" ht="13.15">
      <c r="A254" s="164">
        <f t="shared" si="16"/>
        <v>1968.2916666666529</v>
      </c>
      <c r="B254" s="164">
        <f t="shared" si="17"/>
        <v>104.87733164453321</v>
      </c>
      <c r="H254" s="165">
        <v>1968.2916666666529</v>
      </c>
      <c r="I254" s="165">
        <v>16.860917817225509</v>
      </c>
      <c r="J254" s="163" t="s">
        <v>244</v>
      </c>
      <c r="N254" s="165">
        <f t="shared" si="18"/>
        <v>1968.2916666666529</v>
      </c>
      <c r="O254" s="167">
        <v>34.4</v>
      </c>
      <c r="P254" s="163" t="s">
        <v>241</v>
      </c>
    </row>
    <row r="255" spans="1:16" ht="13.15">
      <c r="A255" s="164">
        <f t="shared" si="16"/>
        <v>1968.3749999999861</v>
      </c>
      <c r="B255" s="164">
        <f t="shared" si="17"/>
        <v>104.26516647306518</v>
      </c>
      <c r="H255" s="165">
        <v>1968.3749999999861</v>
      </c>
      <c r="I255" s="165">
        <v>16.811229454306378</v>
      </c>
      <c r="J255" s="163" t="s">
        <v>244</v>
      </c>
      <c r="N255" s="165">
        <f t="shared" si="18"/>
        <v>1968.3749999999861</v>
      </c>
      <c r="O255" s="167">
        <v>34.5</v>
      </c>
      <c r="P255" s="163" t="s">
        <v>241</v>
      </c>
    </row>
    <row r="256" spans="1:16" ht="13.15">
      <c r="A256" s="164">
        <f t="shared" si="16"/>
        <v>1968.4583333333194</v>
      </c>
      <c r="B256" s="164">
        <f t="shared" si="17"/>
        <v>104.48127235323534</v>
      </c>
      <c r="H256" s="165">
        <v>1968.4583333333194</v>
      </c>
      <c r="I256" s="165">
        <v>16.943731755424064</v>
      </c>
      <c r="J256" s="163" t="s">
        <v>244</v>
      </c>
      <c r="N256" s="165">
        <f t="shared" si="18"/>
        <v>1968.4583333333194</v>
      </c>
      <c r="O256" s="167">
        <v>34.700000000000003</v>
      </c>
      <c r="P256" s="163" t="s">
        <v>241</v>
      </c>
    </row>
    <row r="257" spans="1:16" ht="13.15">
      <c r="A257" s="164">
        <f t="shared" si="16"/>
        <v>1968.5416666666526</v>
      </c>
      <c r="B257" s="164">
        <f t="shared" si="17"/>
        <v>104.28871359098929</v>
      </c>
      <c r="H257" s="165">
        <v>1968.5416666666526</v>
      </c>
      <c r="I257" s="165">
        <v>17.009982905982909</v>
      </c>
      <c r="J257" s="163" t="s">
        <v>244</v>
      </c>
      <c r="N257" s="165">
        <f t="shared" si="18"/>
        <v>1968.5416666666526</v>
      </c>
      <c r="O257" s="167">
        <v>34.9</v>
      </c>
      <c r="P257" s="163" t="s">
        <v>241</v>
      </c>
    </row>
    <row r="258" spans="1:16" ht="13.15">
      <c r="A258" s="164">
        <f t="shared" si="16"/>
        <v>1968.6249999999859</v>
      </c>
      <c r="B258" s="164">
        <f t="shared" si="17"/>
        <v>104.29451627362056</v>
      </c>
      <c r="H258" s="165">
        <v>1968.6249999999859</v>
      </c>
      <c r="I258" s="165">
        <v>17.059671268902036</v>
      </c>
      <c r="J258" s="163" t="s">
        <v>244</v>
      </c>
      <c r="N258" s="165">
        <f t="shared" si="18"/>
        <v>1968.6249999999859</v>
      </c>
      <c r="O258" s="167">
        <v>35</v>
      </c>
      <c r="P258" s="163" t="s">
        <v>241</v>
      </c>
    </row>
    <row r="259" spans="1:16" ht="13.15">
      <c r="A259" s="164">
        <f t="shared" si="16"/>
        <v>1968.7083333333192</v>
      </c>
      <c r="B259" s="164">
        <f t="shared" si="17"/>
        <v>103.99738089962165</v>
      </c>
      <c r="H259" s="165">
        <v>1968.7083333333192</v>
      </c>
      <c r="I259" s="165">
        <v>17.059671268902036</v>
      </c>
      <c r="J259" s="163" t="s">
        <v>244</v>
      </c>
      <c r="N259" s="165">
        <f t="shared" si="18"/>
        <v>1968.7083333333192</v>
      </c>
      <c r="O259" s="167">
        <v>35.1</v>
      </c>
      <c r="P259" s="163" t="s">
        <v>241</v>
      </c>
    </row>
    <row r="260" spans="1:16" ht="13.15">
      <c r="A260" s="164">
        <f t="shared" si="16"/>
        <v>1968.7916666666524</v>
      </c>
      <c r="B260" s="164">
        <f t="shared" si="17"/>
        <v>104.11093451830521</v>
      </c>
      <c r="H260" s="165">
        <v>1968.7916666666524</v>
      </c>
      <c r="I260" s="165">
        <v>17.175610782380016</v>
      </c>
      <c r="J260" s="163" t="s">
        <v>244</v>
      </c>
      <c r="N260" s="165">
        <f t="shared" si="18"/>
        <v>1968.7916666666524</v>
      </c>
      <c r="O260" s="167">
        <v>35.299999999999997</v>
      </c>
      <c r="P260" s="163" t="s">
        <v>241</v>
      </c>
    </row>
    <row r="261" spans="1:16" ht="13.15">
      <c r="A261" s="164">
        <f t="shared" si="16"/>
        <v>1968.8749999999857</v>
      </c>
      <c r="B261" s="164">
        <f t="shared" si="17"/>
        <v>105.01818783900993</v>
      </c>
      <c r="H261" s="165">
        <v>1968.8749999999857</v>
      </c>
      <c r="I261" s="165">
        <v>17.374364234056543</v>
      </c>
      <c r="J261" s="163" t="s">
        <v>244</v>
      </c>
      <c r="N261" s="165">
        <f t="shared" si="18"/>
        <v>1968.8749999999857</v>
      </c>
      <c r="O261" s="167">
        <v>35.4</v>
      </c>
      <c r="P261" s="163" t="s">
        <v>241</v>
      </c>
    </row>
    <row r="262" spans="1:16" ht="13.15">
      <c r="A262" s="164">
        <f t="shared" si="16"/>
        <v>1968.9583333333189</v>
      </c>
      <c r="B262" s="164">
        <f t="shared" si="17"/>
        <v>105.62083789449392</v>
      </c>
      <c r="H262" s="165">
        <v>1968.9583333333189</v>
      </c>
      <c r="I262" s="165">
        <v>17.523429322813939</v>
      </c>
      <c r="J262" s="163" t="s">
        <v>244</v>
      </c>
      <c r="N262" s="165">
        <f t="shared" si="18"/>
        <v>1968.9583333333189</v>
      </c>
      <c r="O262" s="167">
        <v>35.5</v>
      </c>
      <c r="P262" s="163" t="s">
        <v>241</v>
      </c>
    </row>
    <row r="263" spans="1:16" ht="13.15">
      <c r="A263" s="164">
        <f t="shared" si="16"/>
        <v>1969.0416666666522</v>
      </c>
      <c r="B263" s="164">
        <f t="shared" si="17"/>
        <v>105.82190132977128</v>
      </c>
      <c r="H263" s="165">
        <v>1969.0416666666522</v>
      </c>
      <c r="I263" s="165">
        <v>17.606243261012491</v>
      </c>
      <c r="J263" s="163" t="s">
        <v>244</v>
      </c>
      <c r="N263" s="165">
        <f t="shared" si="18"/>
        <v>1969.0416666666522</v>
      </c>
      <c r="O263" s="167">
        <v>35.6</v>
      </c>
      <c r="P263" s="163" t="s">
        <v>241</v>
      </c>
    </row>
    <row r="264" spans="1:16" ht="13.15">
      <c r="A264" s="164">
        <f t="shared" si="16"/>
        <v>1969.1249999999854</v>
      </c>
      <c r="B264" s="164">
        <f t="shared" si="17"/>
        <v>105.72568797277044</v>
      </c>
      <c r="H264" s="165">
        <v>1969.1249999999854</v>
      </c>
      <c r="I264" s="165">
        <v>17.689057199211046</v>
      </c>
      <c r="J264" s="163" t="s">
        <v>244</v>
      </c>
      <c r="N264" s="165">
        <f t="shared" si="18"/>
        <v>1969.1249999999854</v>
      </c>
      <c r="O264" s="167">
        <v>35.799999999999997</v>
      </c>
      <c r="P264" s="163" t="s">
        <v>241</v>
      </c>
    </row>
    <row r="265" spans="1:16" ht="13.15">
      <c r="A265" s="164">
        <f t="shared" ref="A265:A305" si="19">H265</f>
        <v>1969.2083333333187</v>
      </c>
      <c r="B265" s="164">
        <f t="shared" ref="B265:B314" si="20">100*(I265/O265)/(I$8/O$8)</f>
        <v>105.73062396617078</v>
      </c>
      <c r="H265" s="165">
        <v>1969.2083333333187</v>
      </c>
      <c r="I265" s="165">
        <v>17.838122287968446</v>
      </c>
      <c r="J265" s="163" t="s">
        <v>244</v>
      </c>
      <c r="N265" s="165">
        <f t="shared" ref="N265:N328" si="21">N264+1/12</f>
        <v>1969.2083333333187</v>
      </c>
      <c r="O265" s="167">
        <v>36.1</v>
      </c>
      <c r="P265" s="163" t="s">
        <v>241</v>
      </c>
    </row>
    <row r="266" spans="1:16" ht="13.15">
      <c r="A266" s="164">
        <f t="shared" si="19"/>
        <v>1969.291666666652</v>
      </c>
      <c r="B266" s="164">
        <f t="shared" si="20"/>
        <v>105.24571662798428</v>
      </c>
      <c r="H266" s="165">
        <v>1969.291666666652</v>
      </c>
      <c r="I266" s="165">
        <v>17.854685075608153</v>
      </c>
      <c r="J266" s="163" t="s">
        <v>244</v>
      </c>
      <c r="N266" s="165">
        <f t="shared" si="21"/>
        <v>1969.291666666652</v>
      </c>
      <c r="O266" s="167">
        <v>36.299999999999997</v>
      </c>
      <c r="P266" s="163" t="s">
        <v>241</v>
      </c>
    </row>
    <row r="267" spans="1:16" ht="13.15">
      <c r="A267" s="164">
        <f t="shared" si="19"/>
        <v>1969.3749999999852</v>
      </c>
      <c r="B267" s="164">
        <f t="shared" si="20"/>
        <v>105.44339163959214</v>
      </c>
      <c r="H267" s="165">
        <v>1969.3749999999852</v>
      </c>
      <c r="I267" s="165">
        <v>17.937499013806708</v>
      </c>
      <c r="J267" s="163" t="s">
        <v>244</v>
      </c>
      <c r="N267" s="165">
        <f t="shared" si="21"/>
        <v>1969.3749999999852</v>
      </c>
      <c r="O267" s="167">
        <v>36.4</v>
      </c>
      <c r="P267" s="163" t="s">
        <v>241</v>
      </c>
    </row>
    <row r="268" spans="1:16" ht="13.15">
      <c r="A268" s="164">
        <f t="shared" si="19"/>
        <v>1969.4583333333185</v>
      </c>
      <c r="B268" s="164">
        <f t="shared" si="20"/>
        <v>105.15768909651223</v>
      </c>
      <c r="H268" s="165">
        <v>1969.4583333333185</v>
      </c>
      <c r="I268" s="165">
        <v>17.987187376725839</v>
      </c>
      <c r="J268" s="163" t="s">
        <v>244</v>
      </c>
      <c r="N268" s="165">
        <f t="shared" si="21"/>
        <v>1969.4583333333185</v>
      </c>
      <c r="O268" s="167">
        <v>36.6</v>
      </c>
      <c r="P268" s="163" t="s">
        <v>241</v>
      </c>
    </row>
    <row r="269" spans="1:16" ht="13.15">
      <c r="A269" s="164">
        <f t="shared" si="19"/>
        <v>1969.5416666666517</v>
      </c>
      <c r="B269" s="164">
        <f t="shared" si="20"/>
        <v>105.549220247364</v>
      </c>
      <c r="H269" s="165">
        <v>1969.5416666666517</v>
      </c>
      <c r="I269" s="165">
        <v>18.152815253122945</v>
      </c>
      <c r="J269" s="163" t="s">
        <v>244</v>
      </c>
      <c r="N269" s="165">
        <f t="shared" si="21"/>
        <v>1969.5416666666517</v>
      </c>
      <c r="O269" s="167">
        <v>36.799999999999997</v>
      </c>
      <c r="P269" s="163" t="s">
        <v>241</v>
      </c>
    </row>
    <row r="270" spans="1:16" ht="13.15">
      <c r="A270" s="164">
        <f t="shared" si="19"/>
        <v>1969.624999999985</v>
      </c>
      <c r="B270" s="164">
        <f t="shared" si="20"/>
        <v>105.64916821682294</v>
      </c>
      <c r="H270" s="165">
        <v>1969.624999999985</v>
      </c>
      <c r="I270" s="165">
        <v>18.268754766600921</v>
      </c>
      <c r="J270" s="163" t="s">
        <v>244</v>
      </c>
      <c r="N270" s="165">
        <f t="shared" si="21"/>
        <v>1969.624999999985</v>
      </c>
      <c r="O270" s="167">
        <v>37</v>
      </c>
      <c r="P270" s="163" t="s">
        <v>241</v>
      </c>
    </row>
    <row r="271" spans="1:16" ht="13.15">
      <c r="A271" s="164">
        <f t="shared" si="19"/>
        <v>1969.7083333333183</v>
      </c>
      <c r="B271" s="164">
        <f t="shared" si="20"/>
        <v>106.12860192342228</v>
      </c>
      <c r="H271" s="165">
        <v>1969.7083333333183</v>
      </c>
      <c r="I271" s="165">
        <v>18.401257067718607</v>
      </c>
      <c r="J271" s="163" t="s">
        <v>244</v>
      </c>
      <c r="N271" s="165">
        <f t="shared" si="21"/>
        <v>1969.7083333333183</v>
      </c>
      <c r="O271" s="167">
        <v>37.1</v>
      </c>
      <c r="P271" s="163" t="s">
        <v>241</v>
      </c>
    </row>
    <row r="272" spans="1:16" ht="13.15">
      <c r="A272" s="164">
        <f t="shared" si="19"/>
        <v>1969.7916666666515</v>
      </c>
      <c r="B272" s="164">
        <f t="shared" si="20"/>
        <v>106.41466560623461</v>
      </c>
      <c r="H272" s="165">
        <v>1969.7916666666515</v>
      </c>
      <c r="I272" s="165">
        <v>18.550322156476003</v>
      </c>
      <c r="J272" s="163" t="s">
        <v>244</v>
      </c>
      <c r="N272" s="165">
        <f t="shared" si="21"/>
        <v>1969.7916666666515</v>
      </c>
      <c r="O272" s="167">
        <v>37.299999999999997</v>
      </c>
      <c r="P272" s="163" t="s">
        <v>241</v>
      </c>
    </row>
    <row r="273" spans="1:16" ht="13.15">
      <c r="A273" s="164">
        <f t="shared" si="19"/>
        <v>1969.8749999999848</v>
      </c>
      <c r="B273" s="164">
        <f t="shared" si="20"/>
        <v>106.31965251194329</v>
      </c>
      <c r="H273" s="165">
        <v>1969.8749999999848</v>
      </c>
      <c r="I273" s="165">
        <v>18.633136094674555</v>
      </c>
      <c r="J273" s="163" t="s">
        <v>244</v>
      </c>
      <c r="N273" s="165">
        <f t="shared" si="21"/>
        <v>1969.8749999999848</v>
      </c>
      <c r="O273" s="167">
        <v>37.5</v>
      </c>
      <c r="P273" s="163" t="s">
        <v>241</v>
      </c>
    </row>
    <row r="274" spans="1:16" ht="13.15">
      <c r="A274" s="164">
        <f t="shared" si="19"/>
        <v>1969.958333333318</v>
      </c>
      <c r="B274" s="164">
        <f t="shared" si="20"/>
        <v>106.41365750974344</v>
      </c>
      <c r="H274" s="165">
        <v>1969.958333333318</v>
      </c>
      <c r="I274" s="165">
        <v>18.749075608152534</v>
      </c>
      <c r="J274" s="163" t="s">
        <v>244</v>
      </c>
      <c r="N274" s="165">
        <f t="shared" si="21"/>
        <v>1969.958333333318</v>
      </c>
      <c r="O274" s="167">
        <v>37.700000000000003</v>
      </c>
      <c r="P274" s="163" t="s">
        <v>241</v>
      </c>
    </row>
    <row r="275" spans="1:16" ht="13.15">
      <c r="A275" s="164">
        <f t="shared" si="19"/>
        <v>1970.0416666666513</v>
      </c>
      <c r="B275" s="164">
        <f t="shared" si="20"/>
        <v>107.16345927791112</v>
      </c>
      <c r="H275" s="165">
        <v>1970.0416666666513</v>
      </c>
      <c r="I275" s="165">
        <v>18.931266272189351</v>
      </c>
      <c r="J275" s="163" t="s">
        <v>244</v>
      </c>
      <c r="N275" s="165">
        <f t="shared" si="21"/>
        <v>1970.0416666666513</v>
      </c>
      <c r="O275" s="167">
        <v>37.799999999999997</v>
      </c>
      <c r="P275" s="163" t="s">
        <v>241</v>
      </c>
    </row>
    <row r="276" spans="1:16" ht="13.15">
      <c r="A276" s="164">
        <f t="shared" si="19"/>
        <v>1970.1249999999845</v>
      </c>
      <c r="B276" s="164">
        <f t="shared" si="20"/>
        <v>107.34554389583047</v>
      </c>
      <c r="H276" s="165">
        <v>1970.1249999999845</v>
      </c>
      <c r="I276" s="165">
        <v>19.063768573307033</v>
      </c>
      <c r="J276" s="163" t="s">
        <v>244</v>
      </c>
      <c r="N276" s="165">
        <f t="shared" si="21"/>
        <v>1970.1249999999845</v>
      </c>
      <c r="O276" s="167">
        <v>38</v>
      </c>
      <c r="P276" s="163" t="s">
        <v>241</v>
      </c>
    </row>
    <row r="277" spans="1:16" ht="13.15">
      <c r="A277" s="164">
        <f t="shared" si="19"/>
        <v>1970.2083333333178</v>
      </c>
      <c r="B277" s="164">
        <f t="shared" si="20"/>
        <v>107.34017273675254</v>
      </c>
      <c r="H277" s="165">
        <v>1970.2083333333178</v>
      </c>
      <c r="I277" s="165">
        <v>19.163145299145302</v>
      </c>
      <c r="J277" s="163" t="s">
        <v>244</v>
      </c>
      <c r="N277" s="165">
        <f t="shared" si="21"/>
        <v>1970.2083333333178</v>
      </c>
      <c r="O277" s="167">
        <v>38.200000000000003</v>
      </c>
      <c r="P277" s="163" t="s">
        <v>241</v>
      </c>
    </row>
    <row r="278" spans="1:16" ht="13.15">
      <c r="A278" s="164">
        <f t="shared" si="19"/>
        <v>1970.2916666666511</v>
      </c>
      <c r="B278" s="164">
        <f t="shared" si="20"/>
        <v>106.96401404231872</v>
      </c>
      <c r="H278" s="165">
        <v>1970.2916666666511</v>
      </c>
      <c r="I278" s="165">
        <v>19.245959237343854</v>
      </c>
      <c r="J278" s="163" t="s">
        <v>244</v>
      </c>
      <c r="N278" s="165">
        <f t="shared" si="21"/>
        <v>1970.2916666666511</v>
      </c>
      <c r="O278" s="167">
        <v>38.5</v>
      </c>
      <c r="P278" s="163" t="s">
        <v>241</v>
      </c>
    </row>
    <row r="279" spans="1:16" ht="13.15">
      <c r="A279" s="164">
        <f t="shared" si="19"/>
        <v>1970.3749999999843</v>
      </c>
      <c r="B279" s="164">
        <f t="shared" si="20"/>
        <v>107.51322374048841</v>
      </c>
      <c r="H279" s="165">
        <v>1970.3749999999843</v>
      </c>
      <c r="I279" s="165">
        <v>19.395024326101247</v>
      </c>
      <c r="J279" s="163" t="s">
        <v>244</v>
      </c>
      <c r="N279" s="165">
        <f t="shared" si="21"/>
        <v>1970.3749999999843</v>
      </c>
      <c r="O279" s="167">
        <v>38.6</v>
      </c>
      <c r="P279" s="163" t="s">
        <v>241</v>
      </c>
    </row>
    <row r="280" spans="1:16" ht="13.15">
      <c r="A280" s="164">
        <f t="shared" si="19"/>
        <v>1970.4583333333176</v>
      </c>
      <c r="B280" s="164">
        <f t="shared" si="20"/>
        <v>107.68975112678795</v>
      </c>
      <c r="H280" s="165">
        <v>1970.4583333333176</v>
      </c>
      <c r="I280" s="165">
        <v>19.527526627218936</v>
      </c>
      <c r="J280" s="163" t="s">
        <v>244</v>
      </c>
      <c r="N280" s="165">
        <f t="shared" si="21"/>
        <v>1970.4583333333176</v>
      </c>
      <c r="O280" s="167">
        <v>38.799999999999997</v>
      </c>
      <c r="P280" s="163" t="s">
        <v>241</v>
      </c>
    </row>
    <row r="281" spans="1:16" ht="13.15">
      <c r="A281" s="164">
        <f t="shared" si="19"/>
        <v>1970.5416666666508</v>
      </c>
      <c r="B281" s="164">
        <f t="shared" si="20"/>
        <v>107.4101104864248</v>
      </c>
      <c r="H281" s="165">
        <v>1970.5416666666508</v>
      </c>
      <c r="I281" s="165">
        <v>19.577214990138071</v>
      </c>
      <c r="J281" s="163" t="s">
        <v>244</v>
      </c>
      <c r="N281" s="165">
        <f t="shared" si="21"/>
        <v>1970.5416666666508</v>
      </c>
      <c r="O281" s="167">
        <v>39</v>
      </c>
      <c r="P281" s="163" t="s">
        <v>241</v>
      </c>
    </row>
    <row r="282" spans="1:16" ht="13.15">
      <c r="A282" s="164">
        <f t="shared" si="19"/>
        <v>1970.6249999999841</v>
      </c>
      <c r="B282" s="164">
        <f t="shared" si="20"/>
        <v>108.4096969630328</v>
      </c>
      <c r="H282" s="165">
        <v>1970.6249999999841</v>
      </c>
      <c r="I282" s="165">
        <v>19.759405654174888</v>
      </c>
      <c r="J282" s="163" t="s">
        <v>244</v>
      </c>
      <c r="N282" s="165">
        <f t="shared" si="21"/>
        <v>1970.6249999999841</v>
      </c>
      <c r="O282" s="167">
        <v>39</v>
      </c>
      <c r="P282" s="163" t="s">
        <v>241</v>
      </c>
    </row>
    <row r="283" spans="1:16" ht="13.15">
      <c r="A283" s="164">
        <f t="shared" si="19"/>
        <v>1970.7083333333173</v>
      </c>
      <c r="B283" s="164">
        <f t="shared" si="20"/>
        <v>108.94148067762896</v>
      </c>
      <c r="H283" s="165">
        <v>1970.7083333333173</v>
      </c>
      <c r="I283" s="165">
        <v>19.958159105851415</v>
      </c>
      <c r="J283" s="163" t="s">
        <v>244</v>
      </c>
      <c r="N283" s="165">
        <f t="shared" si="21"/>
        <v>1970.7083333333173</v>
      </c>
      <c r="O283" s="167">
        <v>39.200000000000003</v>
      </c>
      <c r="P283" s="163" t="s">
        <v>241</v>
      </c>
    </row>
    <row r="284" spans="1:16" ht="13.15">
      <c r="A284" s="164">
        <f t="shared" si="19"/>
        <v>1970.7916666666506</v>
      </c>
      <c r="B284" s="164">
        <f t="shared" si="20"/>
        <v>108.92817190521431</v>
      </c>
      <c r="H284" s="165">
        <v>1970.7916666666506</v>
      </c>
      <c r="I284" s="165">
        <v>20.057535831689677</v>
      </c>
      <c r="J284" s="163" t="s">
        <v>244</v>
      </c>
      <c r="N284" s="165">
        <f t="shared" si="21"/>
        <v>1970.7916666666506</v>
      </c>
      <c r="O284" s="167">
        <v>39.4</v>
      </c>
      <c r="P284" s="163" t="s">
        <v>241</v>
      </c>
    </row>
    <row r="285" spans="1:16" ht="13.15">
      <c r="A285" s="164">
        <f t="shared" si="19"/>
        <v>1970.8749999999839</v>
      </c>
      <c r="B285" s="164">
        <f t="shared" si="20"/>
        <v>109.00449222184083</v>
      </c>
      <c r="H285" s="165">
        <v>1970.8749999999839</v>
      </c>
      <c r="I285" s="165">
        <v>20.173475345167653</v>
      </c>
      <c r="J285" s="163" t="s">
        <v>244</v>
      </c>
      <c r="N285" s="165">
        <f t="shared" si="21"/>
        <v>1970.8749999999839</v>
      </c>
      <c r="O285" s="167">
        <v>39.6</v>
      </c>
      <c r="P285" s="163" t="s">
        <v>241</v>
      </c>
    </row>
    <row r="286" spans="1:16" ht="13.15">
      <c r="A286" s="164">
        <f t="shared" si="19"/>
        <v>1970.9583333333171</v>
      </c>
      <c r="B286" s="164">
        <f t="shared" si="20"/>
        <v>109.08004550010935</v>
      </c>
      <c r="H286" s="165">
        <v>1970.9583333333171</v>
      </c>
      <c r="I286" s="165">
        <v>20.289414858645628</v>
      </c>
      <c r="J286" s="163" t="s">
        <v>244</v>
      </c>
      <c r="N286" s="165">
        <f t="shared" si="21"/>
        <v>1970.9583333333171</v>
      </c>
      <c r="O286" s="167">
        <v>39.799999999999997</v>
      </c>
      <c r="P286" s="163" t="s">
        <v>241</v>
      </c>
    </row>
    <row r="287" spans="1:16" ht="13.15">
      <c r="A287" s="164">
        <f t="shared" si="19"/>
        <v>1971.0416666666504</v>
      </c>
      <c r="B287" s="164">
        <f t="shared" si="20"/>
        <v>109.34718030541575</v>
      </c>
      <c r="H287" s="165">
        <v>1971.0416666666504</v>
      </c>
      <c r="I287" s="165">
        <v>20.339103221564763</v>
      </c>
      <c r="J287" s="163" t="s">
        <v>244</v>
      </c>
      <c r="N287" s="165">
        <f t="shared" si="21"/>
        <v>1971.0416666666504</v>
      </c>
      <c r="O287" s="167">
        <v>39.799999999999997</v>
      </c>
      <c r="P287" s="163" t="s">
        <v>241</v>
      </c>
    </row>
    <row r="288" spans="1:16" ht="13.15">
      <c r="A288" s="164">
        <f t="shared" si="19"/>
        <v>1971.1249999999836</v>
      </c>
      <c r="B288" s="164">
        <f t="shared" si="20"/>
        <v>108.80666192742734</v>
      </c>
      <c r="H288" s="165">
        <v>1971.1249999999836</v>
      </c>
      <c r="I288" s="165">
        <v>20.289414858645628</v>
      </c>
      <c r="J288" s="163" t="s">
        <v>244</v>
      </c>
      <c r="N288" s="165">
        <f t="shared" si="21"/>
        <v>1971.1249999999836</v>
      </c>
      <c r="O288" s="167">
        <v>39.9</v>
      </c>
      <c r="P288" s="163" t="s">
        <v>241</v>
      </c>
    </row>
    <row r="289" spans="1:16" ht="13.15">
      <c r="A289" s="164">
        <f t="shared" si="19"/>
        <v>1971.2083333333169</v>
      </c>
      <c r="B289" s="164">
        <f t="shared" si="20"/>
        <v>108.53464527260878</v>
      </c>
      <c r="H289" s="165">
        <v>1971.2083333333169</v>
      </c>
      <c r="I289" s="165">
        <v>20.289414858645628</v>
      </c>
      <c r="J289" s="163" t="s">
        <v>244</v>
      </c>
      <c r="N289" s="165">
        <f t="shared" si="21"/>
        <v>1971.2083333333169</v>
      </c>
      <c r="O289" s="167">
        <v>40</v>
      </c>
      <c r="P289" s="163" t="s">
        <v>241</v>
      </c>
    </row>
    <row r="290" spans="1:16" ht="13.15">
      <c r="A290" s="164">
        <f t="shared" si="19"/>
        <v>1971.2916666666501</v>
      </c>
      <c r="B290" s="164">
        <f t="shared" si="20"/>
        <v>108.61750036340676</v>
      </c>
      <c r="H290" s="165">
        <v>1971.2916666666501</v>
      </c>
      <c r="I290" s="165">
        <v>20.355666009204473</v>
      </c>
      <c r="J290" s="163" t="s">
        <v>244</v>
      </c>
      <c r="N290" s="165">
        <f t="shared" si="21"/>
        <v>1971.2916666666501</v>
      </c>
      <c r="O290" s="167">
        <v>40.1</v>
      </c>
      <c r="P290" s="163" t="s">
        <v>241</v>
      </c>
    </row>
    <row r="291" spans="1:16" ht="13.15">
      <c r="A291" s="164">
        <f t="shared" si="19"/>
        <v>1971.3749999999834</v>
      </c>
      <c r="B291" s="164">
        <f t="shared" si="20"/>
        <v>108.86991712968222</v>
      </c>
      <c r="H291" s="165">
        <v>1971.3749999999834</v>
      </c>
      <c r="I291" s="165">
        <v>20.504731097961869</v>
      </c>
      <c r="J291" s="163" t="s">
        <v>244</v>
      </c>
      <c r="N291" s="165">
        <f t="shared" si="21"/>
        <v>1971.3749999999834</v>
      </c>
      <c r="O291" s="167">
        <v>40.299999999999997</v>
      </c>
      <c r="P291" s="163" t="s">
        <v>241</v>
      </c>
    </row>
    <row r="292" spans="1:16" ht="13.15">
      <c r="A292" s="164">
        <f t="shared" si="19"/>
        <v>1971.4583333333167</v>
      </c>
      <c r="B292" s="164">
        <f t="shared" si="20"/>
        <v>109.20023423024719</v>
      </c>
      <c r="H292" s="165">
        <v>1971.4583333333167</v>
      </c>
      <c r="I292" s="165">
        <v>20.720047337278107</v>
      </c>
      <c r="J292" s="163" t="s">
        <v>244</v>
      </c>
      <c r="N292" s="165">
        <f t="shared" si="21"/>
        <v>1971.4583333333167</v>
      </c>
      <c r="O292" s="167">
        <v>40.6</v>
      </c>
      <c r="P292" s="163" t="s">
        <v>241</v>
      </c>
    </row>
    <row r="293" spans="1:16" ht="13.15">
      <c r="A293" s="164">
        <f t="shared" si="19"/>
        <v>1971.5416666666499</v>
      </c>
      <c r="B293" s="164">
        <f t="shared" si="20"/>
        <v>109.10608075140456</v>
      </c>
      <c r="H293" s="165">
        <v>1971.5416666666499</v>
      </c>
      <c r="I293" s="165">
        <v>20.753172912557531</v>
      </c>
      <c r="J293" s="163" t="s">
        <v>244</v>
      </c>
      <c r="N293" s="165">
        <f t="shared" si="21"/>
        <v>1971.5416666666499</v>
      </c>
      <c r="O293" s="167">
        <v>40.700000000000003</v>
      </c>
      <c r="P293" s="163" t="s">
        <v>241</v>
      </c>
    </row>
    <row r="294" spans="1:16" ht="13.15">
      <c r="A294" s="164">
        <f t="shared" si="19"/>
        <v>1971.6249999999832</v>
      </c>
      <c r="B294" s="164">
        <f t="shared" si="20"/>
        <v>109.18611373162807</v>
      </c>
      <c r="H294" s="165">
        <v>1971.6249999999832</v>
      </c>
      <c r="I294" s="165">
        <v>20.819424063116372</v>
      </c>
      <c r="J294" s="163" t="s">
        <v>244</v>
      </c>
      <c r="N294" s="165">
        <f t="shared" si="21"/>
        <v>1971.6249999999832</v>
      </c>
      <c r="O294" s="167">
        <v>40.799999999999997</v>
      </c>
      <c r="P294" s="163" t="s">
        <v>241</v>
      </c>
    </row>
    <row r="295" spans="1:16" ht="13.15">
      <c r="A295" s="164">
        <f t="shared" si="19"/>
        <v>1971.7083333333164</v>
      </c>
      <c r="B295" s="164">
        <f t="shared" si="20"/>
        <v>109.44670111523575</v>
      </c>
      <c r="H295" s="165">
        <v>1971.7083333333164</v>
      </c>
      <c r="I295" s="165">
        <v>20.869112426035503</v>
      </c>
      <c r="J295" s="163" t="s">
        <v>244</v>
      </c>
      <c r="N295" s="165">
        <f t="shared" si="21"/>
        <v>1971.7083333333164</v>
      </c>
      <c r="O295" s="167">
        <v>40.799999999999997</v>
      </c>
      <c r="P295" s="163" t="s">
        <v>241</v>
      </c>
    </row>
    <row r="296" spans="1:16" ht="13.15">
      <c r="A296" s="164">
        <f t="shared" si="19"/>
        <v>1971.7916666666497</v>
      </c>
      <c r="B296" s="164">
        <f t="shared" si="20"/>
        <v>109.52570560317552</v>
      </c>
      <c r="H296" s="165">
        <v>1971.7916666666497</v>
      </c>
      <c r="I296" s="165">
        <v>20.935363576594348</v>
      </c>
      <c r="J296" s="163" t="s">
        <v>244</v>
      </c>
      <c r="N296" s="165">
        <f t="shared" si="21"/>
        <v>1971.7916666666497</v>
      </c>
      <c r="O296" s="167">
        <v>40.9</v>
      </c>
      <c r="P296" s="163" t="s">
        <v>241</v>
      </c>
    </row>
    <row r="297" spans="1:16" ht="13.15">
      <c r="A297" s="164">
        <f t="shared" si="19"/>
        <v>1971.8749999999829</v>
      </c>
      <c r="B297" s="164">
        <f t="shared" si="20"/>
        <v>110.39220643864367</v>
      </c>
      <c r="H297" s="165">
        <v>1971.8749999999829</v>
      </c>
      <c r="I297" s="165">
        <v>21.100991452991455</v>
      </c>
      <c r="J297" s="163" t="s">
        <v>244</v>
      </c>
      <c r="N297" s="165">
        <f t="shared" si="21"/>
        <v>1971.8749999999829</v>
      </c>
      <c r="O297" s="167">
        <v>40.9</v>
      </c>
      <c r="P297" s="163" t="s">
        <v>241</v>
      </c>
    </row>
    <row r="298" spans="1:16" ht="13.15">
      <c r="A298" s="164">
        <f t="shared" si="19"/>
        <v>1971.9583333333162</v>
      </c>
      <c r="B298" s="164">
        <f t="shared" si="20"/>
        <v>110.11370337206131</v>
      </c>
      <c r="H298" s="165">
        <v>1971.9583333333162</v>
      </c>
      <c r="I298" s="165">
        <v>21.150679815910586</v>
      </c>
      <c r="J298" s="163" t="s">
        <v>244</v>
      </c>
      <c r="N298" s="165">
        <f t="shared" si="21"/>
        <v>1971.9583333333162</v>
      </c>
      <c r="O298" s="167">
        <v>41.1</v>
      </c>
      <c r="P298" s="163" t="s">
        <v>241</v>
      </c>
    </row>
    <row r="299" spans="1:16" ht="13.15">
      <c r="A299" s="164">
        <f t="shared" si="19"/>
        <v>1972.0416666666495</v>
      </c>
      <c r="B299" s="164">
        <f t="shared" si="20"/>
        <v>110.45861708661749</v>
      </c>
      <c r="H299" s="165">
        <v>1972.0416666666495</v>
      </c>
      <c r="I299" s="165">
        <v>21.216930966469427</v>
      </c>
      <c r="J299" s="163" t="s">
        <v>244</v>
      </c>
      <c r="N299" s="165">
        <f t="shared" si="21"/>
        <v>1972.0416666666495</v>
      </c>
      <c r="O299" s="167">
        <v>41.1</v>
      </c>
      <c r="P299" s="163" t="s">
        <v>241</v>
      </c>
    </row>
    <row r="300" spans="1:16" ht="13.15">
      <c r="A300" s="164">
        <f t="shared" si="19"/>
        <v>1972.1249999999827</v>
      </c>
      <c r="B300" s="164">
        <f t="shared" si="20"/>
        <v>110.18114110196547</v>
      </c>
      <c r="H300" s="165">
        <v>1972.1249999999827</v>
      </c>
      <c r="I300" s="165">
        <v>21.266619329388561</v>
      </c>
      <c r="J300" s="163" t="s">
        <v>244</v>
      </c>
      <c r="N300" s="165">
        <f t="shared" si="21"/>
        <v>1972.1249999999827</v>
      </c>
      <c r="O300" s="167">
        <v>41.3</v>
      </c>
      <c r="P300" s="163" t="s">
        <v>241</v>
      </c>
    </row>
    <row r="301" spans="1:16" ht="13.15">
      <c r="A301" s="164">
        <f t="shared" si="19"/>
        <v>1972.208333333316</v>
      </c>
      <c r="B301" s="164">
        <f t="shared" si="20"/>
        <v>109.82939949502678</v>
      </c>
      <c r="H301" s="165">
        <v>1972.208333333316</v>
      </c>
      <c r="I301" s="165">
        <v>21.250056541748851</v>
      </c>
      <c r="J301" s="163" t="s">
        <v>244</v>
      </c>
      <c r="N301" s="165">
        <f t="shared" si="21"/>
        <v>1972.208333333316</v>
      </c>
      <c r="O301" s="167">
        <v>41.4</v>
      </c>
      <c r="P301" s="163" t="s">
        <v>241</v>
      </c>
    </row>
    <row r="302" spans="1:16" ht="13.15">
      <c r="A302" s="164">
        <f t="shared" si="19"/>
        <v>1972.2916666666492</v>
      </c>
      <c r="B302" s="164">
        <f t="shared" si="20"/>
        <v>109.73554496212621</v>
      </c>
      <c r="H302" s="165">
        <v>1972.2916666666492</v>
      </c>
      <c r="I302" s="165">
        <v>21.283182117028272</v>
      </c>
      <c r="J302" s="163" t="s">
        <v>244</v>
      </c>
      <c r="N302" s="165">
        <f t="shared" si="21"/>
        <v>1972.2916666666492</v>
      </c>
      <c r="O302" s="167">
        <v>41.5</v>
      </c>
      <c r="P302" s="163" t="s">
        <v>241</v>
      </c>
    </row>
    <row r="303" spans="1:16" ht="13.15">
      <c r="A303" s="164">
        <f t="shared" si="19"/>
        <v>1972.3749999999825</v>
      </c>
      <c r="B303" s="164">
        <f t="shared" si="20"/>
        <v>109.81252571145426</v>
      </c>
      <c r="H303" s="165">
        <v>1972.3749999999825</v>
      </c>
      <c r="I303" s="165">
        <v>21.349433267587116</v>
      </c>
      <c r="J303" s="163" t="s">
        <v>244</v>
      </c>
      <c r="N303" s="165">
        <f t="shared" si="21"/>
        <v>1972.3749999999825</v>
      </c>
      <c r="O303" s="167">
        <v>41.6</v>
      </c>
      <c r="P303" s="163" t="s">
        <v>241</v>
      </c>
    </row>
    <row r="304" spans="1:16" ht="13.15">
      <c r="A304" s="164">
        <f t="shared" si="19"/>
        <v>1972.4583333333157</v>
      </c>
      <c r="B304" s="164">
        <f t="shared" si="20"/>
        <v>110.22908817585167</v>
      </c>
      <c r="H304" s="165">
        <v>1972.4583333333157</v>
      </c>
      <c r="I304" s="165">
        <v>21.481935568704799</v>
      </c>
      <c r="J304" s="163" t="s">
        <v>244</v>
      </c>
      <c r="N304" s="165">
        <f t="shared" si="21"/>
        <v>1972.4583333333157</v>
      </c>
      <c r="O304" s="167">
        <v>41.7</v>
      </c>
      <c r="P304" s="163" t="s">
        <v>241</v>
      </c>
    </row>
    <row r="305" spans="1:16" ht="13.15">
      <c r="A305" s="164">
        <f t="shared" si="19"/>
        <v>1972.541666666649</v>
      </c>
      <c r="B305" s="164">
        <f t="shared" si="20"/>
        <v>110.80250182231167</v>
      </c>
      <c r="H305" s="165">
        <v>1972.541666666649</v>
      </c>
      <c r="I305" s="165">
        <v>21.69725180802104</v>
      </c>
      <c r="J305" s="163" t="s">
        <v>244</v>
      </c>
      <c r="N305" s="165">
        <f t="shared" si="21"/>
        <v>1972.541666666649</v>
      </c>
      <c r="O305" s="167">
        <v>41.9</v>
      </c>
      <c r="P305" s="163" t="s">
        <v>241</v>
      </c>
    </row>
    <row r="306" spans="1:16" ht="13.15">
      <c r="A306" s="164">
        <f>H306</f>
        <v>1972.6249999999823</v>
      </c>
      <c r="B306" s="164">
        <f t="shared" si="20"/>
        <v>110.96058972476622</v>
      </c>
      <c r="H306" s="165">
        <v>1972.6249999999823</v>
      </c>
      <c r="I306" s="165">
        <v>21.780065746219595</v>
      </c>
      <c r="J306" s="163" t="s">
        <v>244</v>
      </c>
      <c r="N306" s="165">
        <f t="shared" si="21"/>
        <v>1972.6249999999823</v>
      </c>
      <c r="O306" s="167">
        <v>42</v>
      </c>
      <c r="P306" s="163" t="s">
        <v>241</v>
      </c>
    </row>
    <row r="307" spans="1:16" ht="13.15">
      <c r="A307" s="164">
        <f>H307</f>
        <v>1972.7083333333155</v>
      </c>
      <c r="B307" s="164">
        <f t="shared" si="20"/>
        <v>110.61284513119043</v>
      </c>
      <c r="H307" s="165">
        <v>1972.7083333333155</v>
      </c>
      <c r="I307" s="165">
        <v>21.763502958579885</v>
      </c>
      <c r="J307" s="163" t="s">
        <v>244</v>
      </c>
      <c r="N307" s="165">
        <f t="shared" si="21"/>
        <v>1972.7083333333155</v>
      </c>
      <c r="O307" s="167">
        <v>42.1</v>
      </c>
      <c r="P307" s="163" t="s">
        <v>241</v>
      </c>
    </row>
    <row r="308" spans="1:16" ht="13.15">
      <c r="A308" s="164">
        <f>H308</f>
        <v>1972.7916666666488</v>
      </c>
      <c r="B308" s="164">
        <f t="shared" si="20"/>
        <v>110.00607072354734</v>
      </c>
      <c r="H308" s="165">
        <v>1972.7916666666488</v>
      </c>
      <c r="I308" s="165">
        <v>21.746940170940174</v>
      </c>
      <c r="J308" s="163" t="s">
        <v>244</v>
      </c>
      <c r="N308" s="165">
        <f t="shared" si="21"/>
        <v>1972.7916666666488</v>
      </c>
      <c r="O308" s="167">
        <v>42.3</v>
      </c>
      <c r="P308" s="163" t="s">
        <v>241</v>
      </c>
    </row>
    <row r="309" spans="1:16" ht="13.15">
      <c r="A309" s="164">
        <f>H309</f>
        <v>1972.874999999982</v>
      </c>
      <c r="B309" s="164">
        <f t="shared" si="20"/>
        <v>109.83020707601692</v>
      </c>
      <c r="H309" s="165">
        <v>1972.874999999982</v>
      </c>
      <c r="I309" s="165">
        <v>21.763502958579885</v>
      </c>
      <c r="J309" s="163" t="s">
        <v>244</v>
      </c>
      <c r="N309" s="165">
        <f t="shared" si="21"/>
        <v>1972.874999999982</v>
      </c>
      <c r="O309" s="167">
        <v>42.4</v>
      </c>
      <c r="P309" s="163" t="s">
        <v>241</v>
      </c>
    </row>
    <row r="310" spans="1:16" ht="13.15">
      <c r="A310" s="164">
        <f>H310</f>
        <v>1972.9583333333153</v>
      </c>
      <c r="B310" s="164">
        <f t="shared" si="20"/>
        <v>109.65517102212195</v>
      </c>
      <c r="H310" s="165">
        <v>1972.9583333333153</v>
      </c>
      <c r="I310" s="165">
        <v>21.780065746219595</v>
      </c>
      <c r="J310" s="163" t="s">
        <v>244</v>
      </c>
      <c r="N310" s="165">
        <f t="shared" si="21"/>
        <v>1972.9583333333153</v>
      </c>
      <c r="O310" s="167">
        <v>42.5</v>
      </c>
      <c r="P310" s="163" t="s">
        <v>241</v>
      </c>
    </row>
    <row r="311" spans="1:16" ht="13.15">
      <c r="A311" s="164">
        <f t="shared" ref="A311:A374" si="22">H311</f>
        <v>1973.0416666666486</v>
      </c>
      <c r="B311" s="164">
        <f t="shared" si="20"/>
        <v>109.14818786828609</v>
      </c>
      <c r="H311" s="165">
        <v>1973.0416666666486</v>
      </c>
      <c r="I311" s="165">
        <v>21.730377383300461</v>
      </c>
      <c r="J311" s="163" t="s">
        <v>244</v>
      </c>
      <c r="N311" s="165">
        <f t="shared" si="21"/>
        <v>1973.0416666666486</v>
      </c>
      <c r="O311" s="167">
        <v>42.6</v>
      </c>
      <c r="P311" s="163" t="s">
        <v>241</v>
      </c>
    </row>
    <row r="312" spans="1:16" ht="13.15">
      <c r="A312" s="164">
        <f t="shared" si="22"/>
        <v>1973.1249999999818</v>
      </c>
      <c r="B312" s="164">
        <f t="shared" si="20"/>
        <v>108.38491382724911</v>
      </c>
      <c r="H312" s="165">
        <v>1973.1249999999818</v>
      </c>
      <c r="I312" s="165">
        <v>21.730377383300461</v>
      </c>
      <c r="J312" s="163" t="s">
        <v>244</v>
      </c>
      <c r="N312" s="165">
        <f t="shared" si="21"/>
        <v>1973.1249999999818</v>
      </c>
      <c r="O312" s="167">
        <v>42.9</v>
      </c>
      <c r="P312" s="163" t="s">
        <v>241</v>
      </c>
    </row>
    <row r="313" spans="1:16" ht="13.15">
      <c r="A313" s="164">
        <f t="shared" si="22"/>
        <v>1973.2083333333151</v>
      </c>
      <c r="B313" s="164">
        <f t="shared" si="20"/>
        <v>107.46551481769175</v>
      </c>
      <c r="H313" s="165">
        <v>1973.2083333333151</v>
      </c>
      <c r="I313" s="165">
        <v>21.746940170940174</v>
      </c>
      <c r="J313" s="163" t="s">
        <v>244</v>
      </c>
      <c r="N313" s="165">
        <f t="shared" si="21"/>
        <v>1973.2083333333151</v>
      </c>
      <c r="O313" s="167">
        <v>43.3</v>
      </c>
      <c r="P313" s="163" t="s">
        <v>241</v>
      </c>
    </row>
    <row r="314" spans="1:16" ht="13.15">
      <c r="A314" s="164">
        <f t="shared" si="22"/>
        <v>1973.2916666666483</v>
      </c>
      <c r="B314" s="164">
        <f t="shared" si="20"/>
        <v>106.72607320197369</v>
      </c>
      <c r="H314" s="165">
        <v>1973.2916666666483</v>
      </c>
      <c r="I314" s="165">
        <v>21.746940170940174</v>
      </c>
      <c r="J314" s="163" t="s">
        <v>244</v>
      </c>
      <c r="N314" s="165">
        <f t="shared" si="21"/>
        <v>1973.2916666666483</v>
      </c>
      <c r="O314" s="167">
        <v>43.6</v>
      </c>
      <c r="P314" s="163" t="s">
        <v>241</v>
      </c>
    </row>
    <row r="315" spans="1:16" ht="13.15">
      <c r="A315" s="164">
        <f t="shared" si="22"/>
        <v>1973.3749999999816</v>
      </c>
      <c r="B315" s="164">
        <f>100*(I315/O315)/(I$8/O$8)</f>
        <v>106.23892384640652</v>
      </c>
      <c r="H315" s="165">
        <v>1973.3749999999816</v>
      </c>
      <c r="I315" s="165">
        <v>21.796628533859302</v>
      </c>
      <c r="J315" s="163" t="s">
        <v>244</v>
      </c>
      <c r="N315" s="165">
        <f t="shared" si="21"/>
        <v>1973.3749999999816</v>
      </c>
      <c r="O315" s="167">
        <v>43.9</v>
      </c>
      <c r="P315" s="163" t="s">
        <v>241</v>
      </c>
    </row>
    <row r="316" spans="1:16" ht="13.15">
      <c r="A316" s="164">
        <f t="shared" si="22"/>
        <v>1973.4583333333148</v>
      </c>
      <c r="B316" s="164">
        <f t="shared" ref="B316:B379" si="23">100*(I316/O316)/(I$8/O$8)</f>
        <v>105.75838737801902</v>
      </c>
      <c r="H316" s="165">
        <v>1973.4583333333148</v>
      </c>
      <c r="I316" s="165">
        <v>21.84631689677844</v>
      </c>
      <c r="J316" s="163" t="s">
        <v>244</v>
      </c>
      <c r="N316" s="165">
        <f t="shared" si="21"/>
        <v>1973.4583333333148</v>
      </c>
      <c r="O316" s="167">
        <v>44.2</v>
      </c>
      <c r="P316" s="163" t="s">
        <v>241</v>
      </c>
    </row>
    <row r="317" spans="1:16" ht="13.15">
      <c r="A317" s="164">
        <f t="shared" si="22"/>
        <v>1973.5416666666481</v>
      </c>
      <c r="B317" s="164">
        <f t="shared" si="23"/>
        <v>105.43965538806719</v>
      </c>
      <c r="H317" s="165">
        <v>1973.5416666666481</v>
      </c>
      <c r="I317" s="165">
        <v>21.829754109138726</v>
      </c>
      <c r="J317" s="163" t="s">
        <v>244</v>
      </c>
      <c r="N317" s="165">
        <f t="shared" si="21"/>
        <v>1973.5416666666481</v>
      </c>
      <c r="O317" s="167">
        <v>44.3</v>
      </c>
      <c r="P317" s="163" t="s">
        <v>241</v>
      </c>
    </row>
    <row r="318" spans="1:16" ht="13.15">
      <c r="A318" s="164">
        <f t="shared" si="22"/>
        <v>1973.6249999999814</v>
      </c>
      <c r="B318" s="164">
        <f t="shared" si="23"/>
        <v>104.5122969999147</v>
      </c>
      <c r="H318" s="165">
        <v>1973.6249999999814</v>
      </c>
      <c r="I318" s="165">
        <v>22.028507560815253</v>
      </c>
      <c r="J318" s="163" t="s">
        <v>244</v>
      </c>
      <c r="N318" s="165">
        <f t="shared" si="21"/>
        <v>1973.6249999999814</v>
      </c>
      <c r="O318" s="167">
        <v>45.1</v>
      </c>
      <c r="P318" s="163" t="s">
        <v>241</v>
      </c>
    </row>
    <row r="319" spans="1:16" ht="13.15">
      <c r="A319" s="164">
        <f t="shared" si="22"/>
        <v>1973.7083333333146</v>
      </c>
      <c r="B319" s="164">
        <f t="shared" si="23"/>
        <v>104.67310922082913</v>
      </c>
      <c r="H319" s="165">
        <v>1973.7083333333146</v>
      </c>
      <c r="I319" s="165">
        <v>22.111321499013808</v>
      </c>
      <c r="J319" s="163" t="s">
        <v>244</v>
      </c>
      <c r="N319" s="165">
        <f t="shared" si="21"/>
        <v>1973.7083333333146</v>
      </c>
      <c r="O319" s="167">
        <v>45.2</v>
      </c>
      <c r="P319" s="163" t="s">
        <v>241</v>
      </c>
    </row>
    <row r="320" spans="1:16" ht="13.15">
      <c r="A320" s="164">
        <f t="shared" si="22"/>
        <v>1973.7916666666479</v>
      </c>
      <c r="B320" s="164">
        <f t="shared" si="23"/>
        <v>104.53211449456413</v>
      </c>
      <c r="H320" s="165">
        <v>1973.7916666666479</v>
      </c>
      <c r="I320" s="165">
        <v>22.276949375410915</v>
      </c>
      <c r="J320" s="163" t="s">
        <v>244</v>
      </c>
      <c r="N320" s="165">
        <f t="shared" si="21"/>
        <v>1973.7916666666479</v>
      </c>
      <c r="O320" s="167">
        <v>45.6</v>
      </c>
      <c r="P320" s="163" t="s">
        <v>241</v>
      </c>
    </row>
    <row r="321" spans="1:16" ht="13.15">
      <c r="A321" s="164">
        <f t="shared" si="22"/>
        <v>1973.8749999999811</v>
      </c>
      <c r="B321" s="164">
        <f t="shared" si="23"/>
        <v>104.31216451970616</v>
      </c>
      <c r="H321" s="165">
        <v>1973.8749999999811</v>
      </c>
      <c r="I321" s="165">
        <v>22.376326101249177</v>
      </c>
      <c r="J321" s="163" t="s">
        <v>244</v>
      </c>
      <c r="N321" s="165">
        <f t="shared" si="21"/>
        <v>1973.8749999999811</v>
      </c>
      <c r="O321" s="167">
        <v>45.9</v>
      </c>
      <c r="P321" s="163" t="s">
        <v>241</v>
      </c>
    </row>
    <row r="322" spans="1:16" ht="13.15">
      <c r="A322" s="164">
        <f t="shared" si="22"/>
        <v>1973.9583333333144</v>
      </c>
      <c r="B322" s="164">
        <f t="shared" si="23"/>
        <v>104.32520015601941</v>
      </c>
      <c r="H322" s="165">
        <v>1973.9583333333144</v>
      </c>
      <c r="I322" s="165">
        <v>22.525391190006577</v>
      </c>
      <c r="J322" s="163" t="s">
        <v>244</v>
      </c>
      <c r="N322" s="165">
        <f t="shared" si="21"/>
        <v>1973.9583333333144</v>
      </c>
      <c r="O322" s="167">
        <v>46.2</v>
      </c>
      <c r="P322" s="163" t="s">
        <v>241</v>
      </c>
    </row>
    <row r="323" spans="1:16" ht="13.15">
      <c r="A323" s="164">
        <f t="shared" si="22"/>
        <v>1974.0416666666476</v>
      </c>
      <c r="B323" s="164">
        <f t="shared" si="23"/>
        <v>104.26626866514613</v>
      </c>
      <c r="H323" s="165">
        <v>1974.0416666666476</v>
      </c>
      <c r="I323" s="165">
        <v>22.707581854043394</v>
      </c>
      <c r="J323" s="163" t="s">
        <v>244</v>
      </c>
      <c r="N323" s="165">
        <f t="shared" si="21"/>
        <v>1974.0416666666476</v>
      </c>
      <c r="O323" s="167">
        <v>46.6</v>
      </c>
      <c r="P323" s="163" t="s">
        <v>241</v>
      </c>
    </row>
    <row r="324" spans="1:16" ht="13.15">
      <c r="A324" s="164">
        <f t="shared" si="22"/>
        <v>1974.1249999999809</v>
      </c>
      <c r="B324" s="164">
        <f t="shared" si="23"/>
        <v>103.76677949965085</v>
      </c>
      <c r="H324" s="165">
        <v>1974.1249999999809</v>
      </c>
      <c r="I324" s="165">
        <v>22.889772518080207</v>
      </c>
      <c r="J324" s="163" t="s">
        <v>244</v>
      </c>
      <c r="N324" s="165">
        <f t="shared" si="21"/>
        <v>1974.1249999999809</v>
      </c>
      <c r="O324" s="167">
        <v>47.2</v>
      </c>
      <c r="P324" s="163" t="s">
        <v>241</v>
      </c>
    </row>
    <row r="325" spans="1:16" ht="13.15">
      <c r="A325" s="164">
        <f t="shared" si="22"/>
        <v>1974.2083333333142</v>
      </c>
      <c r="B325" s="164">
        <f t="shared" si="23"/>
        <v>103.57639787948729</v>
      </c>
      <c r="H325" s="165">
        <v>1974.2083333333142</v>
      </c>
      <c r="I325" s="165">
        <v>23.138214332675869</v>
      </c>
      <c r="J325" s="163" t="s">
        <v>244</v>
      </c>
      <c r="N325" s="165">
        <f t="shared" si="21"/>
        <v>1974.2083333333142</v>
      </c>
      <c r="O325" s="167">
        <v>47.8</v>
      </c>
      <c r="P325" s="163" t="s">
        <v>241</v>
      </c>
    </row>
    <row r="326" spans="1:16" ht="13.15">
      <c r="A326" s="164">
        <f t="shared" si="22"/>
        <v>1974.2916666666474</v>
      </c>
      <c r="B326" s="164">
        <f t="shared" si="23"/>
        <v>103.51399501510035</v>
      </c>
      <c r="H326" s="165">
        <v>1974.2916666666474</v>
      </c>
      <c r="I326" s="165">
        <v>23.221028270874424</v>
      </c>
      <c r="J326" s="163" t="s">
        <v>244</v>
      </c>
      <c r="N326" s="165">
        <f t="shared" si="21"/>
        <v>1974.2916666666474</v>
      </c>
      <c r="O326" s="167">
        <v>48</v>
      </c>
      <c r="P326" s="163" t="s">
        <v>241</v>
      </c>
    </row>
    <row r="327" spans="1:16" ht="13.15">
      <c r="A327" s="164">
        <f t="shared" si="22"/>
        <v>1974.3749999999807</v>
      </c>
      <c r="B327" s="164">
        <f t="shared" si="23"/>
        <v>102.7464954659315</v>
      </c>
      <c r="H327" s="165">
        <v>1974.3749999999807</v>
      </c>
      <c r="I327" s="165">
        <v>23.336967784352403</v>
      </c>
      <c r="J327" s="163" t="s">
        <v>244</v>
      </c>
      <c r="N327" s="165">
        <f t="shared" si="21"/>
        <v>1974.3749999999807</v>
      </c>
      <c r="O327" s="167">
        <v>48.6</v>
      </c>
      <c r="P327" s="163" t="s">
        <v>241</v>
      </c>
    </row>
    <row r="328" spans="1:16" ht="13.15">
      <c r="A328" s="164">
        <f t="shared" si="22"/>
        <v>1974.4583333333139</v>
      </c>
      <c r="B328" s="164">
        <f t="shared" si="23"/>
        <v>102.48635891797527</v>
      </c>
      <c r="H328" s="165">
        <v>1974.4583333333139</v>
      </c>
      <c r="I328" s="165">
        <v>23.469470085470082</v>
      </c>
      <c r="J328" s="163" t="s">
        <v>244</v>
      </c>
      <c r="N328" s="165">
        <f t="shared" si="21"/>
        <v>1974.4583333333139</v>
      </c>
      <c r="O328" s="167">
        <v>49</v>
      </c>
      <c r="P328" s="163" t="s">
        <v>241</v>
      </c>
    </row>
    <row r="329" spans="1:16" ht="13.15">
      <c r="A329" s="164">
        <f t="shared" si="22"/>
        <v>1974.5416666666472</v>
      </c>
      <c r="B329" s="164">
        <f t="shared" si="23"/>
        <v>102.15869445142191</v>
      </c>
      <c r="H329" s="165">
        <v>1974.5416666666472</v>
      </c>
      <c r="I329" s="165">
        <v>23.585409598948061</v>
      </c>
      <c r="J329" s="163" t="s">
        <v>244</v>
      </c>
      <c r="N329" s="165">
        <f t="shared" ref="N329:N392" si="24">N328+1/12</f>
        <v>1974.5416666666472</v>
      </c>
      <c r="O329" s="167">
        <v>49.4</v>
      </c>
      <c r="P329" s="163" t="s">
        <v>241</v>
      </c>
    </row>
    <row r="330" spans="1:16" ht="13.15">
      <c r="A330" s="164">
        <f t="shared" si="22"/>
        <v>1974.6249999999804</v>
      </c>
      <c r="B330" s="164">
        <f t="shared" si="23"/>
        <v>101.85422710644168</v>
      </c>
      <c r="H330" s="165">
        <v>1974.6249999999804</v>
      </c>
      <c r="I330" s="165">
        <v>23.800725838264299</v>
      </c>
      <c r="J330" s="163" t="s">
        <v>244</v>
      </c>
      <c r="N330" s="165">
        <f t="shared" si="24"/>
        <v>1974.6249999999804</v>
      </c>
      <c r="O330" s="167">
        <v>50</v>
      </c>
      <c r="P330" s="163" t="s">
        <v>241</v>
      </c>
    </row>
    <row r="331" spans="1:16" ht="13.15">
      <c r="A331" s="164">
        <f t="shared" si="22"/>
        <v>1974.7083333333137</v>
      </c>
      <c r="B331" s="164">
        <f t="shared" si="23"/>
        <v>101.62701962768757</v>
      </c>
      <c r="H331" s="165">
        <v>1974.7083333333137</v>
      </c>
      <c r="I331" s="165">
        <v>24.03260486522025</v>
      </c>
      <c r="J331" s="163" t="s">
        <v>244</v>
      </c>
      <c r="N331" s="165">
        <f t="shared" si="24"/>
        <v>1974.7083333333137</v>
      </c>
      <c r="O331" s="167">
        <v>50.6</v>
      </c>
      <c r="P331" s="163" t="s">
        <v>241</v>
      </c>
    </row>
    <row r="332" spans="1:16" ht="13.15">
      <c r="A332" s="164">
        <f t="shared" si="22"/>
        <v>1974.791666666647</v>
      </c>
      <c r="B332" s="164">
        <f t="shared" si="23"/>
        <v>101.46487385842991</v>
      </c>
      <c r="H332" s="165">
        <v>1974.791666666647</v>
      </c>
      <c r="I332" s="165">
        <v>24.231358316896781</v>
      </c>
      <c r="J332" s="163" t="s">
        <v>244</v>
      </c>
      <c r="N332" s="165">
        <f t="shared" si="24"/>
        <v>1974.791666666647</v>
      </c>
      <c r="O332" s="167">
        <v>51.1</v>
      </c>
      <c r="P332" s="163" t="s">
        <v>241</v>
      </c>
    </row>
    <row r="333" spans="1:16" ht="13.15">
      <c r="A333" s="164">
        <f t="shared" si="22"/>
        <v>1974.8749999999802</v>
      </c>
      <c r="B333" s="164">
        <f t="shared" si="23"/>
        <v>101.43376556802876</v>
      </c>
      <c r="H333" s="165">
        <v>1974.8749999999802</v>
      </c>
      <c r="I333" s="165">
        <v>24.413548980933598</v>
      </c>
      <c r="J333" s="163" t="s">
        <v>244</v>
      </c>
      <c r="N333" s="165">
        <f t="shared" si="24"/>
        <v>1974.8749999999802</v>
      </c>
      <c r="O333" s="167">
        <v>51.5</v>
      </c>
      <c r="P333" s="163" t="s">
        <v>241</v>
      </c>
    </row>
    <row r="334" spans="1:16" ht="13.15">
      <c r="A334" s="164">
        <f t="shared" si="22"/>
        <v>1974.9583333333135</v>
      </c>
      <c r="B334" s="164">
        <f t="shared" si="23"/>
        <v>102.22255607603026</v>
      </c>
      <c r="H334" s="165">
        <v>1974.9583333333135</v>
      </c>
      <c r="I334" s="165">
        <v>24.794493096646942</v>
      </c>
      <c r="J334" s="163" t="s">
        <v>244</v>
      </c>
      <c r="N334" s="165">
        <f t="shared" si="24"/>
        <v>1974.9583333333135</v>
      </c>
      <c r="O334" s="167">
        <v>51.9</v>
      </c>
      <c r="P334" s="163" t="s">
        <v>241</v>
      </c>
    </row>
    <row r="335" spans="1:16" ht="13.15">
      <c r="A335" s="164">
        <f t="shared" si="22"/>
        <v>1975.0416666666467</v>
      </c>
      <c r="B335" s="164">
        <f t="shared" si="23"/>
        <v>103.77482391613171</v>
      </c>
      <c r="H335" s="165">
        <v>1975.0416666666467</v>
      </c>
      <c r="I335" s="171">
        <v>25.268000000000001</v>
      </c>
      <c r="J335" s="163" t="s">
        <v>246</v>
      </c>
      <c r="N335" s="165">
        <f t="shared" si="24"/>
        <v>1975.0416666666467</v>
      </c>
      <c r="O335" s="167">
        <v>52.1</v>
      </c>
      <c r="P335" s="163" t="s">
        <v>241</v>
      </c>
    </row>
    <row r="336" spans="1:16" ht="13.15">
      <c r="A336" s="164">
        <f t="shared" si="22"/>
        <v>1975.12499999998</v>
      </c>
      <c r="B336" s="164">
        <f t="shared" si="23"/>
        <v>103.15126127042295</v>
      </c>
      <c r="H336" s="165">
        <v>1975.12499999998</v>
      </c>
      <c r="I336" s="171">
        <v>25.309000000000001</v>
      </c>
      <c r="J336" s="163" t="s">
        <v>246</v>
      </c>
      <c r="N336" s="165">
        <f t="shared" si="24"/>
        <v>1975.12499999998</v>
      </c>
      <c r="O336" s="167">
        <v>52.5</v>
      </c>
      <c r="P336" s="163" t="s">
        <v>241</v>
      </c>
    </row>
    <row r="337" spans="1:16" ht="13.15">
      <c r="A337" s="164">
        <f t="shared" si="22"/>
        <v>1975.2083333333132</v>
      </c>
      <c r="B337" s="164">
        <f t="shared" si="23"/>
        <v>103.00340784217612</v>
      </c>
      <c r="H337" s="165">
        <v>1975.2083333333132</v>
      </c>
      <c r="I337" s="171">
        <v>25.369</v>
      </c>
      <c r="J337" s="163" t="s">
        <v>246</v>
      </c>
      <c r="N337" s="165">
        <f t="shared" si="24"/>
        <v>1975.2083333333132</v>
      </c>
      <c r="O337" s="167">
        <v>52.7</v>
      </c>
      <c r="P337" s="163" t="s">
        <v>241</v>
      </c>
    </row>
    <row r="338" spans="1:16" ht="13.15">
      <c r="A338" s="164">
        <f t="shared" si="22"/>
        <v>1975.2916666666465</v>
      </c>
      <c r="B338" s="164">
        <f t="shared" si="23"/>
        <v>102.76364068387636</v>
      </c>
      <c r="H338" s="165">
        <v>1975.2916666666465</v>
      </c>
      <c r="I338" s="171">
        <v>25.405999999999999</v>
      </c>
      <c r="J338" s="163" t="s">
        <v>246</v>
      </c>
      <c r="N338" s="165">
        <f t="shared" si="24"/>
        <v>1975.2916666666465</v>
      </c>
      <c r="O338" s="167">
        <v>52.9</v>
      </c>
      <c r="P338" s="163" t="s">
        <v>241</v>
      </c>
    </row>
    <row r="339" spans="1:16" ht="13.15">
      <c r="A339" s="164">
        <f t="shared" si="22"/>
        <v>1975.3749999999798</v>
      </c>
      <c r="B339" s="164">
        <f t="shared" si="23"/>
        <v>102.48580005467866</v>
      </c>
      <c r="H339" s="165">
        <v>1975.3749999999798</v>
      </c>
      <c r="I339" s="171">
        <v>25.481000000000002</v>
      </c>
      <c r="J339" s="163" t="s">
        <v>246</v>
      </c>
      <c r="N339" s="165">
        <f t="shared" si="24"/>
        <v>1975.3749999999798</v>
      </c>
      <c r="O339" s="167">
        <v>53.2</v>
      </c>
      <c r="P339" s="163" t="s">
        <v>241</v>
      </c>
    </row>
    <row r="340" spans="1:16" ht="13.15">
      <c r="A340" s="164">
        <f t="shared" si="22"/>
        <v>1975.458333333313</v>
      </c>
      <c r="B340" s="164">
        <f t="shared" si="23"/>
        <v>101.66908422852086</v>
      </c>
      <c r="H340" s="165">
        <v>1975.458333333313</v>
      </c>
      <c r="I340" s="171">
        <v>25.468</v>
      </c>
      <c r="J340" s="163" t="s">
        <v>246</v>
      </c>
      <c r="N340" s="165">
        <f t="shared" si="24"/>
        <v>1975.458333333313</v>
      </c>
      <c r="O340" s="167">
        <v>53.6</v>
      </c>
      <c r="P340" s="163" t="s">
        <v>241</v>
      </c>
    </row>
    <row r="341" spans="1:16" ht="13.15">
      <c r="A341" s="164">
        <f t="shared" si="22"/>
        <v>1975.5416666666463</v>
      </c>
      <c r="B341" s="164">
        <f t="shared" si="23"/>
        <v>101.1160330516043</v>
      </c>
      <c r="H341" s="165">
        <v>1975.5416666666463</v>
      </c>
      <c r="I341" s="171">
        <v>25.613</v>
      </c>
      <c r="J341" s="163" t="s">
        <v>246</v>
      </c>
      <c r="N341" s="165">
        <f t="shared" si="24"/>
        <v>1975.5416666666463</v>
      </c>
      <c r="O341" s="167">
        <v>54.2</v>
      </c>
      <c r="P341" s="163" t="s">
        <v>241</v>
      </c>
    </row>
    <row r="342" spans="1:16" ht="13.15">
      <c r="A342" s="164">
        <f t="shared" si="22"/>
        <v>1975.6249999999795</v>
      </c>
      <c r="B342" s="164">
        <f t="shared" si="23"/>
        <v>101.54060400692639</v>
      </c>
      <c r="H342" s="165">
        <v>1975.6249999999795</v>
      </c>
      <c r="I342" s="171">
        <v>25.768000000000001</v>
      </c>
      <c r="J342" s="163" t="s">
        <v>246</v>
      </c>
      <c r="N342" s="165">
        <f t="shared" si="24"/>
        <v>1975.6249999999795</v>
      </c>
      <c r="O342" s="167">
        <v>54.3</v>
      </c>
      <c r="P342" s="163" t="s">
        <v>241</v>
      </c>
    </row>
    <row r="343" spans="1:16" ht="13.15">
      <c r="A343" s="164">
        <f t="shared" si="22"/>
        <v>1975.7083333333128</v>
      </c>
      <c r="B343" s="164">
        <f t="shared" si="23"/>
        <v>101.98593170343352</v>
      </c>
      <c r="H343" s="165">
        <v>1975.7083333333128</v>
      </c>
      <c r="I343" s="171">
        <v>26.024000000000001</v>
      </c>
      <c r="J343" s="163" t="s">
        <v>246</v>
      </c>
      <c r="N343" s="165">
        <f t="shared" si="24"/>
        <v>1975.7083333333128</v>
      </c>
      <c r="O343" s="167">
        <v>54.6</v>
      </c>
      <c r="P343" s="163" t="s">
        <v>241</v>
      </c>
    </row>
    <row r="344" spans="1:16" ht="13.15">
      <c r="A344" s="164">
        <f t="shared" si="22"/>
        <v>1975.7916666666461</v>
      </c>
      <c r="B344" s="164">
        <f t="shared" si="23"/>
        <v>102.14187467382833</v>
      </c>
      <c r="H344" s="165">
        <v>1975.7916666666461</v>
      </c>
      <c r="I344" s="171">
        <v>26.207000000000001</v>
      </c>
      <c r="J344" s="163" t="s">
        <v>246</v>
      </c>
      <c r="N344" s="165">
        <f t="shared" si="24"/>
        <v>1975.7916666666461</v>
      </c>
      <c r="O344" s="167">
        <v>54.9</v>
      </c>
      <c r="P344" s="163" t="s">
        <v>241</v>
      </c>
    </row>
    <row r="345" spans="1:16" ht="13.15">
      <c r="A345" s="164">
        <f t="shared" si="22"/>
        <v>1975.8749999999793</v>
      </c>
      <c r="B345" s="164">
        <f t="shared" si="23"/>
        <v>102.09179210602935</v>
      </c>
      <c r="H345" s="165">
        <v>1975.8749999999793</v>
      </c>
      <c r="I345" s="171">
        <v>26.385000000000002</v>
      </c>
      <c r="J345" s="163" t="s">
        <v>246</v>
      </c>
      <c r="N345" s="165">
        <f t="shared" si="24"/>
        <v>1975.8749999999793</v>
      </c>
      <c r="O345" s="167">
        <v>55.3</v>
      </c>
      <c r="P345" s="163" t="s">
        <v>241</v>
      </c>
    </row>
    <row r="346" spans="1:16" ht="13.15">
      <c r="A346" s="164">
        <f t="shared" si="22"/>
        <v>1975.9583333333126</v>
      </c>
      <c r="B346" s="164">
        <f t="shared" si="23"/>
        <v>102.06702153871254</v>
      </c>
      <c r="H346" s="165">
        <v>1975.9583333333126</v>
      </c>
      <c r="I346" s="171">
        <v>26.474</v>
      </c>
      <c r="J346" s="163" t="s">
        <v>246</v>
      </c>
      <c r="N346" s="165">
        <f t="shared" si="24"/>
        <v>1975.9583333333126</v>
      </c>
      <c r="O346" s="167">
        <v>55.5</v>
      </c>
      <c r="P346" s="163" t="s">
        <v>241</v>
      </c>
    </row>
    <row r="347" spans="1:16" ht="13.15">
      <c r="A347" s="164">
        <f t="shared" si="22"/>
        <v>1976.0416666666458</v>
      </c>
      <c r="B347" s="164">
        <f t="shared" si="23"/>
        <v>102.36065360327096</v>
      </c>
      <c r="H347" s="165">
        <v>1976.0416666666458</v>
      </c>
      <c r="I347" s="171">
        <v>26.597999999999999</v>
      </c>
      <c r="J347" s="163" t="s">
        <v>246</v>
      </c>
      <c r="N347" s="165">
        <f t="shared" si="24"/>
        <v>1976.0416666666458</v>
      </c>
      <c r="O347" s="167">
        <v>55.6</v>
      </c>
      <c r="P347" s="163" t="s">
        <v>241</v>
      </c>
    </row>
    <row r="348" spans="1:16" ht="13.15">
      <c r="A348" s="164">
        <f t="shared" si="22"/>
        <v>1976.1249999999791</v>
      </c>
      <c r="B348" s="164">
        <f t="shared" si="23"/>
        <v>102.24685581695144</v>
      </c>
      <c r="H348" s="165">
        <v>1976.1249999999791</v>
      </c>
      <c r="I348" s="171">
        <v>26.664000000000001</v>
      </c>
      <c r="J348" s="163" t="s">
        <v>246</v>
      </c>
      <c r="N348" s="165">
        <f t="shared" si="24"/>
        <v>1976.1249999999791</v>
      </c>
      <c r="O348" s="167">
        <v>55.8</v>
      </c>
      <c r="P348" s="163" t="s">
        <v>241</v>
      </c>
    </row>
    <row r="349" spans="1:16" ht="13.15">
      <c r="A349" s="164">
        <f t="shared" si="22"/>
        <v>1976.2083333333123</v>
      </c>
      <c r="B349" s="164">
        <f t="shared" si="23"/>
        <v>102.92902396644935</v>
      </c>
      <c r="H349" s="165">
        <v>1976.2083333333123</v>
      </c>
      <c r="I349" s="171">
        <v>26.89</v>
      </c>
      <c r="J349" s="163" t="s">
        <v>246</v>
      </c>
      <c r="N349" s="165">
        <f t="shared" si="24"/>
        <v>1976.2083333333123</v>
      </c>
      <c r="O349" s="167">
        <v>55.9</v>
      </c>
      <c r="P349" s="163" t="s">
        <v>241</v>
      </c>
    </row>
    <row r="350" spans="1:16" ht="13.15">
      <c r="A350" s="164">
        <f t="shared" si="22"/>
        <v>1976.2916666666456</v>
      </c>
      <c r="B350" s="164">
        <f t="shared" si="23"/>
        <v>103.53849399564861</v>
      </c>
      <c r="H350" s="165">
        <v>1976.2916666666456</v>
      </c>
      <c r="I350" s="171">
        <v>27.146000000000001</v>
      </c>
      <c r="J350" s="163" t="s">
        <v>246</v>
      </c>
      <c r="N350" s="165">
        <f t="shared" si="24"/>
        <v>1976.2916666666456</v>
      </c>
      <c r="O350" s="167">
        <v>56.1</v>
      </c>
      <c r="P350" s="163" t="s">
        <v>241</v>
      </c>
    </row>
    <row r="351" spans="1:16" ht="13.15">
      <c r="A351" s="164">
        <f t="shared" si="22"/>
        <v>1976.3749999999789</v>
      </c>
      <c r="B351" s="164">
        <f t="shared" si="23"/>
        <v>103.96055328847304</v>
      </c>
      <c r="H351" s="165">
        <v>1976.3749999999789</v>
      </c>
      <c r="I351" s="171">
        <v>27.451000000000001</v>
      </c>
      <c r="J351" s="163" t="s">
        <v>246</v>
      </c>
      <c r="N351" s="165">
        <f t="shared" si="24"/>
        <v>1976.3749999999789</v>
      </c>
      <c r="O351" s="167">
        <v>56.5</v>
      </c>
      <c r="P351" s="163" t="s">
        <v>241</v>
      </c>
    </row>
    <row r="352" spans="1:16" ht="13.15">
      <c r="A352" s="164">
        <f t="shared" si="22"/>
        <v>1976.4583333333121</v>
      </c>
      <c r="B352" s="164">
        <f t="shared" si="23"/>
        <v>103.70530194295506</v>
      </c>
      <c r="H352" s="165">
        <v>1976.4583333333121</v>
      </c>
      <c r="I352" s="171">
        <v>27.529</v>
      </c>
      <c r="J352" s="163" t="s">
        <v>246</v>
      </c>
      <c r="N352" s="165">
        <f t="shared" si="24"/>
        <v>1976.4583333333121</v>
      </c>
      <c r="O352" s="167">
        <v>56.8</v>
      </c>
      <c r="P352" s="163" t="s">
        <v>241</v>
      </c>
    </row>
    <row r="353" spans="1:16" ht="13.15">
      <c r="A353" s="164">
        <f t="shared" si="22"/>
        <v>1976.5416666666454</v>
      </c>
      <c r="B353" s="164">
        <f t="shared" si="23"/>
        <v>104.03731732124704</v>
      </c>
      <c r="H353" s="165">
        <v>1976.5416666666454</v>
      </c>
      <c r="I353" s="171">
        <v>27.763000000000002</v>
      </c>
      <c r="J353" s="163" t="s">
        <v>246</v>
      </c>
      <c r="N353" s="165">
        <f t="shared" si="24"/>
        <v>1976.5416666666454</v>
      </c>
      <c r="O353" s="167">
        <v>57.1</v>
      </c>
      <c r="P353" s="163" t="s">
        <v>241</v>
      </c>
    </row>
    <row r="354" spans="1:16" ht="13.15">
      <c r="A354" s="164">
        <f t="shared" si="22"/>
        <v>1976.6249999999786</v>
      </c>
      <c r="B354" s="164">
        <f t="shared" si="23"/>
        <v>104.17947457442513</v>
      </c>
      <c r="H354" s="165">
        <v>1976.6249999999786</v>
      </c>
      <c r="I354" s="171">
        <v>27.946999999999999</v>
      </c>
      <c r="J354" s="163" t="s">
        <v>246</v>
      </c>
      <c r="N354" s="165">
        <f t="shared" si="24"/>
        <v>1976.6249999999786</v>
      </c>
      <c r="O354" s="167">
        <v>57.4</v>
      </c>
      <c r="P354" s="163" t="s">
        <v>241</v>
      </c>
    </row>
    <row r="355" spans="1:16" ht="13.15">
      <c r="A355" s="164">
        <f t="shared" si="22"/>
        <v>1976.7083333333119</v>
      </c>
      <c r="B355" s="164">
        <f t="shared" si="23"/>
        <v>104.56441670370398</v>
      </c>
      <c r="H355" s="165">
        <v>1976.7083333333119</v>
      </c>
      <c r="I355" s="171">
        <v>28.148</v>
      </c>
      <c r="J355" s="163" t="s">
        <v>246</v>
      </c>
      <c r="N355" s="165">
        <f t="shared" si="24"/>
        <v>1976.7083333333119</v>
      </c>
      <c r="O355" s="167">
        <v>57.6</v>
      </c>
      <c r="P355" s="163" t="s">
        <v>241</v>
      </c>
    </row>
    <row r="356" spans="1:16" ht="13.15">
      <c r="A356" s="164">
        <f t="shared" si="22"/>
        <v>1976.7916666666451</v>
      </c>
      <c r="B356" s="164">
        <f t="shared" si="23"/>
        <v>104.35892815120305</v>
      </c>
      <c r="H356" s="165">
        <v>1976.7916666666451</v>
      </c>
      <c r="I356" s="171">
        <v>28.239000000000001</v>
      </c>
      <c r="J356" s="163" t="s">
        <v>246</v>
      </c>
      <c r="N356" s="165">
        <f t="shared" si="24"/>
        <v>1976.7916666666451</v>
      </c>
      <c r="O356" s="167">
        <v>57.9</v>
      </c>
      <c r="P356" s="163" t="s">
        <v>241</v>
      </c>
    </row>
    <row r="357" spans="1:16" ht="13.15">
      <c r="A357" s="164">
        <f t="shared" si="22"/>
        <v>1976.8749999999784</v>
      </c>
      <c r="B357" s="164">
        <f t="shared" si="23"/>
        <v>104.78033671859542</v>
      </c>
      <c r="H357" s="165">
        <v>1976.8749999999784</v>
      </c>
      <c r="I357" s="171">
        <v>28.402000000000001</v>
      </c>
      <c r="J357" s="163" t="s">
        <v>246</v>
      </c>
      <c r="N357" s="165">
        <f t="shared" si="24"/>
        <v>1976.8749999999784</v>
      </c>
      <c r="O357" s="167">
        <v>58</v>
      </c>
      <c r="P357" s="163" t="s">
        <v>241</v>
      </c>
    </row>
    <row r="358" spans="1:16" ht="13.15">
      <c r="A358" s="164">
        <f t="shared" si="22"/>
        <v>1976.9583333333117</v>
      </c>
      <c r="B358" s="164">
        <f t="shared" si="23"/>
        <v>105.29159995173826</v>
      </c>
      <c r="H358" s="165">
        <v>1976.9583333333117</v>
      </c>
      <c r="I358" s="171">
        <v>28.638999999999999</v>
      </c>
      <c r="J358" s="163" t="s">
        <v>246</v>
      </c>
      <c r="N358" s="165">
        <f t="shared" si="24"/>
        <v>1976.9583333333117</v>
      </c>
      <c r="O358" s="167">
        <v>58.2</v>
      </c>
      <c r="P358" s="163" t="s">
        <v>241</v>
      </c>
    </row>
    <row r="359" spans="1:16" ht="13.15">
      <c r="A359" s="164">
        <f t="shared" si="22"/>
        <v>1977.0416666666449</v>
      </c>
      <c r="B359" s="164">
        <f t="shared" si="23"/>
        <v>105.63679605844884</v>
      </c>
      <c r="H359" s="165">
        <v>1977.0416666666449</v>
      </c>
      <c r="I359" s="171">
        <v>28.881</v>
      </c>
      <c r="J359" s="163" t="s">
        <v>246</v>
      </c>
      <c r="N359" s="165">
        <f t="shared" si="24"/>
        <v>1977.0416666666449</v>
      </c>
      <c r="O359" s="167">
        <v>58.5</v>
      </c>
      <c r="P359" s="163" t="s">
        <v>241</v>
      </c>
    </row>
    <row r="360" spans="1:16" ht="13.15">
      <c r="A360" s="164">
        <f t="shared" si="22"/>
        <v>1977.1249999999782</v>
      </c>
      <c r="B360" s="164">
        <f t="shared" si="23"/>
        <v>105.79893981410126</v>
      </c>
      <c r="H360" s="165">
        <v>1977.1249999999782</v>
      </c>
      <c r="I360" s="171">
        <v>29.222000000000001</v>
      </c>
      <c r="J360" s="163" t="s">
        <v>246</v>
      </c>
      <c r="N360" s="165">
        <f t="shared" si="24"/>
        <v>1977.1249999999782</v>
      </c>
      <c r="O360" s="167">
        <v>59.1</v>
      </c>
      <c r="P360" s="163" t="s">
        <v>241</v>
      </c>
    </row>
    <row r="361" spans="1:16" ht="13.15">
      <c r="A361" s="164">
        <f t="shared" si="22"/>
        <v>1977.2083333333114</v>
      </c>
      <c r="B361" s="164">
        <f t="shared" si="23"/>
        <v>106.58369894687993</v>
      </c>
      <c r="H361" s="165">
        <v>1977.2083333333114</v>
      </c>
      <c r="I361" s="171">
        <v>29.638000000000002</v>
      </c>
      <c r="J361" s="163" t="s">
        <v>246</v>
      </c>
      <c r="N361" s="165">
        <f t="shared" si="24"/>
        <v>1977.2083333333114</v>
      </c>
      <c r="O361" s="167">
        <v>59.5</v>
      </c>
      <c r="P361" s="163" t="s">
        <v>241</v>
      </c>
    </row>
    <row r="362" spans="1:16" ht="13.15">
      <c r="A362" s="164">
        <f t="shared" si="22"/>
        <v>1977.2916666666447</v>
      </c>
      <c r="B362" s="164">
        <f t="shared" si="23"/>
        <v>107.56419849198646</v>
      </c>
      <c r="H362" s="165">
        <v>1977.2916666666447</v>
      </c>
      <c r="I362" s="171">
        <v>30.161999999999999</v>
      </c>
      <c r="J362" s="163" t="s">
        <v>246</v>
      </c>
      <c r="N362" s="165">
        <f t="shared" si="24"/>
        <v>1977.2916666666447</v>
      </c>
      <c r="O362" s="167">
        <v>60</v>
      </c>
      <c r="P362" s="163" t="s">
        <v>241</v>
      </c>
    </row>
    <row r="363" spans="1:16" ht="13.15">
      <c r="A363" s="164">
        <f t="shared" si="22"/>
        <v>1977.3749999999779</v>
      </c>
      <c r="B363" s="164">
        <f t="shared" si="23"/>
        <v>108.34553683923802</v>
      </c>
      <c r="H363" s="165">
        <v>1977.3749999999779</v>
      </c>
      <c r="I363" s="171">
        <v>30.533000000000001</v>
      </c>
      <c r="J363" s="163" t="s">
        <v>246</v>
      </c>
      <c r="N363" s="165">
        <f t="shared" si="24"/>
        <v>1977.3749999999779</v>
      </c>
      <c r="O363" s="167">
        <v>60.3</v>
      </c>
      <c r="P363" s="163" t="s">
        <v>241</v>
      </c>
    </row>
    <row r="364" spans="1:16" ht="13.15">
      <c r="A364" s="164">
        <f t="shared" si="22"/>
        <v>1977.4583333333112</v>
      </c>
      <c r="B364" s="164">
        <f t="shared" si="23"/>
        <v>108.43528340083793</v>
      </c>
      <c r="H364" s="165">
        <v>1977.4583333333112</v>
      </c>
      <c r="I364" s="171">
        <v>30.760999999999999</v>
      </c>
      <c r="J364" s="163" t="s">
        <v>246</v>
      </c>
      <c r="N364" s="165">
        <f t="shared" si="24"/>
        <v>1977.4583333333112</v>
      </c>
      <c r="O364" s="167">
        <v>60.7</v>
      </c>
      <c r="P364" s="163" t="s">
        <v>241</v>
      </c>
    </row>
    <row r="365" spans="1:16" ht="13.15">
      <c r="A365" s="164">
        <f t="shared" si="22"/>
        <v>1977.5416666666445</v>
      </c>
      <c r="B365" s="164">
        <f t="shared" si="23"/>
        <v>109.01044512209356</v>
      </c>
      <c r="H365" s="165">
        <v>1977.5416666666445</v>
      </c>
      <c r="I365" s="171">
        <v>31.077000000000002</v>
      </c>
      <c r="J365" s="163" t="s">
        <v>246</v>
      </c>
      <c r="N365" s="165">
        <f t="shared" si="24"/>
        <v>1977.5416666666445</v>
      </c>
      <c r="O365" s="167">
        <v>61</v>
      </c>
      <c r="P365" s="163" t="s">
        <v>241</v>
      </c>
    </row>
    <row r="366" spans="1:16" ht="13.15">
      <c r="A366" s="164">
        <f t="shared" si="22"/>
        <v>1977.6249999999777</v>
      </c>
      <c r="B366" s="164">
        <f t="shared" si="23"/>
        <v>109.75553316211538</v>
      </c>
      <c r="H366" s="165">
        <v>1977.6249999999777</v>
      </c>
      <c r="I366" s="171">
        <v>31.391999999999999</v>
      </c>
      <c r="J366" s="163" t="s">
        <v>246</v>
      </c>
      <c r="N366" s="165">
        <f t="shared" si="24"/>
        <v>1977.6249999999777</v>
      </c>
      <c r="O366" s="167">
        <v>61.2</v>
      </c>
      <c r="P366" s="163" t="s">
        <v>241</v>
      </c>
    </row>
    <row r="367" spans="1:16" ht="13.15">
      <c r="A367" s="164">
        <f t="shared" si="22"/>
        <v>1977.708333333311</v>
      </c>
      <c r="B367" s="164">
        <f t="shared" si="23"/>
        <v>110.84077244236565</v>
      </c>
      <c r="H367" s="165">
        <v>1977.708333333311</v>
      </c>
      <c r="I367" s="171">
        <v>31.806000000000001</v>
      </c>
      <c r="J367" s="163" t="s">
        <v>246</v>
      </c>
      <c r="N367" s="165">
        <f t="shared" si="24"/>
        <v>1977.708333333311</v>
      </c>
      <c r="O367" s="167">
        <v>61.4</v>
      </c>
      <c r="P367" s="163" t="s">
        <v>241</v>
      </c>
    </row>
    <row r="368" spans="1:16" ht="13.15">
      <c r="A368" s="164">
        <f t="shared" si="22"/>
        <v>1977.7916666666442</v>
      </c>
      <c r="B368" s="164">
        <f t="shared" si="23"/>
        <v>111.88422884691765</v>
      </c>
      <c r="H368" s="165">
        <v>1977.7916666666442</v>
      </c>
      <c r="I368" s="171">
        <v>32.21</v>
      </c>
      <c r="J368" s="163" t="s">
        <v>246</v>
      </c>
      <c r="N368" s="165">
        <f t="shared" si="24"/>
        <v>1977.7916666666442</v>
      </c>
      <c r="O368" s="167">
        <v>61.6</v>
      </c>
      <c r="P368" s="163" t="s">
        <v>241</v>
      </c>
    </row>
    <row r="369" spans="1:16" ht="13.15">
      <c r="A369" s="164">
        <f t="shared" si="22"/>
        <v>1977.8749999999775</v>
      </c>
      <c r="B369" s="164">
        <f t="shared" si="23"/>
        <v>112.49307733472575</v>
      </c>
      <c r="H369" s="165">
        <v>1977.8749999999775</v>
      </c>
      <c r="I369" s="171">
        <v>32.542999999999999</v>
      </c>
      <c r="J369" s="163" t="s">
        <v>246</v>
      </c>
      <c r="N369" s="165">
        <f t="shared" si="24"/>
        <v>1977.8749999999775</v>
      </c>
      <c r="O369" s="167">
        <v>61.9</v>
      </c>
      <c r="P369" s="163" t="s">
        <v>241</v>
      </c>
    </row>
    <row r="370" spans="1:16" ht="13.15">
      <c r="A370" s="164">
        <f t="shared" si="22"/>
        <v>1977.9583333333107</v>
      </c>
      <c r="B370" s="164">
        <f t="shared" si="23"/>
        <v>113.14034717142142</v>
      </c>
      <c r="H370" s="165">
        <v>1977.9583333333107</v>
      </c>
      <c r="I370" s="171">
        <v>32.835999999999999</v>
      </c>
      <c r="J370" s="163" t="s">
        <v>246</v>
      </c>
      <c r="N370" s="165">
        <f t="shared" si="24"/>
        <v>1977.9583333333107</v>
      </c>
      <c r="O370" s="167">
        <v>62.1</v>
      </c>
      <c r="P370" s="163" t="s">
        <v>241</v>
      </c>
    </row>
    <row r="371" spans="1:16" ht="13.15">
      <c r="A371" s="164">
        <f t="shared" si="22"/>
        <v>1978.041666666644</v>
      </c>
      <c r="B371" s="164">
        <f t="shared" si="23"/>
        <v>113.54260252195681</v>
      </c>
      <c r="H371" s="165">
        <v>1978.041666666644</v>
      </c>
      <c r="I371" s="171">
        <v>33.164999999999999</v>
      </c>
      <c r="J371" s="163" t="s">
        <v>246</v>
      </c>
      <c r="N371" s="165">
        <f t="shared" si="24"/>
        <v>1978.041666666644</v>
      </c>
      <c r="O371" s="167">
        <v>62.5</v>
      </c>
      <c r="P371" s="163" t="s">
        <v>241</v>
      </c>
    </row>
    <row r="372" spans="1:16" ht="13.15">
      <c r="A372" s="164">
        <f t="shared" si="22"/>
        <v>1978.1249999999773</v>
      </c>
      <c r="B372" s="164">
        <f t="shared" si="23"/>
        <v>114.08261716230788</v>
      </c>
      <c r="H372" s="165">
        <v>1978.1249999999773</v>
      </c>
      <c r="I372" s="171">
        <v>33.536000000000001</v>
      </c>
      <c r="J372" s="163" t="s">
        <v>246</v>
      </c>
      <c r="N372" s="165">
        <f t="shared" si="24"/>
        <v>1978.1249999999773</v>
      </c>
      <c r="O372" s="167">
        <v>62.9</v>
      </c>
      <c r="P372" s="163" t="s">
        <v>241</v>
      </c>
    </row>
    <row r="373" spans="1:16" ht="13.15">
      <c r="A373" s="164">
        <f t="shared" si="22"/>
        <v>1978.2083333333105</v>
      </c>
      <c r="B373" s="164">
        <f t="shared" si="23"/>
        <v>114.75902182859295</v>
      </c>
      <c r="H373" s="165">
        <v>1978.2083333333105</v>
      </c>
      <c r="I373" s="171">
        <v>34.003</v>
      </c>
      <c r="J373" s="163" t="s">
        <v>246</v>
      </c>
      <c r="N373" s="165">
        <f t="shared" si="24"/>
        <v>1978.2083333333105</v>
      </c>
      <c r="O373" s="167">
        <v>63.4</v>
      </c>
      <c r="P373" s="163" t="s">
        <v>241</v>
      </c>
    </row>
    <row r="374" spans="1:16" ht="13.15">
      <c r="A374" s="164">
        <f t="shared" si="22"/>
        <v>1978.2916666666438</v>
      </c>
      <c r="B374" s="164">
        <f t="shared" si="23"/>
        <v>115.35117282642274</v>
      </c>
      <c r="H374" s="165">
        <v>1978.2916666666438</v>
      </c>
      <c r="I374" s="171">
        <v>34.448</v>
      </c>
      <c r="J374" s="163" t="s">
        <v>246</v>
      </c>
      <c r="N374" s="165">
        <f t="shared" si="24"/>
        <v>1978.2916666666438</v>
      </c>
      <c r="O374" s="167">
        <v>63.9</v>
      </c>
      <c r="P374" s="163" t="s">
        <v>241</v>
      </c>
    </row>
    <row r="375" spans="1:16" ht="13.15">
      <c r="A375" s="164">
        <f t="shared" ref="A375:A438" si="25">H375</f>
        <v>1978.374999999977</v>
      </c>
      <c r="B375" s="164">
        <f t="shared" si="23"/>
        <v>115.85059098656868</v>
      </c>
      <c r="H375" s="165">
        <v>1978.374999999977</v>
      </c>
      <c r="I375" s="171">
        <v>34.921999999999997</v>
      </c>
      <c r="J375" s="163" t="s">
        <v>246</v>
      </c>
      <c r="N375" s="165">
        <f t="shared" si="24"/>
        <v>1978.374999999977</v>
      </c>
      <c r="O375" s="167">
        <v>64.5</v>
      </c>
      <c r="P375" s="163" t="s">
        <v>241</v>
      </c>
    </row>
    <row r="376" spans="1:16" ht="13.15">
      <c r="A376" s="164">
        <f t="shared" si="25"/>
        <v>1978.4583333333103</v>
      </c>
      <c r="B376" s="164">
        <f t="shared" si="23"/>
        <v>116.32973794105219</v>
      </c>
      <c r="H376" s="165">
        <v>1978.4583333333103</v>
      </c>
      <c r="I376" s="171">
        <v>35.447000000000003</v>
      </c>
      <c r="J376" s="163" t="s">
        <v>246</v>
      </c>
      <c r="N376" s="165">
        <f t="shared" si="24"/>
        <v>1978.4583333333103</v>
      </c>
      <c r="O376" s="167">
        <v>65.2</v>
      </c>
      <c r="P376" s="163" t="s">
        <v>241</v>
      </c>
    </row>
    <row r="377" spans="1:16" ht="13.15">
      <c r="A377" s="164">
        <f t="shared" si="25"/>
        <v>1978.5416666666436</v>
      </c>
      <c r="B377" s="164">
        <f t="shared" si="23"/>
        <v>117.06958009679072</v>
      </c>
      <c r="H377" s="165">
        <v>1978.5416666666436</v>
      </c>
      <c r="I377" s="171">
        <v>35.945999999999998</v>
      </c>
      <c r="J377" s="163" t="s">
        <v>246</v>
      </c>
      <c r="N377" s="165">
        <f t="shared" si="24"/>
        <v>1978.5416666666436</v>
      </c>
      <c r="O377" s="167">
        <v>65.7</v>
      </c>
      <c r="P377" s="163" t="s">
        <v>241</v>
      </c>
    </row>
    <row r="378" spans="1:16" ht="13.15">
      <c r="A378" s="164">
        <f t="shared" si="25"/>
        <v>1978.6249999999768</v>
      </c>
      <c r="B378" s="164">
        <f t="shared" si="23"/>
        <v>118.07740242920467</v>
      </c>
      <c r="H378" s="165">
        <v>1978.6249999999768</v>
      </c>
      <c r="I378" s="171">
        <v>36.420999999999999</v>
      </c>
      <c r="J378" s="163" t="s">
        <v>246</v>
      </c>
      <c r="N378" s="165">
        <f t="shared" si="24"/>
        <v>1978.6249999999768</v>
      </c>
      <c r="O378" s="167">
        <v>66</v>
      </c>
      <c r="P378" s="163" t="s">
        <v>241</v>
      </c>
    </row>
    <row r="379" spans="1:16" ht="13.15">
      <c r="A379" s="164">
        <f t="shared" si="25"/>
        <v>1978.7083333333101</v>
      </c>
      <c r="B379" s="164">
        <f t="shared" si="23"/>
        <v>118.42517549585804</v>
      </c>
      <c r="H379" s="165">
        <v>1978.7083333333101</v>
      </c>
      <c r="I379" s="171">
        <v>36.805</v>
      </c>
      <c r="J379" s="163" t="s">
        <v>246</v>
      </c>
      <c r="N379" s="165">
        <f t="shared" si="24"/>
        <v>1978.7083333333101</v>
      </c>
      <c r="O379" s="167">
        <v>66.5</v>
      </c>
      <c r="P379" s="163" t="s">
        <v>241</v>
      </c>
    </row>
    <row r="380" spans="1:16" ht="13.15">
      <c r="A380" s="164">
        <f t="shared" si="25"/>
        <v>1978.7916666666433</v>
      </c>
      <c r="B380" s="164">
        <f t="shared" ref="B380:B443" si="26">100*(I380/O380)/(I$8/O$8)</f>
        <v>118.51103512733725</v>
      </c>
      <c r="H380" s="165">
        <v>1978.7916666666433</v>
      </c>
      <c r="I380" s="171">
        <v>37.164000000000001</v>
      </c>
      <c r="J380" s="163" t="s">
        <v>246</v>
      </c>
      <c r="N380" s="165">
        <f t="shared" si="24"/>
        <v>1978.7916666666433</v>
      </c>
      <c r="O380" s="167">
        <v>67.099999999999994</v>
      </c>
      <c r="P380" s="163" t="s">
        <v>241</v>
      </c>
    </row>
    <row r="381" spans="1:16" ht="13.15">
      <c r="A381" s="164">
        <f t="shared" si="25"/>
        <v>1978.8749999999766</v>
      </c>
      <c r="B381" s="164">
        <f t="shared" si="26"/>
        <v>119.22800965483843</v>
      </c>
      <c r="H381" s="165">
        <v>1978.8749999999766</v>
      </c>
      <c r="I381" s="171">
        <v>37.555999999999997</v>
      </c>
      <c r="J381" s="163" t="s">
        <v>246</v>
      </c>
      <c r="N381" s="165">
        <f t="shared" si="24"/>
        <v>1978.8749999999766</v>
      </c>
      <c r="O381" s="167">
        <v>67.400000000000006</v>
      </c>
      <c r="P381" s="163" t="s">
        <v>241</v>
      </c>
    </row>
    <row r="382" spans="1:16" ht="13.15">
      <c r="A382" s="164">
        <f t="shared" si="25"/>
        <v>1978.9583333333098</v>
      </c>
      <c r="B382" s="164">
        <f t="shared" si="26"/>
        <v>120.09982074631534</v>
      </c>
      <c r="H382" s="165">
        <v>1978.9583333333098</v>
      </c>
      <c r="I382" s="171">
        <v>37.999000000000002</v>
      </c>
      <c r="J382" s="163" t="s">
        <v>246</v>
      </c>
      <c r="N382" s="165">
        <f t="shared" si="24"/>
        <v>1978.9583333333098</v>
      </c>
      <c r="O382" s="167">
        <v>67.7</v>
      </c>
      <c r="P382" s="163" t="s">
        <v>241</v>
      </c>
    </row>
    <row r="383" spans="1:16" ht="13.15">
      <c r="A383" s="164">
        <f t="shared" si="25"/>
        <v>1979.0416666666431</v>
      </c>
      <c r="B383" s="164">
        <f t="shared" si="26"/>
        <v>120.62058938360852</v>
      </c>
      <c r="H383" s="165">
        <v>1979.0416666666431</v>
      </c>
      <c r="I383" s="171">
        <v>38.502000000000002</v>
      </c>
      <c r="J383" s="163" t="s">
        <v>246</v>
      </c>
      <c r="N383" s="165">
        <f t="shared" si="24"/>
        <v>1979.0416666666431</v>
      </c>
      <c r="O383" s="167">
        <v>68.3</v>
      </c>
      <c r="P383" s="163" t="s">
        <v>241</v>
      </c>
    </row>
    <row r="384" spans="1:16" ht="13.15">
      <c r="A384" s="164">
        <f t="shared" si="25"/>
        <v>1979.1249999999764</v>
      </c>
      <c r="B384" s="164">
        <f t="shared" si="26"/>
        <v>120.71666010811084</v>
      </c>
      <c r="H384" s="165">
        <v>1979.1249999999764</v>
      </c>
      <c r="I384" s="171">
        <v>38.984000000000002</v>
      </c>
      <c r="J384" s="163" t="s">
        <v>246</v>
      </c>
      <c r="N384" s="165">
        <f t="shared" si="24"/>
        <v>1979.1249999999764</v>
      </c>
      <c r="O384" s="167">
        <v>69.099999999999994</v>
      </c>
      <c r="P384" s="163" t="s">
        <v>241</v>
      </c>
    </row>
    <row r="385" spans="1:16" ht="13.15">
      <c r="A385" s="164">
        <f t="shared" si="25"/>
        <v>1979.2083333333096</v>
      </c>
      <c r="B385" s="164">
        <f t="shared" si="26"/>
        <v>121.10010234782128</v>
      </c>
      <c r="H385" s="165">
        <v>1979.2083333333096</v>
      </c>
      <c r="I385" s="171">
        <v>39.503999999999998</v>
      </c>
      <c r="J385" s="163" t="s">
        <v>246</v>
      </c>
      <c r="N385" s="165">
        <f t="shared" si="24"/>
        <v>1979.2083333333096</v>
      </c>
      <c r="O385" s="167">
        <v>69.8</v>
      </c>
      <c r="P385" s="163" t="s">
        <v>241</v>
      </c>
    </row>
    <row r="386" spans="1:16" ht="13.15">
      <c r="A386" s="164">
        <f t="shared" si="25"/>
        <v>1979.2916666666429</v>
      </c>
      <c r="B386" s="164">
        <f t="shared" si="26"/>
        <v>121.28568323834055</v>
      </c>
      <c r="H386" s="165">
        <v>1979.2916666666429</v>
      </c>
      <c r="I386" s="171">
        <v>40.018000000000001</v>
      </c>
      <c r="J386" s="163" t="s">
        <v>246</v>
      </c>
      <c r="N386" s="165">
        <f t="shared" si="24"/>
        <v>1979.2916666666429</v>
      </c>
      <c r="O386" s="167">
        <v>70.599999999999994</v>
      </c>
      <c r="P386" s="163" t="s">
        <v>241</v>
      </c>
    </row>
    <row r="387" spans="1:16" ht="13.15">
      <c r="A387" s="164">
        <f t="shared" si="25"/>
        <v>1979.3749999999761</v>
      </c>
      <c r="B387" s="164">
        <f t="shared" si="26"/>
        <v>121.3211624184684</v>
      </c>
      <c r="H387" s="165">
        <v>1979.3749999999761</v>
      </c>
      <c r="I387" s="171">
        <v>40.54</v>
      </c>
      <c r="J387" s="163" t="s">
        <v>246</v>
      </c>
      <c r="N387" s="165">
        <f t="shared" si="24"/>
        <v>1979.3749999999761</v>
      </c>
      <c r="O387" s="167">
        <v>71.5</v>
      </c>
      <c r="P387" s="163" t="s">
        <v>241</v>
      </c>
    </row>
    <row r="388" spans="1:16" ht="13.15">
      <c r="A388" s="164">
        <f t="shared" si="25"/>
        <v>1979.4583333333094</v>
      </c>
      <c r="B388" s="164">
        <f t="shared" si="26"/>
        <v>121.49993368837356</v>
      </c>
      <c r="H388" s="165">
        <v>1979.4583333333094</v>
      </c>
      <c r="I388" s="171">
        <v>41.054000000000002</v>
      </c>
      <c r="J388" s="163" t="s">
        <v>246</v>
      </c>
      <c r="N388" s="165">
        <f t="shared" si="24"/>
        <v>1979.4583333333094</v>
      </c>
      <c r="O388" s="167">
        <v>72.3</v>
      </c>
      <c r="P388" s="163" t="s">
        <v>241</v>
      </c>
    </row>
    <row r="389" spans="1:16" ht="13.15">
      <c r="A389" s="164">
        <f t="shared" si="25"/>
        <v>1979.5416666666426</v>
      </c>
      <c r="B389" s="164">
        <f t="shared" si="26"/>
        <v>121.51380008958013</v>
      </c>
      <c r="H389" s="165">
        <v>1979.5416666666426</v>
      </c>
      <c r="I389" s="171">
        <v>41.512999999999998</v>
      </c>
      <c r="J389" s="163" t="s">
        <v>246</v>
      </c>
      <c r="N389" s="165">
        <f t="shared" si="24"/>
        <v>1979.5416666666426</v>
      </c>
      <c r="O389" s="167">
        <v>73.099999999999994</v>
      </c>
      <c r="P389" s="163" t="s">
        <v>241</v>
      </c>
    </row>
    <row r="390" spans="1:16" ht="13.15">
      <c r="A390" s="164">
        <f t="shared" si="25"/>
        <v>1979.6249999999759</v>
      </c>
      <c r="B390" s="164">
        <f t="shared" si="26"/>
        <v>121.57026427936815</v>
      </c>
      <c r="H390" s="165">
        <v>1979.6249999999759</v>
      </c>
      <c r="I390" s="171">
        <v>41.93</v>
      </c>
      <c r="J390" s="163" t="s">
        <v>246</v>
      </c>
      <c r="N390" s="165">
        <f t="shared" si="24"/>
        <v>1979.6249999999759</v>
      </c>
      <c r="O390" s="167">
        <v>73.8</v>
      </c>
      <c r="P390" s="163" t="s">
        <v>241</v>
      </c>
    </row>
    <row r="391" spans="1:16" ht="13.15">
      <c r="A391" s="164">
        <f t="shared" si="25"/>
        <v>1979.7083333333092</v>
      </c>
      <c r="B391" s="164">
        <f t="shared" si="26"/>
        <v>121.28192929854804</v>
      </c>
      <c r="H391" s="165">
        <v>1979.7083333333092</v>
      </c>
      <c r="I391" s="171">
        <v>42.283999999999999</v>
      </c>
      <c r="J391" s="163" t="s">
        <v>246</v>
      </c>
      <c r="N391" s="165">
        <f t="shared" si="24"/>
        <v>1979.7083333333092</v>
      </c>
      <c r="O391" s="167">
        <v>74.599999999999994</v>
      </c>
      <c r="P391" s="163" t="s">
        <v>241</v>
      </c>
    </row>
    <row r="392" spans="1:16" ht="13.15">
      <c r="A392" s="164">
        <f t="shared" si="25"/>
        <v>1979.7916666666424</v>
      </c>
      <c r="B392" s="164">
        <f t="shared" si="26"/>
        <v>121.37558289155224</v>
      </c>
      <c r="H392" s="165">
        <v>1979.7916666666424</v>
      </c>
      <c r="I392" s="171">
        <v>42.656999999999996</v>
      </c>
      <c r="J392" s="163" t="s">
        <v>246</v>
      </c>
      <c r="N392" s="165">
        <f t="shared" si="24"/>
        <v>1979.7916666666424</v>
      </c>
      <c r="O392" s="167">
        <v>75.2</v>
      </c>
      <c r="P392" s="163" t="s">
        <v>241</v>
      </c>
    </row>
    <row r="393" spans="1:16" ht="13.15">
      <c r="A393" s="164">
        <f t="shared" si="25"/>
        <v>1979.8749999999757</v>
      </c>
      <c r="B393" s="164">
        <f t="shared" si="26"/>
        <v>121.11601556110107</v>
      </c>
      <c r="H393" s="165">
        <v>1979.8749999999757</v>
      </c>
      <c r="I393" s="171">
        <v>42.962000000000003</v>
      </c>
      <c r="J393" s="163" t="s">
        <v>246</v>
      </c>
      <c r="N393" s="165">
        <f t="shared" ref="N393:N456" si="27">N392+1/12</f>
        <v>1979.8749999999757</v>
      </c>
      <c r="O393" s="167">
        <v>75.900000000000006</v>
      </c>
      <c r="P393" s="163" t="s">
        <v>241</v>
      </c>
    </row>
    <row r="394" spans="1:16" ht="13.15">
      <c r="A394" s="164">
        <f t="shared" si="25"/>
        <v>1979.9583333333089</v>
      </c>
      <c r="B394" s="164">
        <f t="shared" si="26"/>
        <v>120.57528778811228</v>
      </c>
      <c r="H394" s="165">
        <v>1979.9583333333089</v>
      </c>
      <c r="I394" s="171">
        <v>43.220999999999997</v>
      </c>
      <c r="J394" s="163" t="s">
        <v>246</v>
      </c>
      <c r="N394" s="165">
        <f t="shared" si="27"/>
        <v>1979.9583333333089</v>
      </c>
      <c r="O394" s="167">
        <v>76.7</v>
      </c>
      <c r="P394" s="163" t="s">
        <v>241</v>
      </c>
    </row>
    <row r="395" spans="1:16" ht="13.15">
      <c r="A395" s="164">
        <f t="shared" si="25"/>
        <v>1980.0416666666422</v>
      </c>
      <c r="B395" s="164">
        <f t="shared" si="26"/>
        <v>119.47831097392528</v>
      </c>
      <c r="H395" s="165">
        <v>1980.0416666666422</v>
      </c>
      <c r="I395" s="171">
        <v>43.442</v>
      </c>
      <c r="J395" s="163" t="s">
        <v>246</v>
      </c>
      <c r="N395" s="165">
        <f t="shared" si="27"/>
        <v>1980.0416666666422</v>
      </c>
      <c r="O395" s="167">
        <v>77.8</v>
      </c>
      <c r="P395" s="163" t="s">
        <v>241</v>
      </c>
    </row>
    <row r="396" spans="1:16" ht="13.15">
      <c r="A396" s="164">
        <f t="shared" si="25"/>
        <v>1980.1249999999754</v>
      </c>
      <c r="B396" s="164">
        <f t="shared" si="26"/>
        <v>118.49870403515182</v>
      </c>
      <c r="H396" s="165">
        <v>1980.1249999999754</v>
      </c>
      <c r="I396" s="171">
        <v>43.695</v>
      </c>
      <c r="J396" s="163" t="s">
        <v>246</v>
      </c>
      <c r="N396" s="165">
        <f t="shared" si="27"/>
        <v>1980.1249999999754</v>
      </c>
      <c r="O396" s="167">
        <v>78.900000000000006</v>
      </c>
      <c r="P396" s="163" t="s">
        <v>241</v>
      </c>
    </row>
    <row r="397" spans="1:16" ht="13.15">
      <c r="A397" s="164">
        <f t="shared" si="25"/>
        <v>1980.2083333333087</v>
      </c>
      <c r="B397" s="164">
        <f t="shared" si="26"/>
        <v>117.7198458944635</v>
      </c>
      <c r="H397" s="165">
        <v>1980.2083333333087</v>
      </c>
      <c r="I397" s="171">
        <v>44.067999999999998</v>
      </c>
      <c r="J397" s="163" t="s">
        <v>246</v>
      </c>
      <c r="N397" s="165">
        <f t="shared" si="27"/>
        <v>1980.2083333333087</v>
      </c>
      <c r="O397" s="167">
        <v>80.099999999999994</v>
      </c>
      <c r="P397" s="163" t="s">
        <v>241</v>
      </c>
    </row>
    <row r="398" spans="1:16" ht="13.15">
      <c r="A398" s="164">
        <f t="shared" si="25"/>
        <v>1980.291666666642</v>
      </c>
      <c r="B398" s="164">
        <f t="shared" si="26"/>
        <v>117.50548709365822</v>
      </c>
      <c r="H398" s="165">
        <v>1980.291666666642</v>
      </c>
      <c r="I398" s="171">
        <v>44.481999999999999</v>
      </c>
      <c r="J398" s="163" t="s">
        <v>246</v>
      </c>
      <c r="N398" s="165">
        <f t="shared" si="27"/>
        <v>1980.291666666642</v>
      </c>
      <c r="O398" s="167">
        <v>81</v>
      </c>
      <c r="P398" s="163" t="s">
        <v>241</v>
      </c>
    </row>
    <row r="399" spans="1:16" ht="13.15">
      <c r="A399" s="164">
        <f t="shared" si="25"/>
        <v>1980.3749999999752</v>
      </c>
      <c r="B399" s="164">
        <f t="shared" si="26"/>
        <v>117.18026811320377</v>
      </c>
      <c r="H399" s="165">
        <v>1980.3749999999752</v>
      </c>
      <c r="I399" s="171">
        <v>44.796999999999997</v>
      </c>
      <c r="J399" s="163" t="s">
        <v>246</v>
      </c>
      <c r="N399" s="165">
        <f t="shared" si="27"/>
        <v>1980.3749999999752</v>
      </c>
      <c r="O399" s="167">
        <v>81.8</v>
      </c>
      <c r="P399" s="163" t="s">
        <v>241</v>
      </c>
    </row>
    <row r="400" spans="1:16" ht="13.15">
      <c r="A400" s="164">
        <f t="shared" si="25"/>
        <v>1980.4583333333085</v>
      </c>
      <c r="B400" s="164">
        <f t="shared" si="26"/>
        <v>116.60878563701206</v>
      </c>
      <c r="H400" s="165">
        <v>1980.4583333333085</v>
      </c>
      <c r="I400" s="171">
        <v>45.069000000000003</v>
      </c>
      <c r="J400" s="163" t="s">
        <v>246</v>
      </c>
      <c r="N400" s="165">
        <f t="shared" si="27"/>
        <v>1980.4583333333085</v>
      </c>
      <c r="O400" s="167">
        <v>82.7</v>
      </c>
      <c r="P400" s="163" t="s">
        <v>241</v>
      </c>
    </row>
    <row r="401" spans="1:16" ht="13.15">
      <c r="A401" s="164">
        <f t="shared" si="25"/>
        <v>1980.5416666666417</v>
      </c>
      <c r="B401" s="164">
        <f t="shared" si="26"/>
        <v>117.4186227735002</v>
      </c>
      <c r="H401" s="165">
        <v>1980.5416666666417</v>
      </c>
      <c r="I401" s="171">
        <v>45.381999999999998</v>
      </c>
      <c r="J401" s="163" t="s">
        <v>246</v>
      </c>
      <c r="N401" s="165">
        <f t="shared" si="27"/>
        <v>1980.5416666666417</v>
      </c>
      <c r="O401" s="167">
        <v>82.7</v>
      </c>
      <c r="P401" s="163" t="s">
        <v>241</v>
      </c>
    </row>
    <row r="402" spans="1:16" ht="13.15">
      <c r="A402" s="164">
        <f t="shared" si="25"/>
        <v>1980.624999999975</v>
      </c>
      <c r="B402" s="164">
        <f t="shared" si="26"/>
        <v>117.25614533290218</v>
      </c>
      <c r="H402" s="165">
        <v>1980.624999999975</v>
      </c>
      <c r="I402" s="171">
        <v>45.648000000000003</v>
      </c>
      <c r="J402" s="163" t="s">
        <v>246</v>
      </c>
      <c r="N402" s="165">
        <f t="shared" si="27"/>
        <v>1980.624999999975</v>
      </c>
      <c r="O402" s="167">
        <v>83.3</v>
      </c>
      <c r="P402" s="163" t="s">
        <v>241</v>
      </c>
    </row>
    <row r="403" spans="1:16" ht="13.15">
      <c r="A403" s="164">
        <f t="shared" si="25"/>
        <v>1980.7083333333082</v>
      </c>
      <c r="B403" s="164">
        <f t="shared" si="26"/>
        <v>116.83686881866356</v>
      </c>
      <c r="H403" s="165">
        <v>1980.7083333333082</v>
      </c>
      <c r="I403" s="171">
        <v>45.866999999999997</v>
      </c>
      <c r="J403" s="163" t="s">
        <v>246</v>
      </c>
      <c r="N403" s="165">
        <f t="shared" si="27"/>
        <v>1980.7083333333082</v>
      </c>
      <c r="O403" s="167">
        <v>84</v>
      </c>
      <c r="P403" s="163" t="s">
        <v>241</v>
      </c>
    </row>
    <row r="404" spans="1:16" ht="13.15">
      <c r="A404" s="164">
        <f t="shared" si="25"/>
        <v>1980.7916666666415</v>
      </c>
      <c r="B404" s="164">
        <f t="shared" si="26"/>
        <v>116.19639185558307</v>
      </c>
      <c r="H404" s="165">
        <v>1980.7916666666415</v>
      </c>
      <c r="I404" s="171">
        <v>46.05</v>
      </c>
      <c r="J404" s="163" t="s">
        <v>246</v>
      </c>
      <c r="N404" s="165">
        <f t="shared" si="27"/>
        <v>1980.7916666666415</v>
      </c>
      <c r="O404" s="167">
        <v>84.8</v>
      </c>
      <c r="P404" s="163" t="s">
        <v>241</v>
      </c>
    </row>
    <row r="405" spans="1:16" ht="13.15">
      <c r="A405" s="164">
        <f t="shared" si="25"/>
        <v>1980.8749999999748</v>
      </c>
      <c r="B405" s="164">
        <f t="shared" si="26"/>
        <v>115.70305354314792</v>
      </c>
      <c r="H405" s="165">
        <v>1980.8749999999748</v>
      </c>
      <c r="I405" s="171">
        <v>46.232999999999997</v>
      </c>
      <c r="J405" s="163" t="s">
        <v>246</v>
      </c>
      <c r="N405" s="165">
        <f t="shared" si="27"/>
        <v>1980.8749999999748</v>
      </c>
      <c r="O405" s="167">
        <v>85.5</v>
      </c>
      <c r="P405" s="163" t="s">
        <v>241</v>
      </c>
    </row>
    <row r="406" spans="1:16" ht="13.15">
      <c r="A406" s="164">
        <f t="shared" si="25"/>
        <v>1980.958333333308</v>
      </c>
      <c r="B406" s="164">
        <f t="shared" si="26"/>
        <v>115.08917812759019</v>
      </c>
      <c r="H406" s="165">
        <v>1980.958333333308</v>
      </c>
      <c r="I406" s="171">
        <v>46.417999999999999</v>
      </c>
      <c r="J406" s="163" t="s">
        <v>246</v>
      </c>
      <c r="N406" s="165">
        <f t="shared" si="27"/>
        <v>1980.958333333308</v>
      </c>
      <c r="O406" s="167">
        <v>86.3</v>
      </c>
      <c r="P406" s="163" t="s">
        <v>241</v>
      </c>
    </row>
    <row r="407" spans="1:16" ht="13.15">
      <c r="A407" s="164">
        <f t="shared" si="25"/>
        <v>1981.0416666666413</v>
      </c>
      <c r="B407" s="164">
        <f t="shared" si="26"/>
        <v>114.52471373615464</v>
      </c>
      <c r="H407" s="165">
        <v>1981.0416666666413</v>
      </c>
      <c r="I407" s="171">
        <v>46.564999999999998</v>
      </c>
      <c r="J407" s="163" t="s">
        <v>246</v>
      </c>
      <c r="N407" s="165">
        <f t="shared" si="27"/>
        <v>1981.0416666666413</v>
      </c>
      <c r="O407" s="167">
        <v>87</v>
      </c>
      <c r="P407" s="163" t="s">
        <v>241</v>
      </c>
    </row>
    <row r="408" spans="1:16" ht="13.15">
      <c r="A408" s="164">
        <f t="shared" si="25"/>
        <v>1981.1249999999745</v>
      </c>
      <c r="B408" s="164">
        <f t="shared" si="26"/>
        <v>113.81461836442314</v>
      </c>
      <c r="H408" s="165">
        <v>1981.1249999999745</v>
      </c>
      <c r="I408" s="171">
        <v>46.755000000000003</v>
      </c>
      <c r="J408" s="163" t="s">
        <v>246</v>
      </c>
      <c r="N408" s="165">
        <f t="shared" si="27"/>
        <v>1981.1249999999745</v>
      </c>
      <c r="O408" s="167">
        <v>87.9</v>
      </c>
      <c r="P408" s="163" t="s">
        <v>241</v>
      </c>
    </row>
    <row r="409" spans="1:16" ht="13.15">
      <c r="A409" s="164">
        <f t="shared" si="25"/>
        <v>1981.2083333333078</v>
      </c>
      <c r="B409" s="164">
        <f t="shared" si="26"/>
        <v>113.71513482951607</v>
      </c>
      <c r="H409" s="165">
        <v>1981.2083333333078</v>
      </c>
      <c r="I409" s="171">
        <v>47.033000000000001</v>
      </c>
      <c r="J409" s="163" t="s">
        <v>246</v>
      </c>
      <c r="N409" s="165">
        <f t="shared" si="27"/>
        <v>1981.2083333333078</v>
      </c>
      <c r="O409" s="167">
        <v>88.5</v>
      </c>
      <c r="P409" s="163" t="s">
        <v>241</v>
      </c>
    </row>
    <row r="410" spans="1:16" ht="13.15">
      <c r="A410" s="164">
        <f t="shared" si="25"/>
        <v>1981.291666666641</v>
      </c>
      <c r="B410" s="164">
        <f t="shared" si="26"/>
        <v>113.95320002945373</v>
      </c>
      <c r="H410" s="165">
        <v>1981.291666666641</v>
      </c>
      <c r="I410" s="171">
        <v>47.451000000000001</v>
      </c>
      <c r="J410" s="163" t="s">
        <v>246</v>
      </c>
      <c r="N410" s="165">
        <f t="shared" si="27"/>
        <v>1981.291666666641</v>
      </c>
      <c r="O410" s="167">
        <v>89.1</v>
      </c>
      <c r="P410" s="163" t="s">
        <v>241</v>
      </c>
    </row>
    <row r="411" spans="1:16" ht="13.15">
      <c r="A411" s="164">
        <f t="shared" si="25"/>
        <v>1981.3749999999743</v>
      </c>
      <c r="B411" s="164">
        <f t="shared" si="26"/>
        <v>113.84885546660756</v>
      </c>
      <c r="H411" s="165">
        <v>1981.3749999999743</v>
      </c>
      <c r="I411" s="171">
        <v>47.78</v>
      </c>
      <c r="J411" s="163" t="s">
        <v>246</v>
      </c>
      <c r="N411" s="165">
        <f t="shared" si="27"/>
        <v>1981.3749999999743</v>
      </c>
      <c r="O411" s="167">
        <v>89.8</v>
      </c>
      <c r="P411" s="163" t="s">
        <v>241</v>
      </c>
    </row>
    <row r="412" spans="1:16" ht="13.15">
      <c r="A412" s="164">
        <f t="shared" si="25"/>
        <v>1981.4583333333076</v>
      </c>
      <c r="B412" s="164">
        <f t="shared" si="26"/>
        <v>113.57334282910115</v>
      </c>
      <c r="H412" s="165">
        <v>1981.4583333333076</v>
      </c>
      <c r="I412" s="171">
        <v>48.088999999999999</v>
      </c>
      <c r="J412" s="163" t="s">
        <v>246</v>
      </c>
      <c r="N412" s="165">
        <f t="shared" si="27"/>
        <v>1981.4583333333076</v>
      </c>
      <c r="O412" s="167">
        <v>90.6</v>
      </c>
      <c r="P412" s="163" t="s">
        <v>241</v>
      </c>
    </row>
    <row r="413" spans="1:16" ht="13.15">
      <c r="A413" s="164">
        <f t="shared" si="25"/>
        <v>1981.5416666666408</v>
      </c>
      <c r="B413" s="164">
        <f t="shared" si="26"/>
        <v>112.91277456553712</v>
      </c>
      <c r="H413" s="165">
        <v>1981.5416666666408</v>
      </c>
      <c r="I413" s="171">
        <v>48.337000000000003</v>
      </c>
      <c r="J413" s="163" t="s">
        <v>246</v>
      </c>
      <c r="N413" s="165">
        <f t="shared" si="27"/>
        <v>1981.5416666666408</v>
      </c>
      <c r="O413" s="167">
        <v>91.6</v>
      </c>
      <c r="P413" s="163" t="s">
        <v>241</v>
      </c>
    </row>
    <row r="414" spans="1:16" ht="13.15">
      <c r="A414" s="164">
        <f t="shared" si="25"/>
        <v>1981.6249999999741</v>
      </c>
      <c r="B414" s="164">
        <f t="shared" si="26"/>
        <v>112.63136988179674</v>
      </c>
      <c r="H414" s="165">
        <v>1981.6249999999741</v>
      </c>
      <c r="I414" s="171">
        <v>48.585000000000001</v>
      </c>
      <c r="J414" s="163" t="s">
        <v>246</v>
      </c>
      <c r="N414" s="165">
        <f t="shared" si="27"/>
        <v>1981.6249999999741</v>
      </c>
      <c r="O414" s="167">
        <v>92.3</v>
      </c>
      <c r="P414" s="163" t="s">
        <v>241</v>
      </c>
    </row>
    <row r="415" spans="1:16" ht="13.15">
      <c r="A415" s="164">
        <f t="shared" si="25"/>
        <v>1981.7083333333073</v>
      </c>
      <c r="B415" s="164">
        <f t="shared" si="26"/>
        <v>111.7526499775874</v>
      </c>
      <c r="H415" s="165">
        <v>1981.7083333333073</v>
      </c>
      <c r="I415" s="171">
        <v>48.676000000000002</v>
      </c>
      <c r="J415" s="163" t="s">
        <v>246</v>
      </c>
      <c r="N415" s="165">
        <f t="shared" si="27"/>
        <v>1981.7083333333073</v>
      </c>
      <c r="O415" s="167">
        <v>93.2</v>
      </c>
      <c r="P415" s="163" t="s">
        <v>241</v>
      </c>
    </row>
    <row r="416" spans="1:16" ht="13.15">
      <c r="A416" s="164">
        <f t="shared" si="25"/>
        <v>1981.7916666666406</v>
      </c>
      <c r="B416" s="164">
        <f t="shared" si="26"/>
        <v>111.65997051679855</v>
      </c>
      <c r="H416" s="165">
        <v>1981.7916666666406</v>
      </c>
      <c r="I416" s="171">
        <v>48.74</v>
      </c>
      <c r="J416" s="163" t="s">
        <v>246</v>
      </c>
      <c r="N416" s="165">
        <f t="shared" si="27"/>
        <v>1981.7916666666406</v>
      </c>
      <c r="O416" s="167">
        <v>93.4</v>
      </c>
      <c r="P416" s="163" t="s">
        <v>241</v>
      </c>
    </row>
    <row r="417" spans="1:16" ht="13.15">
      <c r="A417" s="164">
        <f t="shared" si="25"/>
        <v>1981.8749999999739</v>
      </c>
      <c r="B417" s="164">
        <f t="shared" si="26"/>
        <v>111.309318731038</v>
      </c>
      <c r="H417" s="165">
        <v>1981.8749999999739</v>
      </c>
      <c r="I417" s="171">
        <v>48.743000000000002</v>
      </c>
      <c r="J417" s="163" t="s">
        <v>246</v>
      </c>
      <c r="N417" s="165">
        <f t="shared" si="27"/>
        <v>1981.8749999999739</v>
      </c>
      <c r="O417" s="167">
        <v>93.7</v>
      </c>
      <c r="P417" s="163" t="s">
        <v>241</v>
      </c>
    </row>
    <row r="418" spans="1:16" ht="13.15">
      <c r="A418" s="164">
        <f t="shared" si="25"/>
        <v>1981.9583333333071</v>
      </c>
      <c r="B418" s="164">
        <f t="shared" si="26"/>
        <v>111.04512854065864</v>
      </c>
      <c r="H418" s="165">
        <v>1981.9583333333071</v>
      </c>
      <c r="I418" s="171">
        <v>48.783000000000001</v>
      </c>
      <c r="J418" s="163" t="s">
        <v>246</v>
      </c>
      <c r="N418" s="165">
        <f t="shared" si="27"/>
        <v>1981.9583333333071</v>
      </c>
      <c r="O418" s="167">
        <v>94</v>
      </c>
      <c r="P418" s="163" t="s">
        <v>241</v>
      </c>
    </row>
    <row r="419" spans="1:16" ht="13.15">
      <c r="A419" s="164">
        <f t="shared" si="25"/>
        <v>1982.0416666666404</v>
      </c>
      <c r="B419" s="164">
        <f t="shared" si="26"/>
        <v>110.76673584245944</v>
      </c>
      <c r="H419" s="165">
        <v>1982.0416666666404</v>
      </c>
      <c r="I419" s="171">
        <v>48.816000000000003</v>
      </c>
      <c r="J419" s="163" t="s">
        <v>246</v>
      </c>
      <c r="N419" s="165">
        <f t="shared" si="27"/>
        <v>1982.0416666666404</v>
      </c>
      <c r="O419" s="167">
        <v>94.3</v>
      </c>
      <c r="P419" s="163" t="s">
        <v>241</v>
      </c>
    </row>
    <row r="420" spans="1:16" ht="13.15">
      <c r="A420" s="164">
        <f t="shared" si="25"/>
        <v>1982.1249999999736</v>
      </c>
      <c r="B420" s="164">
        <f t="shared" si="26"/>
        <v>110.59415488845811</v>
      </c>
      <c r="H420" s="165">
        <v>1982.1249999999736</v>
      </c>
      <c r="I420" s="171">
        <v>48.895000000000003</v>
      </c>
      <c r="J420" s="163" t="s">
        <v>246</v>
      </c>
      <c r="N420" s="165">
        <f t="shared" si="27"/>
        <v>1982.1249999999736</v>
      </c>
      <c r="O420" s="167">
        <v>94.6</v>
      </c>
      <c r="P420" s="163" t="s">
        <v>241</v>
      </c>
    </row>
    <row r="421" spans="1:16" ht="13.15">
      <c r="A421" s="164">
        <f t="shared" si="25"/>
        <v>1982.2083333333069</v>
      </c>
      <c r="B421" s="164">
        <f t="shared" si="26"/>
        <v>110.64778634964634</v>
      </c>
      <c r="H421" s="165">
        <v>1982.2083333333069</v>
      </c>
      <c r="I421" s="171">
        <v>48.866999999999997</v>
      </c>
      <c r="J421" s="163" t="s">
        <v>246</v>
      </c>
      <c r="N421" s="165">
        <f t="shared" si="27"/>
        <v>1982.2083333333069</v>
      </c>
      <c r="O421" s="167">
        <v>94.5</v>
      </c>
      <c r="P421" s="163" t="s">
        <v>241</v>
      </c>
    </row>
    <row r="422" spans="1:16" ht="13.15">
      <c r="A422" s="164">
        <f t="shared" si="25"/>
        <v>1982.2916666666401</v>
      </c>
      <c r="B422" s="164">
        <f t="shared" si="26"/>
        <v>110.32345738099399</v>
      </c>
      <c r="H422" s="165">
        <v>1982.2916666666401</v>
      </c>
      <c r="I422" s="171">
        <v>48.93</v>
      </c>
      <c r="J422" s="163" t="s">
        <v>246</v>
      </c>
      <c r="N422" s="165">
        <f t="shared" si="27"/>
        <v>1982.2916666666401</v>
      </c>
      <c r="O422" s="167">
        <v>94.9</v>
      </c>
      <c r="P422" s="163" t="s">
        <v>241</v>
      </c>
    </row>
    <row r="423" spans="1:16" ht="13.15">
      <c r="A423" s="164">
        <f t="shared" si="25"/>
        <v>1982.3749999999734</v>
      </c>
      <c r="B423" s="164">
        <f t="shared" si="26"/>
        <v>109.4277286103453</v>
      </c>
      <c r="H423" s="165">
        <v>1982.3749999999734</v>
      </c>
      <c r="I423" s="171">
        <v>48.993000000000002</v>
      </c>
      <c r="J423" s="163" t="s">
        <v>246</v>
      </c>
      <c r="N423" s="165">
        <f t="shared" si="27"/>
        <v>1982.3749999999734</v>
      </c>
      <c r="O423" s="167">
        <v>95.8</v>
      </c>
      <c r="P423" s="163" t="s">
        <v>241</v>
      </c>
    </row>
    <row r="424" spans="1:16" ht="13.15">
      <c r="A424" s="164">
        <f t="shared" si="25"/>
        <v>1982.4583333333067</v>
      </c>
      <c r="B424" s="164">
        <f t="shared" si="26"/>
        <v>108.06736579424545</v>
      </c>
      <c r="H424" s="165">
        <v>1982.4583333333067</v>
      </c>
      <c r="I424" s="171">
        <v>48.99</v>
      </c>
      <c r="J424" s="163" t="s">
        <v>246</v>
      </c>
      <c r="N424" s="165">
        <f t="shared" si="27"/>
        <v>1982.4583333333067</v>
      </c>
      <c r="O424" s="167">
        <v>97</v>
      </c>
      <c r="P424" s="163" t="s">
        <v>241</v>
      </c>
    </row>
    <row r="425" spans="1:16" ht="13.15">
      <c r="A425" s="164">
        <f t="shared" si="25"/>
        <v>1982.5416666666399</v>
      </c>
      <c r="B425" s="164">
        <f t="shared" si="26"/>
        <v>107.48464444904225</v>
      </c>
      <c r="H425" s="165">
        <v>1982.5416666666399</v>
      </c>
      <c r="I425" s="171">
        <v>48.976999999999997</v>
      </c>
      <c r="J425" s="163" t="s">
        <v>246</v>
      </c>
      <c r="N425" s="165">
        <f t="shared" si="27"/>
        <v>1982.5416666666399</v>
      </c>
      <c r="O425" s="167">
        <v>97.5</v>
      </c>
      <c r="P425" s="163" t="s">
        <v>241</v>
      </c>
    </row>
    <row r="426" spans="1:16" ht="13.15">
      <c r="A426" s="164">
        <f t="shared" si="25"/>
        <v>1982.6249999999732</v>
      </c>
      <c r="B426" s="164">
        <f t="shared" si="26"/>
        <v>107.21862233343604</v>
      </c>
      <c r="H426" s="165">
        <v>1982.6249999999732</v>
      </c>
      <c r="I426" s="171">
        <v>48.956000000000003</v>
      </c>
      <c r="J426" s="163" t="s">
        <v>246</v>
      </c>
      <c r="N426" s="165">
        <f t="shared" si="27"/>
        <v>1982.6249999999732</v>
      </c>
      <c r="O426" s="167">
        <v>97.7</v>
      </c>
      <c r="P426" s="163" t="s">
        <v>241</v>
      </c>
    </row>
    <row r="427" spans="1:16" ht="13.15">
      <c r="A427" s="164">
        <f t="shared" si="25"/>
        <v>1982.7083333333064</v>
      </c>
      <c r="B427" s="164">
        <f t="shared" si="26"/>
        <v>107.03674098068697</v>
      </c>
      <c r="H427" s="165">
        <v>1982.7083333333064</v>
      </c>
      <c r="I427" s="171">
        <v>48.972999999999999</v>
      </c>
      <c r="J427" s="163" t="s">
        <v>246</v>
      </c>
      <c r="N427" s="165">
        <f t="shared" si="27"/>
        <v>1982.7083333333064</v>
      </c>
      <c r="O427" s="167">
        <v>97.9</v>
      </c>
      <c r="P427" s="163" t="s">
        <v>241</v>
      </c>
    </row>
    <row r="428" spans="1:16" ht="13.15">
      <c r="A428" s="164">
        <f t="shared" si="25"/>
        <v>1982.7916666666397</v>
      </c>
      <c r="B428" s="164">
        <f t="shared" si="26"/>
        <v>106.70756587643751</v>
      </c>
      <c r="H428" s="165">
        <v>1982.7916666666397</v>
      </c>
      <c r="I428" s="171">
        <v>48.972000000000001</v>
      </c>
      <c r="J428" s="163" t="s">
        <v>246</v>
      </c>
      <c r="N428" s="165">
        <f t="shared" si="27"/>
        <v>1982.7916666666397</v>
      </c>
      <c r="O428" s="167">
        <v>98.2</v>
      </c>
      <c r="P428" s="163" t="s">
        <v>241</v>
      </c>
    </row>
    <row r="429" spans="1:16" ht="13.15">
      <c r="A429" s="164">
        <f t="shared" si="25"/>
        <v>1982.8749999999729</v>
      </c>
      <c r="B429" s="164">
        <f t="shared" si="26"/>
        <v>106.93188661117794</v>
      </c>
      <c r="H429" s="165">
        <v>1982.8749999999729</v>
      </c>
      <c r="I429" s="171">
        <v>48.975000000000001</v>
      </c>
      <c r="J429" s="163" t="s">
        <v>246</v>
      </c>
      <c r="N429" s="165">
        <f t="shared" si="27"/>
        <v>1982.8749999999729</v>
      </c>
      <c r="O429" s="167">
        <v>98</v>
      </c>
      <c r="P429" s="163" t="s">
        <v>241</v>
      </c>
    </row>
    <row r="430" spans="1:16" ht="13.15">
      <c r="A430" s="164">
        <f t="shared" si="25"/>
        <v>1982.9583333333062</v>
      </c>
      <c r="B430" s="164">
        <f t="shared" si="26"/>
        <v>107.55209674356571</v>
      </c>
      <c r="H430" s="165">
        <v>1982.9583333333062</v>
      </c>
      <c r="I430" s="171">
        <v>49.058</v>
      </c>
      <c r="J430" s="163" t="s">
        <v>246</v>
      </c>
      <c r="N430" s="165">
        <f t="shared" si="27"/>
        <v>1982.9583333333062</v>
      </c>
      <c r="O430" s="167">
        <v>97.6</v>
      </c>
      <c r="P430" s="163" t="s">
        <v>241</v>
      </c>
    </row>
    <row r="431" spans="1:16" ht="13.15">
      <c r="A431" s="164">
        <f t="shared" si="25"/>
        <v>1983.0416666666395</v>
      </c>
      <c r="B431" s="164">
        <f t="shared" si="26"/>
        <v>107.69315110206618</v>
      </c>
      <c r="H431" s="165">
        <v>1983.0416666666395</v>
      </c>
      <c r="I431" s="171">
        <v>49.222999999999999</v>
      </c>
      <c r="J431" s="163" t="s">
        <v>246</v>
      </c>
      <c r="N431" s="165">
        <f t="shared" si="27"/>
        <v>1983.0416666666395</v>
      </c>
      <c r="O431" s="167">
        <v>97.8</v>
      </c>
      <c r="P431" s="163" t="s">
        <v>241</v>
      </c>
    </row>
    <row r="432" spans="1:16" ht="13.15">
      <c r="A432" s="164">
        <f t="shared" si="25"/>
        <v>1983.1249999999727</v>
      </c>
      <c r="B432" s="164">
        <f t="shared" si="26"/>
        <v>108.14266855172053</v>
      </c>
      <c r="H432" s="165">
        <v>1983.1249999999727</v>
      </c>
      <c r="I432" s="171">
        <v>49.478999999999999</v>
      </c>
      <c r="J432" s="163" t="s">
        <v>246</v>
      </c>
      <c r="N432" s="165">
        <f t="shared" si="27"/>
        <v>1983.1249999999727</v>
      </c>
      <c r="O432" s="167">
        <v>97.9</v>
      </c>
      <c r="P432" s="163" t="s">
        <v>241</v>
      </c>
    </row>
    <row r="433" spans="1:16" ht="13.15">
      <c r="A433" s="164">
        <f t="shared" si="25"/>
        <v>1983.208333333306</v>
      </c>
      <c r="B433" s="164">
        <f t="shared" si="26"/>
        <v>108.59290783953263</v>
      </c>
      <c r="H433" s="165">
        <v>1983.208333333306</v>
      </c>
      <c r="I433" s="171">
        <v>49.685000000000002</v>
      </c>
      <c r="J433" s="163" t="s">
        <v>246</v>
      </c>
      <c r="N433" s="165">
        <f t="shared" si="27"/>
        <v>1983.208333333306</v>
      </c>
      <c r="O433" s="167">
        <v>97.9</v>
      </c>
      <c r="P433" s="163" t="s">
        <v>241</v>
      </c>
    </row>
    <row r="434" spans="1:16" ht="13.15">
      <c r="A434" s="164">
        <f t="shared" si="25"/>
        <v>1983.2916666666392</v>
      </c>
      <c r="B434" s="164">
        <f t="shared" si="26"/>
        <v>108.37751268683179</v>
      </c>
      <c r="H434" s="165">
        <v>1983.2916666666392</v>
      </c>
      <c r="I434" s="171">
        <v>49.941000000000003</v>
      </c>
      <c r="J434" s="163" t="s">
        <v>246</v>
      </c>
      <c r="N434" s="165">
        <f t="shared" si="27"/>
        <v>1983.2916666666392</v>
      </c>
      <c r="O434" s="167">
        <v>98.6</v>
      </c>
      <c r="P434" s="163" t="s">
        <v>241</v>
      </c>
    </row>
    <row r="435" spans="1:16" ht="13.15">
      <c r="A435" s="164">
        <f t="shared" si="25"/>
        <v>1983.3749999999725</v>
      </c>
      <c r="B435" s="164">
        <f t="shared" si="26"/>
        <v>108.26340685118474</v>
      </c>
      <c r="H435" s="165">
        <v>1983.3749999999725</v>
      </c>
      <c r="I435" s="171">
        <v>50.192</v>
      </c>
      <c r="J435" s="163" t="s">
        <v>246</v>
      </c>
      <c r="N435" s="165">
        <f t="shared" si="27"/>
        <v>1983.3749999999725</v>
      </c>
      <c r="O435" s="167">
        <v>99.2</v>
      </c>
      <c r="P435" s="163" t="s">
        <v>241</v>
      </c>
    </row>
    <row r="436" spans="1:16" ht="13.15">
      <c r="A436" s="164">
        <f t="shared" si="25"/>
        <v>1983.4583333333057</v>
      </c>
      <c r="B436" s="164">
        <f t="shared" si="26"/>
        <v>108.46600305163798</v>
      </c>
      <c r="H436" s="165">
        <v>1983.4583333333057</v>
      </c>
      <c r="I436" s="171">
        <v>50.438000000000002</v>
      </c>
      <c r="J436" s="163" t="s">
        <v>246</v>
      </c>
      <c r="N436" s="165">
        <f t="shared" si="27"/>
        <v>1983.4583333333057</v>
      </c>
      <c r="O436" s="167">
        <v>99.5</v>
      </c>
      <c r="P436" s="163" t="s">
        <v>241</v>
      </c>
    </row>
    <row r="437" spans="1:16" ht="13.15">
      <c r="A437" s="164">
        <f t="shared" si="25"/>
        <v>1983.541666666639</v>
      </c>
      <c r="B437" s="164">
        <f t="shared" si="26"/>
        <v>108.64856367615884</v>
      </c>
      <c r="H437" s="165">
        <v>1983.541666666639</v>
      </c>
      <c r="I437" s="171">
        <v>50.725999999999999</v>
      </c>
      <c r="J437" s="163" t="s">
        <v>246</v>
      </c>
      <c r="N437" s="165">
        <f t="shared" si="27"/>
        <v>1983.541666666639</v>
      </c>
      <c r="O437" s="167">
        <v>99.9</v>
      </c>
      <c r="P437" s="163" t="s">
        <v>241</v>
      </c>
    </row>
    <row r="438" spans="1:16" ht="13.15">
      <c r="A438" s="164">
        <f t="shared" si="25"/>
        <v>1983.6249999999723</v>
      </c>
      <c r="B438" s="164">
        <f t="shared" si="26"/>
        <v>108.80374674095616</v>
      </c>
      <c r="H438" s="165">
        <v>1983.6249999999723</v>
      </c>
      <c r="I438" s="171">
        <v>50.951000000000001</v>
      </c>
      <c r="J438" s="163" t="s">
        <v>246</v>
      </c>
      <c r="N438" s="165">
        <f t="shared" si="27"/>
        <v>1983.6249999999723</v>
      </c>
      <c r="O438" s="167">
        <v>100.2</v>
      </c>
      <c r="P438" s="163" t="s">
        <v>241</v>
      </c>
    </row>
    <row r="439" spans="1:16" ht="13.15">
      <c r="A439" s="164">
        <f t="shared" ref="A439:A502" si="28">H439</f>
        <v>1983.7083333333055</v>
      </c>
      <c r="B439" s="164">
        <f t="shared" si="26"/>
        <v>108.55249000699327</v>
      </c>
      <c r="H439" s="165">
        <v>1983.7083333333055</v>
      </c>
      <c r="I439" s="171">
        <v>51.087000000000003</v>
      </c>
      <c r="J439" s="163" t="s">
        <v>246</v>
      </c>
      <c r="N439" s="165">
        <f t="shared" si="27"/>
        <v>1983.7083333333055</v>
      </c>
      <c r="O439" s="167">
        <v>100.7</v>
      </c>
      <c r="P439" s="163" t="s">
        <v>241</v>
      </c>
    </row>
    <row r="440" spans="1:16" ht="13.15">
      <c r="A440" s="164">
        <f t="shared" si="28"/>
        <v>1983.7916666666388</v>
      </c>
      <c r="B440" s="164">
        <f t="shared" si="26"/>
        <v>108.4355556354859</v>
      </c>
      <c r="H440" s="165">
        <v>1983.7916666666388</v>
      </c>
      <c r="I440" s="171">
        <v>51.183999999999997</v>
      </c>
      <c r="J440" s="163" t="s">
        <v>246</v>
      </c>
      <c r="N440" s="165">
        <f t="shared" si="27"/>
        <v>1983.7916666666388</v>
      </c>
      <c r="O440" s="167">
        <v>101</v>
      </c>
      <c r="P440" s="163" t="s">
        <v>241</v>
      </c>
    </row>
    <row r="441" spans="1:16" ht="13.15">
      <c r="A441" s="164">
        <f t="shared" si="28"/>
        <v>1983.874999999972</v>
      </c>
      <c r="B441" s="164">
        <f t="shared" si="26"/>
        <v>108.36926111858165</v>
      </c>
      <c r="H441" s="165">
        <v>1983.874999999972</v>
      </c>
      <c r="I441" s="171">
        <v>51.253999999999998</v>
      </c>
      <c r="J441" s="163" t="s">
        <v>246</v>
      </c>
      <c r="N441" s="165">
        <f t="shared" si="27"/>
        <v>1983.874999999972</v>
      </c>
      <c r="O441" s="167">
        <v>101.2</v>
      </c>
      <c r="P441" s="163" t="s">
        <v>241</v>
      </c>
    </row>
    <row r="442" spans="1:16" ht="13.15">
      <c r="A442" s="164">
        <f t="shared" si="28"/>
        <v>1983.9583333333053</v>
      </c>
      <c r="B442" s="164">
        <f t="shared" si="26"/>
        <v>108.54532674802266</v>
      </c>
      <c r="H442" s="165">
        <v>1983.9583333333053</v>
      </c>
      <c r="I442" s="171">
        <v>51.387999999999998</v>
      </c>
      <c r="J442" s="163" t="s">
        <v>246</v>
      </c>
      <c r="N442" s="165">
        <f t="shared" si="27"/>
        <v>1983.9583333333053</v>
      </c>
      <c r="O442" s="167">
        <v>101.3</v>
      </c>
      <c r="P442" s="163" t="s">
        <v>241</v>
      </c>
    </row>
    <row r="443" spans="1:16" ht="13.15">
      <c r="A443" s="164">
        <f t="shared" si="28"/>
        <v>1984.0416666666385</v>
      </c>
      <c r="B443" s="164">
        <f t="shared" si="26"/>
        <v>108.22327295369459</v>
      </c>
      <c r="H443" s="165">
        <v>1984.0416666666385</v>
      </c>
      <c r="I443" s="171">
        <v>51.539000000000001</v>
      </c>
      <c r="J443" s="163" t="s">
        <v>246</v>
      </c>
      <c r="N443" s="165">
        <f t="shared" si="27"/>
        <v>1984.0416666666385</v>
      </c>
      <c r="O443" s="167">
        <v>101.9</v>
      </c>
      <c r="P443" s="163" t="s">
        <v>241</v>
      </c>
    </row>
    <row r="444" spans="1:16" ht="13.15">
      <c r="A444" s="164">
        <f t="shared" si="28"/>
        <v>1984.1249999999718</v>
      </c>
      <c r="B444" s="164">
        <f t="shared" ref="B444:B507" si="29">100*(I444/O444)/(I$8/O$8)</f>
        <v>108.04170920443974</v>
      </c>
      <c r="H444" s="165">
        <v>1984.1249999999718</v>
      </c>
      <c r="I444" s="171">
        <v>51.704999999999998</v>
      </c>
      <c r="J444" s="163" t="s">
        <v>246</v>
      </c>
      <c r="N444" s="165">
        <f t="shared" si="27"/>
        <v>1984.1249999999718</v>
      </c>
      <c r="O444" s="167">
        <v>102.4</v>
      </c>
      <c r="P444" s="163" t="s">
        <v>241</v>
      </c>
    </row>
    <row r="445" spans="1:16" ht="13.15">
      <c r="A445" s="164">
        <f t="shared" si="28"/>
        <v>1984.2083333333051</v>
      </c>
      <c r="B445" s="164">
        <f t="shared" si="29"/>
        <v>108.32119555712556</v>
      </c>
      <c r="H445" s="165">
        <v>1984.2083333333051</v>
      </c>
      <c r="I445" s="171">
        <v>51.94</v>
      </c>
      <c r="J445" s="163" t="s">
        <v>246</v>
      </c>
      <c r="N445" s="165">
        <f t="shared" si="27"/>
        <v>1984.2083333333051</v>
      </c>
      <c r="O445" s="167">
        <v>102.6</v>
      </c>
      <c r="P445" s="163" t="s">
        <v>241</v>
      </c>
    </row>
    <row r="446" spans="1:16" ht="13.15">
      <c r="A446" s="164">
        <f t="shared" si="28"/>
        <v>1984.2916666666383</v>
      </c>
      <c r="B446" s="164">
        <f t="shared" si="29"/>
        <v>108.39981368186854</v>
      </c>
      <c r="H446" s="165">
        <v>1984.2916666666383</v>
      </c>
      <c r="I446" s="171">
        <v>52.231000000000002</v>
      </c>
      <c r="J446" s="163" t="s">
        <v>246</v>
      </c>
      <c r="N446" s="165">
        <f t="shared" si="27"/>
        <v>1984.2916666666383</v>
      </c>
      <c r="O446" s="167">
        <v>103.1</v>
      </c>
      <c r="P446" s="163" t="s">
        <v>241</v>
      </c>
    </row>
    <row r="447" spans="1:16" ht="13.15">
      <c r="A447" s="164">
        <f t="shared" si="28"/>
        <v>1984.3749999999716</v>
      </c>
      <c r="B447" s="164">
        <f t="shared" si="29"/>
        <v>108.76819982418536</v>
      </c>
      <c r="H447" s="165">
        <v>1984.3749999999716</v>
      </c>
      <c r="I447" s="171">
        <v>52.561</v>
      </c>
      <c r="J447" s="163" t="s">
        <v>246</v>
      </c>
      <c r="N447" s="165">
        <f t="shared" si="27"/>
        <v>1984.3749999999716</v>
      </c>
      <c r="O447" s="167">
        <v>103.4</v>
      </c>
      <c r="P447" s="163" t="s">
        <v>241</v>
      </c>
    </row>
    <row r="448" spans="1:16" ht="13.15">
      <c r="A448" s="164">
        <f t="shared" si="28"/>
        <v>1984.4583333333048</v>
      </c>
      <c r="B448" s="164">
        <f t="shared" si="29"/>
        <v>109.07874313960872</v>
      </c>
      <c r="H448" s="165">
        <v>1984.4583333333048</v>
      </c>
      <c r="I448" s="171">
        <v>52.863999999999997</v>
      </c>
      <c r="J448" s="163" t="s">
        <v>246</v>
      </c>
      <c r="N448" s="165">
        <f t="shared" si="27"/>
        <v>1984.4583333333048</v>
      </c>
      <c r="O448" s="167">
        <v>103.7</v>
      </c>
      <c r="P448" s="163" t="s">
        <v>241</v>
      </c>
    </row>
    <row r="449" spans="1:16" ht="13.15">
      <c r="A449" s="164">
        <f t="shared" si="28"/>
        <v>1984.5416666666381</v>
      </c>
      <c r="B449" s="164">
        <f t="shared" si="29"/>
        <v>109.25980560000077</v>
      </c>
      <c r="H449" s="165">
        <v>1984.5416666666381</v>
      </c>
      <c r="I449" s="171">
        <v>53.155999999999999</v>
      </c>
      <c r="J449" s="163" t="s">
        <v>246</v>
      </c>
      <c r="N449" s="165">
        <f t="shared" si="27"/>
        <v>1984.5416666666381</v>
      </c>
      <c r="O449" s="167">
        <v>104.1</v>
      </c>
      <c r="P449" s="163" t="s">
        <v>241</v>
      </c>
    </row>
    <row r="450" spans="1:16" ht="13.15">
      <c r="A450" s="164">
        <f t="shared" si="28"/>
        <v>1984.6249999999714</v>
      </c>
      <c r="B450" s="164">
        <f t="shared" si="29"/>
        <v>109.36372118132397</v>
      </c>
      <c r="H450" s="165">
        <v>1984.6249999999714</v>
      </c>
      <c r="I450" s="171">
        <v>53.411000000000001</v>
      </c>
      <c r="J450" s="163" t="s">
        <v>246</v>
      </c>
      <c r="N450" s="165">
        <f t="shared" si="27"/>
        <v>1984.6249999999714</v>
      </c>
      <c r="O450" s="167">
        <v>104.5</v>
      </c>
      <c r="P450" s="163" t="s">
        <v>241</v>
      </c>
    </row>
    <row r="451" spans="1:16" ht="13.15">
      <c r="A451" s="164">
        <f t="shared" si="28"/>
        <v>1984.7083333333046</v>
      </c>
      <c r="B451" s="164">
        <f t="shared" si="29"/>
        <v>109.16288205251128</v>
      </c>
      <c r="H451" s="165">
        <v>1984.7083333333046</v>
      </c>
      <c r="I451" s="171">
        <v>53.567999999999998</v>
      </c>
      <c r="J451" s="163" t="s">
        <v>246</v>
      </c>
      <c r="N451" s="165">
        <f t="shared" si="27"/>
        <v>1984.7083333333046</v>
      </c>
      <c r="O451" s="167">
        <v>105</v>
      </c>
      <c r="P451" s="163" t="s">
        <v>241</v>
      </c>
    </row>
    <row r="452" spans="1:16" ht="13.15">
      <c r="A452" s="164">
        <f t="shared" si="28"/>
        <v>1984.7916666666379</v>
      </c>
      <c r="B452" s="164">
        <f t="shared" si="29"/>
        <v>109.05304783361561</v>
      </c>
      <c r="H452" s="165">
        <v>1984.7916666666379</v>
      </c>
      <c r="I452" s="171">
        <v>53.667000000000002</v>
      </c>
      <c r="J452" s="163" t="s">
        <v>246</v>
      </c>
      <c r="N452" s="165">
        <f t="shared" si="27"/>
        <v>1984.7916666666379</v>
      </c>
      <c r="O452" s="167">
        <v>105.3</v>
      </c>
      <c r="P452" s="163" t="s">
        <v>241</v>
      </c>
    </row>
    <row r="453" spans="1:16" ht="13.15">
      <c r="A453" s="164">
        <f t="shared" si="28"/>
        <v>1984.8749999999711</v>
      </c>
      <c r="B453" s="164">
        <f t="shared" si="29"/>
        <v>109.06930408760162</v>
      </c>
      <c r="H453" s="165">
        <v>1984.8749999999711</v>
      </c>
      <c r="I453" s="171">
        <v>53.674999999999997</v>
      </c>
      <c r="J453" s="163" t="s">
        <v>246</v>
      </c>
      <c r="N453" s="165">
        <f t="shared" si="27"/>
        <v>1984.8749999999711</v>
      </c>
      <c r="O453" s="167">
        <v>105.3</v>
      </c>
      <c r="P453" s="163" t="s">
        <v>241</v>
      </c>
    </row>
    <row r="454" spans="1:16" ht="13.15">
      <c r="A454" s="164">
        <f t="shared" si="28"/>
        <v>1984.9583333333044</v>
      </c>
      <c r="B454" s="164">
        <f t="shared" si="29"/>
        <v>109.30705180214751</v>
      </c>
      <c r="H454" s="165">
        <v>1984.9583333333044</v>
      </c>
      <c r="I454" s="171">
        <v>53.792000000000002</v>
      </c>
      <c r="J454" s="163" t="s">
        <v>246</v>
      </c>
      <c r="N454" s="165">
        <f t="shared" si="27"/>
        <v>1984.9583333333044</v>
      </c>
      <c r="O454" s="167">
        <v>105.3</v>
      </c>
      <c r="P454" s="163" t="s">
        <v>241</v>
      </c>
    </row>
    <row r="455" spans="1:16" ht="13.15">
      <c r="A455" s="164">
        <f t="shared" si="28"/>
        <v>1985.0416666666376</v>
      </c>
      <c r="B455" s="164">
        <f t="shared" si="29"/>
        <v>109.47707603963138</v>
      </c>
      <c r="H455" s="165">
        <v>1985.0416666666376</v>
      </c>
      <c r="I455" s="171">
        <v>53.978000000000002</v>
      </c>
      <c r="J455" s="163" t="s">
        <v>246</v>
      </c>
      <c r="N455" s="165">
        <f t="shared" si="27"/>
        <v>1985.0416666666376</v>
      </c>
      <c r="O455" s="167">
        <v>105.5</v>
      </c>
      <c r="P455" s="163" t="s">
        <v>241</v>
      </c>
    </row>
    <row r="456" spans="1:16" ht="13.15">
      <c r="A456" s="164">
        <f t="shared" si="28"/>
        <v>1985.1249999999709</v>
      </c>
      <c r="B456" s="164">
        <f t="shared" si="29"/>
        <v>109.4552348418724</v>
      </c>
      <c r="H456" s="165">
        <v>1985.1249999999709</v>
      </c>
      <c r="I456" s="171">
        <v>54.222999999999999</v>
      </c>
      <c r="J456" s="163" t="s">
        <v>246</v>
      </c>
      <c r="N456" s="165">
        <f t="shared" si="27"/>
        <v>1985.1249999999709</v>
      </c>
      <c r="O456" s="167">
        <v>106</v>
      </c>
      <c r="P456" s="163" t="s">
        <v>241</v>
      </c>
    </row>
    <row r="457" spans="1:16" ht="13.15">
      <c r="A457" s="164">
        <f t="shared" si="28"/>
        <v>1985.2083333333042</v>
      </c>
      <c r="B457" s="164">
        <f t="shared" si="29"/>
        <v>109.66515538208344</v>
      </c>
      <c r="H457" s="165">
        <v>1985.2083333333042</v>
      </c>
      <c r="I457" s="171">
        <v>54.531999999999996</v>
      </c>
      <c r="J457" s="163" t="s">
        <v>246</v>
      </c>
      <c r="N457" s="165">
        <f t="shared" ref="N457:N520" si="30">N456+1/12</f>
        <v>1985.2083333333042</v>
      </c>
      <c r="O457" s="167">
        <v>106.4</v>
      </c>
      <c r="P457" s="163" t="s">
        <v>241</v>
      </c>
    </row>
    <row r="458" spans="1:16" ht="13.15">
      <c r="A458" s="164">
        <f t="shared" si="28"/>
        <v>1985.2916666666374</v>
      </c>
      <c r="B458" s="164">
        <f t="shared" si="29"/>
        <v>109.89081897712219</v>
      </c>
      <c r="H458" s="165">
        <v>1985.2916666666374</v>
      </c>
      <c r="I458" s="171">
        <v>54.901000000000003</v>
      </c>
      <c r="J458" s="163" t="s">
        <v>246</v>
      </c>
      <c r="N458" s="165">
        <f t="shared" si="30"/>
        <v>1985.2916666666374</v>
      </c>
      <c r="O458" s="167">
        <v>106.9</v>
      </c>
      <c r="P458" s="163" t="s">
        <v>241</v>
      </c>
    </row>
    <row r="459" spans="1:16" ht="13.15">
      <c r="A459" s="164">
        <f t="shared" si="28"/>
        <v>1985.3749999999707</v>
      </c>
      <c r="B459" s="164">
        <f t="shared" si="29"/>
        <v>110.3167121324288</v>
      </c>
      <c r="H459" s="165">
        <v>1985.3749999999707</v>
      </c>
      <c r="I459" s="171">
        <v>55.32</v>
      </c>
      <c r="J459" s="163" t="s">
        <v>246</v>
      </c>
      <c r="N459" s="165">
        <f t="shared" si="30"/>
        <v>1985.3749999999707</v>
      </c>
      <c r="O459" s="167">
        <v>107.3</v>
      </c>
      <c r="P459" s="163" t="s">
        <v>241</v>
      </c>
    </row>
    <row r="460" spans="1:16" ht="13.15">
      <c r="A460" s="164">
        <f t="shared" si="28"/>
        <v>1985.4583333333039</v>
      </c>
      <c r="B460" s="164">
        <f t="shared" si="29"/>
        <v>110.80258751025123</v>
      </c>
      <c r="H460" s="165">
        <v>1985.4583333333039</v>
      </c>
      <c r="I460" s="171">
        <v>55.719000000000001</v>
      </c>
      <c r="J460" s="163" t="s">
        <v>246</v>
      </c>
      <c r="N460" s="165">
        <f t="shared" si="30"/>
        <v>1985.4583333333039</v>
      </c>
      <c r="O460" s="167">
        <v>107.6</v>
      </c>
      <c r="P460" s="163" t="s">
        <v>241</v>
      </c>
    </row>
    <row r="461" spans="1:16" ht="13.15">
      <c r="A461" s="164">
        <f t="shared" si="28"/>
        <v>1985.5416666666372</v>
      </c>
      <c r="B461" s="164">
        <f t="shared" si="29"/>
        <v>111.38899462334369</v>
      </c>
      <c r="H461" s="165">
        <v>1985.5416666666372</v>
      </c>
      <c r="I461" s="171">
        <v>56.118000000000002</v>
      </c>
      <c r="J461" s="163" t="s">
        <v>246</v>
      </c>
      <c r="N461" s="165">
        <f t="shared" si="30"/>
        <v>1985.5416666666372</v>
      </c>
      <c r="O461" s="167">
        <v>107.8</v>
      </c>
      <c r="P461" s="163" t="s">
        <v>241</v>
      </c>
    </row>
    <row r="462" spans="1:16" ht="13.15">
      <c r="A462" s="164">
        <f t="shared" si="28"/>
        <v>1985.6249999999704</v>
      </c>
      <c r="B462" s="164">
        <f t="shared" si="29"/>
        <v>111.95143631773951</v>
      </c>
      <c r="H462" s="165">
        <v>1985.6249999999704</v>
      </c>
      <c r="I462" s="171">
        <v>56.506</v>
      </c>
      <c r="J462" s="163" t="s">
        <v>246</v>
      </c>
      <c r="N462" s="165">
        <f t="shared" si="30"/>
        <v>1985.6249999999704</v>
      </c>
      <c r="O462" s="167">
        <v>108</v>
      </c>
      <c r="P462" s="163" t="s">
        <v>241</v>
      </c>
    </row>
    <row r="463" spans="1:16" ht="13.15">
      <c r="A463" s="164">
        <f t="shared" si="28"/>
        <v>1985.7083333333037</v>
      </c>
      <c r="B463" s="164">
        <f t="shared" si="29"/>
        <v>112.36246765045416</v>
      </c>
      <c r="H463" s="165">
        <v>1985.7083333333037</v>
      </c>
      <c r="I463" s="171">
        <v>56.871000000000002</v>
      </c>
      <c r="J463" s="163" t="s">
        <v>246</v>
      </c>
      <c r="N463" s="165">
        <f t="shared" si="30"/>
        <v>1985.7083333333037</v>
      </c>
      <c r="O463" s="167">
        <v>108.3</v>
      </c>
      <c r="P463" s="163" t="s">
        <v>241</v>
      </c>
    </row>
    <row r="464" spans="1:16" ht="13.15">
      <c r="A464" s="164">
        <f t="shared" si="28"/>
        <v>1985.791666666637</v>
      </c>
      <c r="B464" s="164">
        <f t="shared" si="29"/>
        <v>112.5808699289465</v>
      </c>
      <c r="H464" s="165">
        <v>1985.791666666637</v>
      </c>
      <c r="I464" s="171">
        <v>57.192</v>
      </c>
      <c r="J464" s="163" t="s">
        <v>246</v>
      </c>
      <c r="N464" s="165">
        <f t="shared" si="30"/>
        <v>1985.791666666637</v>
      </c>
      <c r="O464" s="167">
        <v>108.7</v>
      </c>
      <c r="P464" s="163" t="s">
        <v>241</v>
      </c>
    </row>
    <row r="465" spans="1:16" ht="13.15">
      <c r="A465" s="164">
        <f t="shared" si="28"/>
        <v>1985.8749999999702</v>
      </c>
      <c r="B465" s="164">
        <f t="shared" si="29"/>
        <v>112.88348733505471</v>
      </c>
      <c r="H465" s="165">
        <v>1985.8749999999702</v>
      </c>
      <c r="I465" s="171">
        <v>57.503999999999998</v>
      </c>
      <c r="J465" s="163" t="s">
        <v>246</v>
      </c>
      <c r="N465" s="165">
        <f t="shared" si="30"/>
        <v>1985.8749999999702</v>
      </c>
      <c r="O465" s="167">
        <v>109</v>
      </c>
      <c r="P465" s="163" t="s">
        <v>241</v>
      </c>
    </row>
    <row r="466" spans="1:16" ht="13.15">
      <c r="A466" s="164">
        <f t="shared" si="28"/>
        <v>1985.9583333333035</v>
      </c>
      <c r="B466" s="164">
        <f t="shared" si="29"/>
        <v>113.17465519716364</v>
      </c>
      <c r="H466" s="165">
        <v>1985.9583333333035</v>
      </c>
      <c r="I466" s="171">
        <v>57.811</v>
      </c>
      <c r="J466" s="163" t="s">
        <v>246</v>
      </c>
      <c r="N466" s="165">
        <f t="shared" si="30"/>
        <v>1985.9583333333035</v>
      </c>
      <c r="O466" s="167">
        <v>109.3</v>
      </c>
      <c r="P466" s="163" t="s">
        <v>241</v>
      </c>
    </row>
    <row r="467" spans="1:16" ht="13.15">
      <c r="A467" s="164">
        <f t="shared" si="28"/>
        <v>1986.0416666666367</v>
      </c>
      <c r="B467" s="164">
        <f t="shared" si="29"/>
        <v>113.54427369749774</v>
      </c>
      <c r="H467" s="165">
        <v>1986.0416666666367</v>
      </c>
      <c r="I467" s="171">
        <v>58.158999999999999</v>
      </c>
      <c r="J467" s="163" t="s">
        <v>246</v>
      </c>
      <c r="N467" s="165">
        <f t="shared" si="30"/>
        <v>1986.0416666666367</v>
      </c>
      <c r="O467" s="167">
        <v>109.6</v>
      </c>
      <c r="P467" s="163" t="s">
        <v>241</v>
      </c>
    </row>
    <row r="468" spans="1:16" ht="13.15">
      <c r="A468" s="164">
        <f t="shared" si="28"/>
        <v>1986.12499999997</v>
      </c>
      <c r="B468" s="164">
        <f t="shared" si="29"/>
        <v>114.52936038123654</v>
      </c>
      <c r="H468" s="165">
        <v>1986.12499999997</v>
      </c>
      <c r="I468" s="171">
        <v>58.503</v>
      </c>
      <c r="J468" s="163" t="s">
        <v>246</v>
      </c>
      <c r="N468" s="165">
        <f t="shared" si="30"/>
        <v>1986.12499999997</v>
      </c>
      <c r="O468" s="167">
        <v>109.3</v>
      </c>
      <c r="P468" s="163" t="s">
        <v>241</v>
      </c>
    </row>
    <row r="469" spans="1:16" ht="13.15">
      <c r="A469" s="164">
        <f t="shared" si="28"/>
        <v>1986.2083333333032</v>
      </c>
      <c r="B469" s="164">
        <f t="shared" si="29"/>
        <v>115.92298858062874</v>
      </c>
      <c r="H469" s="165">
        <v>1986.2083333333032</v>
      </c>
      <c r="I469" s="171">
        <v>58.944000000000003</v>
      </c>
      <c r="J469" s="163" t="s">
        <v>246</v>
      </c>
      <c r="N469" s="165">
        <f t="shared" si="30"/>
        <v>1986.2083333333032</v>
      </c>
      <c r="O469" s="167">
        <v>108.8</v>
      </c>
      <c r="P469" s="163" t="s">
        <v>241</v>
      </c>
    </row>
    <row r="470" spans="1:16" ht="13.15">
      <c r="A470" s="164">
        <f t="shared" si="28"/>
        <v>1986.2916666666365</v>
      </c>
      <c r="B470" s="164">
        <f t="shared" si="29"/>
        <v>117.20633946290032</v>
      </c>
      <c r="H470" s="165">
        <v>1986.2916666666365</v>
      </c>
      <c r="I470" s="171">
        <v>59.487000000000002</v>
      </c>
      <c r="J470" s="163" t="s">
        <v>246</v>
      </c>
      <c r="N470" s="165">
        <f t="shared" si="30"/>
        <v>1986.2916666666365</v>
      </c>
      <c r="O470" s="167">
        <v>108.6</v>
      </c>
      <c r="P470" s="163" t="s">
        <v>241</v>
      </c>
    </row>
    <row r="471" spans="1:16" ht="13.15">
      <c r="A471" s="164">
        <f t="shared" si="28"/>
        <v>1986.3749999999698</v>
      </c>
      <c r="B471" s="164">
        <f t="shared" si="29"/>
        <v>117.99360127197012</v>
      </c>
      <c r="H471" s="165">
        <v>1986.3749999999698</v>
      </c>
      <c r="I471" s="171">
        <v>60.052</v>
      </c>
      <c r="J471" s="163" t="s">
        <v>246</v>
      </c>
      <c r="N471" s="165">
        <f t="shared" si="30"/>
        <v>1986.3749999999698</v>
      </c>
      <c r="O471" s="167">
        <v>108.9</v>
      </c>
      <c r="P471" s="163" t="s">
        <v>241</v>
      </c>
    </row>
    <row r="472" spans="1:16" ht="13.15">
      <c r="A472" s="164">
        <f t="shared" si="28"/>
        <v>1986.458333333303</v>
      </c>
      <c r="B472" s="164">
        <f t="shared" si="29"/>
        <v>118.51560729211077</v>
      </c>
      <c r="H472" s="165">
        <v>1986.458333333303</v>
      </c>
      <c r="I472" s="171">
        <v>60.65</v>
      </c>
      <c r="J472" s="163" t="s">
        <v>246</v>
      </c>
      <c r="N472" s="165">
        <f t="shared" si="30"/>
        <v>1986.458333333303</v>
      </c>
      <c r="O472" s="167">
        <v>109.5</v>
      </c>
      <c r="P472" s="163" t="s">
        <v>241</v>
      </c>
    </row>
    <row r="473" spans="1:16" ht="13.15">
      <c r="A473" s="164">
        <f t="shared" si="28"/>
        <v>1986.5416666666363</v>
      </c>
      <c r="B473" s="164">
        <f t="shared" si="29"/>
        <v>119.69392404721619</v>
      </c>
      <c r="H473" s="165">
        <v>1986.5416666666363</v>
      </c>
      <c r="I473" s="171">
        <v>61.253</v>
      </c>
      <c r="J473" s="163" t="s">
        <v>246</v>
      </c>
      <c r="N473" s="165">
        <f t="shared" si="30"/>
        <v>1986.5416666666363</v>
      </c>
      <c r="O473" s="167">
        <v>109.5</v>
      </c>
      <c r="P473" s="163" t="s">
        <v>241</v>
      </c>
    </row>
    <row r="474" spans="1:16" ht="13.15">
      <c r="A474" s="164">
        <f t="shared" si="28"/>
        <v>1986.6249999999695</v>
      </c>
      <c r="B474" s="164">
        <f t="shared" si="29"/>
        <v>120.51143405607695</v>
      </c>
      <c r="H474" s="165">
        <v>1986.6249999999695</v>
      </c>
      <c r="I474" s="171">
        <v>61.783999999999999</v>
      </c>
      <c r="J474" s="163" t="s">
        <v>246</v>
      </c>
      <c r="N474" s="165">
        <f t="shared" si="30"/>
        <v>1986.6249999999695</v>
      </c>
      <c r="O474" s="167">
        <v>109.7</v>
      </c>
      <c r="P474" s="163" t="s">
        <v>241</v>
      </c>
    </row>
    <row r="475" spans="1:16" ht="13.15">
      <c r="A475" s="164">
        <f t="shared" si="28"/>
        <v>1986.7083333333028</v>
      </c>
      <c r="B475" s="164">
        <f t="shared" si="29"/>
        <v>120.85587928158387</v>
      </c>
      <c r="H475" s="165">
        <v>1986.7083333333028</v>
      </c>
      <c r="I475" s="171">
        <v>62.243000000000002</v>
      </c>
      <c r="J475" s="163" t="s">
        <v>246</v>
      </c>
      <c r="N475" s="165">
        <f t="shared" si="30"/>
        <v>1986.7083333333028</v>
      </c>
      <c r="O475" s="167">
        <v>110.2</v>
      </c>
      <c r="P475" s="163" t="s">
        <v>241</v>
      </c>
    </row>
    <row r="476" spans="1:16" ht="13.15">
      <c r="A476" s="164">
        <f t="shared" si="28"/>
        <v>1986.791666666636</v>
      </c>
      <c r="B476" s="164">
        <f t="shared" si="29"/>
        <v>121.42334047116407</v>
      </c>
      <c r="H476" s="165">
        <v>1986.791666666636</v>
      </c>
      <c r="I476" s="171">
        <v>62.591999999999999</v>
      </c>
      <c r="J476" s="163" t="s">
        <v>246</v>
      </c>
      <c r="N476" s="165">
        <f t="shared" si="30"/>
        <v>1986.791666666636</v>
      </c>
      <c r="O476" s="167">
        <v>110.3</v>
      </c>
      <c r="P476" s="163" t="s">
        <v>241</v>
      </c>
    </row>
    <row r="477" spans="1:16" ht="13.15">
      <c r="A477" s="164">
        <f t="shared" si="28"/>
        <v>1986.8749999999693</v>
      </c>
      <c r="B477" s="164">
        <f t="shared" si="29"/>
        <v>121.91806170483585</v>
      </c>
      <c r="H477" s="165">
        <v>1986.8749999999693</v>
      </c>
      <c r="I477" s="171">
        <v>62.904000000000003</v>
      </c>
      <c r="J477" s="163" t="s">
        <v>246</v>
      </c>
      <c r="N477" s="165">
        <f t="shared" si="30"/>
        <v>1986.8749999999693</v>
      </c>
      <c r="O477" s="167">
        <v>110.4</v>
      </c>
      <c r="P477" s="163" t="s">
        <v>241</v>
      </c>
    </row>
    <row r="478" spans="1:16" ht="13.15">
      <c r="A478" s="164">
        <f t="shared" si="28"/>
        <v>1986.9583333333026</v>
      </c>
      <c r="B478" s="164">
        <f t="shared" si="29"/>
        <v>122.70622133763105</v>
      </c>
      <c r="H478" s="165">
        <v>1986.9583333333026</v>
      </c>
      <c r="I478" s="171">
        <v>63.368000000000002</v>
      </c>
      <c r="J478" s="163" t="s">
        <v>246</v>
      </c>
      <c r="N478" s="165">
        <f t="shared" si="30"/>
        <v>1986.9583333333026</v>
      </c>
      <c r="O478" s="167">
        <v>110.5</v>
      </c>
      <c r="P478" s="163" t="s">
        <v>241</v>
      </c>
    </row>
    <row r="479" spans="1:16" ht="13.15">
      <c r="A479" s="164">
        <f t="shared" si="28"/>
        <v>1987.0416666666358</v>
      </c>
      <c r="B479" s="164">
        <f t="shared" si="29"/>
        <v>122.63805355197516</v>
      </c>
      <c r="H479" s="165">
        <v>1987.0416666666358</v>
      </c>
      <c r="I479" s="172">
        <v>63.733999999999995</v>
      </c>
      <c r="J479" s="163" t="s">
        <v>246</v>
      </c>
      <c r="N479" s="165">
        <f t="shared" si="30"/>
        <v>1987.0416666666358</v>
      </c>
      <c r="O479" s="167">
        <v>111.2</v>
      </c>
      <c r="P479" s="163" t="s">
        <v>241</v>
      </c>
    </row>
    <row r="480" spans="1:16" ht="13.15">
      <c r="A480" s="164">
        <f t="shared" si="28"/>
        <v>1987.1249999999691</v>
      </c>
      <c r="B480" s="164">
        <f t="shared" si="29"/>
        <v>122.96541874745655</v>
      </c>
      <c r="H480" s="165">
        <v>1987.1249999999691</v>
      </c>
      <c r="I480" s="172">
        <v>64.134</v>
      </c>
      <c r="J480" s="163" t="s">
        <v>246</v>
      </c>
      <c r="N480" s="165">
        <f t="shared" si="30"/>
        <v>1987.1249999999691</v>
      </c>
      <c r="O480" s="167">
        <v>111.6</v>
      </c>
      <c r="P480" s="163" t="s">
        <v>241</v>
      </c>
    </row>
    <row r="481" spans="1:16" ht="13.15">
      <c r="A481" s="164">
        <f t="shared" si="28"/>
        <v>1987.2083333333023</v>
      </c>
      <c r="B481" s="164">
        <f t="shared" si="29"/>
        <v>123.05639311464522</v>
      </c>
      <c r="H481" s="165">
        <v>1987.2083333333023</v>
      </c>
      <c r="I481" s="172">
        <v>64.468999999999994</v>
      </c>
      <c r="J481" s="163" t="s">
        <v>246</v>
      </c>
      <c r="N481" s="165">
        <f t="shared" si="30"/>
        <v>1987.2083333333023</v>
      </c>
      <c r="O481" s="167">
        <v>112.1</v>
      </c>
      <c r="P481" s="163" t="s">
        <v>241</v>
      </c>
    </row>
    <row r="482" spans="1:16" ht="13.15">
      <c r="A482" s="164">
        <f t="shared" si="28"/>
        <v>1987.2916666666356</v>
      </c>
      <c r="B482" s="164">
        <f t="shared" si="29"/>
        <v>123.35815467142622</v>
      </c>
      <c r="H482" s="165">
        <v>1987.2916666666356</v>
      </c>
      <c r="I482" s="172">
        <v>64.972999999999999</v>
      </c>
      <c r="J482" s="163" t="s">
        <v>246</v>
      </c>
      <c r="N482" s="165">
        <f t="shared" si="30"/>
        <v>1987.2916666666356</v>
      </c>
      <c r="O482" s="167">
        <v>112.7</v>
      </c>
      <c r="P482" s="163" t="s">
        <v>241</v>
      </c>
    </row>
    <row r="483" spans="1:16" ht="13.15">
      <c r="A483" s="164">
        <f t="shared" si="28"/>
        <v>1987.3749999999688</v>
      </c>
      <c r="B483" s="164">
        <f t="shared" si="29"/>
        <v>124.00782051993042</v>
      </c>
      <c r="H483" s="165">
        <v>1987.3749999999688</v>
      </c>
      <c r="I483" s="172">
        <v>65.546999999999997</v>
      </c>
      <c r="J483" s="163" t="s">
        <v>246</v>
      </c>
      <c r="N483" s="165">
        <f t="shared" si="30"/>
        <v>1987.3749999999688</v>
      </c>
      <c r="O483" s="167">
        <v>113.1</v>
      </c>
      <c r="P483" s="163" t="s">
        <v>241</v>
      </c>
    </row>
    <row r="484" spans="1:16" ht="13.15">
      <c r="A484" s="164">
        <f t="shared" si="28"/>
        <v>1987.4583333333021</v>
      </c>
      <c r="B484" s="164">
        <f t="shared" si="29"/>
        <v>124.83577397020599</v>
      </c>
      <c r="H484" s="165">
        <v>1987.4583333333021</v>
      </c>
      <c r="I484" s="172">
        <v>66.218000000000004</v>
      </c>
      <c r="J484" s="163" t="s">
        <v>246</v>
      </c>
      <c r="N484" s="165">
        <f t="shared" si="30"/>
        <v>1987.4583333333021</v>
      </c>
      <c r="O484" s="167">
        <v>113.5</v>
      </c>
      <c r="P484" s="163" t="s">
        <v>241</v>
      </c>
    </row>
    <row r="485" spans="1:16" ht="13.15">
      <c r="A485" s="164">
        <f t="shared" si="28"/>
        <v>1987.5416666666354</v>
      </c>
      <c r="B485" s="164">
        <f t="shared" si="29"/>
        <v>125.5746658813201</v>
      </c>
      <c r="H485" s="165">
        <v>1987.5416666666354</v>
      </c>
      <c r="I485" s="172">
        <v>66.786000000000001</v>
      </c>
      <c r="J485" s="163" t="s">
        <v>246</v>
      </c>
      <c r="N485" s="165">
        <f t="shared" si="30"/>
        <v>1987.5416666666354</v>
      </c>
      <c r="O485" s="167">
        <v>113.8</v>
      </c>
      <c r="P485" s="163" t="s">
        <v>241</v>
      </c>
    </row>
    <row r="486" spans="1:16" ht="13.15">
      <c r="A486" s="164">
        <f t="shared" si="28"/>
        <v>1987.6249999999686</v>
      </c>
      <c r="B486" s="164">
        <f t="shared" si="29"/>
        <v>125.81945724481916</v>
      </c>
      <c r="H486" s="165">
        <v>1987.6249999999686</v>
      </c>
      <c r="I486" s="172">
        <v>67.268999999999991</v>
      </c>
      <c r="J486" s="163" t="s">
        <v>246</v>
      </c>
      <c r="N486" s="165">
        <f t="shared" si="30"/>
        <v>1987.6249999999686</v>
      </c>
      <c r="O486" s="167">
        <v>114.4</v>
      </c>
      <c r="P486" s="163" t="s">
        <v>241</v>
      </c>
    </row>
    <row r="487" spans="1:16" ht="13.15">
      <c r="A487" s="164">
        <f t="shared" si="28"/>
        <v>1987.7083333333019</v>
      </c>
      <c r="B487" s="164">
        <f t="shared" si="29"/>
        <v>125.82167244053591</v>
      </c>
      <c r="H487" s="165">
        <v>1987.7083333333019</v>
      </c>
      <c r="I487" s="172">
        <v>67.623000000000005</v>
      </c>
      <c r="J487" s="163" t="s">
        <v>246</v>
      </c>
      <c r="N487" s="165">
        <f t="shared" si="30"/>
        <v>1987.7083333333019</v>
      </c>
      <c r="O487" s="167">
        <v>115</v>
      </c>
      <c r="P487" s="163" t="s">
        <v>241</v>
      </c>
    </row>
    <row r="488" spans="1:16" ht="13.15">
      <c r="A488" s="164">
        <f t="shared" si="28"/>
        <v>1987.7916666666351</v>
      </c>
      <c r="B488" s="164">
        <f t="shared" si="29"/>
        <v>126.01020649471816</v>
      </c>
      <c r="H488" s="165">
        <v>1987.7916666666351</v>
      </c>
      <c r="I488" s="172">
        <v>67.90100000000001</v>
      </c>
      <c r="J488" s="163" t="s">
        <v>246</v>
      </c>
      <c r="N488" s="165">
        <f t="shared" si="30"/>
        <v>1987.7916666666351</v>
      </c>
      <c r="O488" s="167">
        <v>115.3</v>
      </c>
      <c r="P488" s="163" t="s">
        <v>241</v>
      </c>
    </row>
    <row r="489" spans="1:16" ht="13.15">
      <c r="A489" s="164">
        <f t="shared" si="28"/>
        <v>1987.8749999999684</v>
      </c>
      <c r="B489" s="164">
        <f t="shared" si="29"/>
        <v>126.25330734859918</v>
      </c>
      <c r="H489" s="165">
        <v>1987.8749999999684</v>
      </c>
      <c r="I489" s="172">
        <v>68.091000000000008</v>
      </c>
      <c r="J489" s="163" t="s">
        <v>246</v>
      </c>
      <c r="N489" s="165">
        <f t="shared" si="30"/>
        <v>1987.8749999999684</v>
      </c>
      <c r="O489" s="167">
        <v>115.4</v>
      </c>
      <c r="P489" s="163" t="s">
        <v>241</v>
      </c>
    </row>
    <row r="490" spans="1:16" ht="13.15">
      <c r="A490" s="164">
        <f t="shared" si="28"/>
        <v>1987.9583333333017</v>
      </c>
      <c r="B490" s="164">
        <f t="shared" si="29"/>
        <v>126.72056195569624</v>
      </c>
      <c r="H490" s="165">
        <v>1987.9583333333017</v>
      </c>
      <c r="I490" s="172">
        <v>68.343000000000004</v>
      </c>
      <c r="J490" s="163" t="s">
        <v>246</v>
      </c>
      <c r="N490" s="165">
        <f t="shared" si="30"/>
        <v>1987.9583333333017</v>
      </c>
      <c r="O490" s="167">
        <v>115.4</v>
      </c>
      <c r="P490" s="163" t="s">
        <v>241</v>
      </c>
    </row>
    <row r="491" spans="1:16" ht="13.15">
      <c r="A491" s="164">
        <f t="shared" si="28"/>
        <v>1988.0416666666349</v>
      </c>
      <c r="B491" s="164">
        <f t="shared" si="29"/>
        <v>126.83213837634462</v>
      </c>
      <c r="H491" s="165">
        <v>1988.0416666666349</v>
      </c>
      <c r="I491" s="172">
        <v>68.581000000000003</v>
      </c>
      <c r="J491" s="163" t="s">
        <v>246</v>
      </c>
      <c r="N491" s="165">
        <f t="shared" si="30"/>
        <v>1988.0416666666349</v>
      </c>
      <c r="O491" s="167">
        <v>115.7</v>
      </c>
      <c r="P491" s="163" t="s">
        <v>241</v>
      </c>
    </row>
    <row r="492" spans="1:16" ht="13.15">
      <c r="A492" s="164">
        <f t="shared" si="28"/>
        <v>1988.1249999999682</v>
      </c>
      <c r="B492" s="164">
        <f t="shared" si="29"/>
        <v>127.11837413959026</v>
      </c>
      <c r="H492" s="165">
        <v>1988.1249999999682</v>
      </c>
      <c r="I492" s="172">
        <v>68.914000000000001</v>
      </c>
      <c r="J492" s="163" t="s">
        <v>246</v>
      </c>
      <c r="N492" s="165">
        <f t="shared" si="30"/>
        <v>1988.1249999999682</v>
      </c>
      <c r="O492" s="167">
        <v>116</v>
      </c>
      <c r="P492" s="163" t="s">
        <v>241</v>
      </c>
    </row>
    <row r="493" spans="1:16" ht="13.15">
      <c r="A493" s="164">
        <f t="shared" si="28"/>
        <v>1988.2083333333014</v>
      </c>
      <c r="B493" s="164">
        <f t="shared" si="29"/>
        <v>127.32400286623867</v>
      </c>
      <c r="H493" s="165">
        <v>1988.2083333333014</v>
      </c>
      <c r="I493" s="172">
        <v>69.323000000000008</v>
      </c>
      <c r="J493" s="163" t="s">
        <v>246</v>
      </c>
      <c r="N493" s="165">
        <f t="shared" si="30"/>
        <v>1988.2083333333014</v>
      </c>
      <c r="O493" s="167">
        <v>116.5</v>
      </c>
      <c r="P493" s="163" t="s">
        <v>241</v>
      </c>
    </row>
    <row r="494" spans="1:16" ht="13.15">
      <c r="A494" s="164">
        <f t="shared" si="28"/>
        <v>1988.2916666666347</v>
      </c>
      <c r="B494" s="164">
        <f t="shared" si="29"/>
        <v>127.52129592189794</v>
      </c>
      <c r="H494" s="165">
        <v>1988.2916666666347</v>
      </c>
      <c r="I494" s="172">
        <v>69.787999999999997</v>
      </c>
      <c r="J494" s="163" t="s">
        <v>246</v>
      </c>
      <c r="N494" s="165">
        <f t="shared" si="30"/>
        <v>1988.2916666666347</v>
      </c>
      <c r="O494" s="167">
        <v>117.1</v>
      </c>
      <c r="P494" s="163" t="s">
        <v>241</v>
      </c>
    </row>
    <row r="495" spans="1:16" ht="13.15">
      <c r="A495" s="164">
        <f t="shared" si="28"/>
        <v>1988.3749999999679</v>
      </c>
      <c r="B495" s="164">
        <f t="shared" si="29"/>
        <v>128.21622959294334</v>
      </c>
      <c r="H495" s="165">
        <v>1988.3749999999679</v>
      </c>
      <c r="I495" s="172">
        <v>70.408000000000001</v>
      </c>
      <c r="J495" s="163" t="s">
        <v>246</v>
      </c>
      <c r="N495" s="165">
        <f t="shared" si="30"/>
        <v>1988.3749999999679</v>
      </c>
      <c r="O495" s="167">
        <v>117.5</v>
      </c>
      <c r="P495" s="163" t="s">
        <v>241</v>
      </c>
    </row>
    <row r="496" spans="1:16" ht="13.15">
      <c r="A496" s="164">
        <f t="shared" si="28"/>
        <v>1988.4583333333012</v>
      </c>
      <c r="B496" s="164">
        <f t="shared" si="29"/>
        <v>128.86792497176265</v>
      </c>
      <c r="H496" s="165">
        <v>1988.4583333333012</v>
      </c>
      <c r="I496" s="172">
        <v>71.066999999999993</v>
      </c>
      <c r="J496" s="163" t="s">
        <v>246</v>
      </c>
      <c r="N496" s="165">
        <f t="shared" si="30"/>
        <v>1988.4583333333012</v>
      </c>
      <c r="O496" s="167">
        <v>118</v>
      </c>
      <c r="P496" s="163" t="s">
        <v>241</v>
      </c>
    </row>
    <row r="497" spans="1:16" ht="13.15">
      <c r="A497" s="164">
        <f t="shared" si="28"/>
        <v>1988.5416666666345</v>
      </c>
      <c r="B497" s="164">
        <f t="shared" si="29"/>
        <v>129.44189365773417</v>
      </c>
      <c r="H497" s="165">
        <v>1988.5416666666345</v>
      </c>
      <c r="I497" s="172">
        <v>71.686000000000007</v>
      </c>
      <c r="J497" s="163" t="s">
        <v>246</v>
      </c>
      <c r="N497" s="165">
        <f t="shared" si="30"/>
        <v>1988.5416666666345</v>
      </c>
      <c r="O497" s="167">
        <v>118.5</v>
      </c>
      <c r="P497" s="163" t="s">
        <v>241</v>
      </c>
    </row>
    <row r="498" spans="1:16" ht="13.15">
      <c r="A498" s="164">
        <f t="shared" si="28"/>
        <v>1988.6249999999677</v>
      </c>
      <c r="B498" s="164">
        <f t="shared" si="29"/>
        <v>129.79526804238694</v>
      </c>
      <c r="H498" s="165">
        <v>1988.6249999999677</v>
      </c>
      <c r="I498" s="172">
        <v>72.185000000000002</v>
      </c>
      <c r="J498" s="163" t="s">
        <v>246</v>
      </c>
      <c r="N498" s="165">
        <f t="shared" si="30"/>
        <v>1988.6249999999677</v>
      </c>
      <c r="O498" s="167">
        <v>119</v>
      </c>
      <c r="P498" s="163" t="s">
        <v>241</v>
      </c>
    </row>
    <row r="499" spans="1:16" ht="13.15">
      <c r="A499" s="164">
        <f t="shared" si="28"/>
        <v>1988.708333333301</v>
      </c>
      <c r="B499" s="164">
        <f t="shared" si="29"/>
        <v>129.62330861357725</v>
      </c>
      <c r="H499" s="165">
        <v>1988.708333333301</v>
      </c>
      <c r="I499" s="172">
        <v>72.573999999999998</v>
      </c>
      <c r="J499" s="163" t="s">
        <v>246</v>
      </c>
      <c r="N499" s="165">
        <f t="shared" si="30"/>
        <v>1988.708333333301</v>
      </c>
      <c r="O499" s="167">
        <v>119.8</v>
      </c>
      <c r="P499" s="163" t="s">
        <v>241</v>
      </c>
    </row>
    <row r="500" spans="1:16" ht="13.15">
      <c r="A500" s="164">
        <f t="shared" si="28"/>
        <v>1988.7916666666342</v>
      </c>
      <c r="B500" s="164">
        <f t="shared" si="29"/>
        <v>129.63342480693171</v>
      </c>
      <c r="H500" s="165">
        <v>1988.7916666666342</v>
      </c>
      <c r="I500" s="172">
        <v>72.822000000000003</v>
      </c>
      <c r="J500" s="163" t="s">
        <v>246</v>
      </c>
      <c r="N500" s="165">
        <f t="shared" si="30"/>
        <v>1988.7916666666342</v>
      </c>
      <c r="O500" s="167">
        <v>120.2</v>
      </c>
      <c r="P500" s="163" t="s">
        <v>241</v>
      </c>
    </row>
    <row r="501" spans="1:16" ht="13.15">
      <c r="A501" s="164">
        <f t="shared" si="28"/>
        <v>1988.8749999999675</v>
      </c>
      <c r="B501" s="164">
        <f t="shared" si="29"/>
        <v>129.95610236094163</v>
      </c>
      <c r="H501" s="165">
        <v>1988.8749999999675</v>
      </c>
      <c r="I501" s="172">
        <v>73.063999999999993</v>
      </c>
      <c r="J501" s="163" t="s">
        <v>246</v>
      </c>
      <c r="N501" s="165">
        <f t="shared" si="30"/>
        <v>1988.8749999999675</v>
      </c>
      <c r="O501" s="167">
        <v>120.3</v>
      </c>
      <c r="P501" s="163" t="s">
        <v>241</v>
      </c>
    </row>
    <row r="502" spans="1:16" ht="13.15">
      <c r="A502" s="164">
        <f t="shared" si="28"/>
        <v>1988.9583333333007</v>
      </c>
      <c r="B502" s="164">
        <f t="shared" si="29"/>
        <v>130.1186336174251</v>
      </c>
      <c r="H502" s="165">
        <v>1988.9583333333007</v>
      </c>
      <c r="I502" s="172">
        <v>73.277000000000001</v>
      </c>
      <c r="J502" s="163" t="s">
        <v>246</v>
      </c>
      <c r="N502" s="165">
        <f t="shared" si="30"/>
        <v>1988.9583333333007</v>
      </c>
      <c r="O502" s="167">
        <v>120.5</v>
      </c>
      <c r="P502" s="163" t="s">
        <v>241</v>
      </c>
    </row>
    <row r="503" spans="1:16" ht="13.15">
      <c r="A503" s="164">
        <f t="shared" ref="A503:A566" si="31">H503</f>
        <v>1989.041666666634</v>
      </c>
      <c r="B503" s="164">
        <f t="shared" si="29"/>
        <v>130.0729329364795</v>
      </c>
      <c r="H503" s="165">
        <v>1989.041666666634</v>
      </c>
      <c r="I503" s="172">
        <v>73.616</v>
      </c>
      <c r="J503" s="163" t="s">
        <v>246</v>
      </c>
      <c r="N503" s="165">
        <f t="shared" si="30"/>
        <v>1989.041666666634</v>
      </c>
      <c r="O503" s="167">
        <v>121.1</v>
      </c>
      <c r="P503" s="163" t="s">
        <v>241</v>
      </c>
    </row>
    <row r="504" spans="1:16" ht="13.15">
      <c r="A504" s="164">
        <f t="shared" si="31"/>
        <v>1989.1249999999673</v>
      </c>
      <c r="B504" s="164">
        <f t="shared" si="29"/>
        <v>130.15572928974265</v>
      </c>
      <c r="H504" s="165">
        <v>1989.1249999999673</v>
      </c>
      <c r="I504" s="172">
        <v>73.966999999999999</v>
      </c>
      <c r="J504" s="163" t="s">
        <v>246</v>
      </c>
      <c r="N504" s="165">
        <f t="shared" si="30"/>
        <v>1989.1249999999673</v>
      </c>
      <c r="O504" s="167">
        <v>121.6</v>
      </c>
      <c r="P504" s="163" t="s">
        <v>241</v>
      </c>
    </row>
    <row r="505" spans="1:16" ht="13.15">
      <c r="A505" s="164">
        <f t="shared" si="31"/>
        <v>1989.2083333333005</v>
      </c>
      <c r="B505" s="164">
        <f t="shared" si="29"/>
        <v>130.18407786164394</v>
      </c>
      <c r="H505" s="165">
        <v>1989.2083333333005</v>
      </c>
      <c r="I505" s="172">
        <v>74.408999999999992</v>
      </c>
      <c r="J505" s="163" t="s">
        <v>246</v>
      </c>
      <c r="N505" s="165">
        <f t="shared" si="30"/>
        <v>1989.2083333333005</v>
      </c>
      <c r="O505" s="167">
        <v>122.3</v>
      </c>
      <c r="P505" s="163" t="s">
        <v>241</v>
      </c>
    </row>
    <row r="506" spans="1:16" ht="13.15">
      <c r="A506" s="164">
        <f t="shared" si="31"/>
        <v>1989.2916666666338</v>
      </c>
      <c r="B506" s="164">
        <f t="shared" si="29"/>
        <v>130.13413753383315</v>
      </c>
      <c r="H506" s="165">
        <v>1989.2916666666338</v>
      </c>
      <c r="I506" s="172">
        <v>74.867000000000004</v>
      </c>
      <c r="J506" s="163" t="s">
        <v>246</v>
      </c>
      <c r="N506" s="165">
        <f t="shared" si="30"/>
        <v>1989.2916666666338</v>
      </c>
      <c r="O506" s="167">
        <v>123.1</v>
      </c>
      <c r="P506" s="163" t="s">
        <v>241</v>
      </c>
    </row>
    <row r="507" spans="1:16" ht="13.15">
      <c r="A507" s="164">
        <f t="shared" si="31"/>
        <v>1989.374999999967</v>
      </c>
      <c r="B507" s="164">
        <f t="shared" si="29"/>
        <v>130.13806744796386</v>
      </c>
      <c r="H507" s="165">
        <v>1989.374999999967</v>
      </c>
      <c r="I507" s="172">
        <v>75.295000000000002</v>
      </c>
      <c r="J507" s="163" t="s">
        <v>246</v>
      </c>
      <c r="N507" s="165">
        <f t="shared" si="30"/>
        <v>1989.374999999967</v>
      </c>
      <c r="O507" s="167">
        <v>123.8</v>
      </c>
      <c r="P507" s="163" t="s">
        <v>241</v>
      </c>
    </row>
    <row r="508" spans="1:16" ht="13.15">
      <c r="A508" s="164">
        <f t="shared" si="31"/>
        <v>1989.4583333333003</v>
      </c>
      <c r="B508" s="164">
        <f t="shared" ref="B508:B571" si="32">100*(I508/O508)/(I$8/O$8)</f>
        <v>130.51487429683746</v>
      </c>
      <c r="H508" s="165">
        <v>1989.4583333333003</v>
      </c>
      <c r="I508" s="172">
        <v>75.695999999999998</v>
      </c>
      <c r="J508" s="163" t="s">
        <v>246</v>
      </c>
      <c r="N508" s="165">
        <f t="shared" si="30"/>
        <v>1989.4583333333003</v>
      </c>
      <c r="O508" s="167">
        <v>124.1</v>
      </c>
      <c r="P508" s="163" t="s">
        <v>241</v>
      </c>
    </row>
    <row r="509" spans="1:16" ht="13.15">
      <c r="A509" s="164">
        <f t="shared" si="31"/>
        <v>1989.5416666666335</v>
      </c>
      <c r="B509" s="164">
        <f t="shared" si="32"/>
        <v>130.79354152414805</v>
      </c>
      <c r="H509" s="165">
        <v>1989.5416666666335</v>
      </c>
      <c r="I509" s="172">
        <v>76.040999999999997</v>
      </c>
      <c r="J509" s="163" t="s">
        <v>246</v>
      </c>
      <c r="N509" s="165">
        <f t="shared" si="30"/>
        <v>1989.5416666666335</v>
      </c>
      <c r="O509" s="167">
        <v>124.4</v>
      </c>
      <c r="P509" s="163" t="s">
        <v>241</v>
      </c>
    </row>
    <row r="510" spans="1:16" ht="13.15">
      <c r="A510" s="164">
        <f t="shared" si="31"/>
        <v>1989.6249999999668</v>
      </c>
      <c r="B510" s="164">
        <f t="shared" si="32"/>
        <v>130.98029145632509</v>
      </c>
      <c r="H510" s="165">
        <v>1989.6249999999668</v>
      </c>
      <c r="I510" s="172">
        <v>76.271999999999991</v>
      </c>
      <c r="J510" s="163" t="s">
        <v>246</v>
      </c>
      <c r="N510" s="165">
        <f t="shared" si="30"/>
        <v>1989.6249999999668</v>
      </c>
      <c r="O510" s="167">
        <v>124.6</v>
      </c>
      <c r="P510" s="163" t="s">
        <v>241</v>
      </c>
    </row>
    <row r="511" spans="1:16" ht="13.15">
      <c r="A511" s="164">
        <f t="shared" si="31"/>
        <v>1989.7083333333001</v>
      </c>
      <c r="B511" s="164">
        <f t="shared" si="32"/>
        <v>130.81621027182968</v>
      </c>
      <c r="H511" s="165">
        <v>1989.7083333333001</v>
      </c>
      <c r="I511" s="172">
        <v>76.421000000000006</v>
      </c>
      <c r="J511" s="163" t="s">
        <v>246</v>
      </c>
      <c r="N511" s="165">
        <f t="shared" si="30"/>
        <v>1989.7083333333001</v>
      </c>
      <c r="O511" s="167">
        <v>125</v>
      </c>
      <c r="P511" s="163" t="s">
        <v>241</v>
      </c>
    </row>
    <row r="512" spans="1:16" ht="13.15">
      <c r="A512" s="164">
        <f t="shared" si="31"/>
        <v>1989.7916666666333</v>
      </c>
      <c r="B512" s="164">
        <f t="shared" si="32"/>
        <v>130.30543368762599</v>
      </c>
      <c r="H512" s="165">
        <v>1989.7916666666333</v>
      </c>
      <c r="I512" s="172">
        <v>76.488</v>
      </c>
      <c r="J512" s="163" t="s">
        <v>246</v>
      </c>
      <c r="N512" s="165">
        <f t="shared" si="30"/>
        <v>1989.7916666666333</v>
      </c>
      <c r="O512" s="167">
        <v>125.6</v>
      </c>
      <c r="P512" s="163" t="s">
        <v>241</v>
      </c>
    </row>
    <row r="513" spans="1:16" ht="13.15">
      <c r="A513" s="164">
        <f t="shared" si="31"/>
        <v>1989.8749999999666</v>
      </c>
      <c r="B513" s="164">
        <f t="shared" si="32"/>
        <v>130.05102127313612</v>
      </c>
      <c r="H513" s="165">
        <v>1989.8749999999666</v>
      </c>
      <c r="I513" s="172">
        <v>76.521000000000001</v>
      </c>
      <c r="J513" s="163" t="s">
        <v>246</v>
      </c>
      <c r="N513" s="165">
        <f t="shared" si="30"/>
        <v>1989.8749999999666</v>
      </c>
      <c r="O513" s="167">
        <v>125.9</v>
      </c>
      <c r="P513" s="163" t="s">
        <v>241</v>
      </c>
    </row>
    <row r="514" spans="1:16" ht="13.15">
      <c r="A514" s="164">
        <f t="shared" si="31"/>
        <v>1989.9583333332998</v>
      </c>
      <c r="B514" s="164">
        <f t="shared" si="32"/>
        <v>129.80572720536668</v>
      </c>
      <c r="H514" s="165">
        <v>1989.9583333332998</v>
      </c>
      <c r="I514" s="172">
        <v>76.498000000000005</v>
      </c>
      <c r="J514" s="163" t="s">
        <v>246</v>
      </c>
      <c r="N514" s="165">
        <f t="shared" si="30"/>
        <v>1989.9583333332998</v>
      </c>
      <c r="O514" s="167">
        <v>126.1</v>
      </c>
      <c r="P514" s="163" t="s">
        <v>241</v>
      </c>
    </row>
    <row r="515" spans="1:16" ht="13.15">
      <c r="A515" s="164">
        <f t="shared" si="31"/>
        <v>1990.0416666666331</v>
      </c>
      <c r="B515" s="164">
        <f t="shared" si="32"/>
        <v>128.5298855254818</v>
      </c>
      <c r="H515" s="165">
        <v>1990.0416666666331</v>
      </c>
      <c r="I515" s="172">
        <v>76.527000000000001</v>
      </c>
      <c r="J515" s="163" t="s">
        <v>246</v>
      </c>
      <c r="N515" s="165">
        <f t="shared" si="30"/>
        <v>1990.0416666666331</v>
      </c>
      <c r="O515" s="167">
        <v>127.4</v>
      </c>
      <c r="P515" s="163" t="s">
        <v>241</v>
      </c>
    </row>
    <row r="516" spans="1:16" ht="13.15">
      <c r="A516" s="164">
        <f t="shared" si="31"/>
        <v>1990.1249999999663</v>
      </c>
      <c r="B516" s="164">
        <f t="shared" si="32"/>
        <v>128.02770150415517</v>
      </c>
      <c r="H516" s="165">
        <v>1990.1249999999663</v>
      </c>
      <c r="I516" s="172">
        <v>76.587000000000003</v>
      </c>
      <c r="J516" s="163" t="s">
        <v>246</v>
      </c>
      <c r="N516" s="165">
        <f t="shared" si="30"/>
        <v>1990.1249999999663</v>
      </c>
      <c r="O516" s="167">
        <v>128</v>
      </c>
      <c r="P516" s="163" t="s">
        <v>241</v>
      </c>
    </row>
    <row r="517" spans="1:16" ht="13.15">
      <c r="A517" s="164">
        <f t="shared" si="31"/>
        <v>1990.2083333332996</v>
      </c>
      <c r="B517" s="164">
        <f t="shared" si="32"/>
        <v>127.66886013970002</v>
      </c>
      <c r="H517" s="165">
        <v>1990.2083333332996</v>
      </c>
      <c r="I517" s="172">
        <v>76.790000000000006</v>
      </c>
      <c r="J517" s="163" t="s">
        <v>246</v>
      </c>
      <c r="N517" s="165">
        <f t="shared" si="30"/>
        <v>1990.2083333332996</v>
      </c>
      <c r="O517" s="167">
        <v>128.69999999999999</v>
      </c>
      <c r="P517" s="163" t="s">
        <v>241</v>
      </c>
    </row>
    <row r="518" spans="1:16" ht="13.15">
      <c r="A518" s="164">
        <f t="shared" si="31"/>
        <v>1990.2916666666329</v>
      </c>
      <c r="B518" s="164">
        <f t="shared" si="32"/>
        <v>127.882448331001</v>
      </c>
      <c r="H518" s="165">
        <v>1990.2916666666329</v>
      </c>
      <c r="I518" s="172">
        <v>77.037999999999997</v>
      </c>
      <c r="J518" s="163" t="s">
        <v>246</v>
      </c>
      <c r="N518" s="165">
        <f t="shared" si="30"/>
        <v>1990.2916666666329</v>
      </c>
      <c r="O518" s="167">
        <v>128.9</v>
      </c>
      <c r="P518" s="163" t="s">
        <v>241</v>
      </c>
    </row>
    <row r="519" spans="1:16" ht="13.15">
      <c r="A519" s="164">
        <f t="shared" si="31"/>
        <v>1990.3749999999661</v>
      </c>
      <c r="B519" s="164">
        <f t="shared" si="32"/>
        <v>128.01279109275217</v>
      </c>
      <c r="H519" s="165">
        <v>1990.3749999999661</v>
      </c>
      <c r="I519" s="172">
        <v>77.296000000000006</v>
      </c>
      <c r="J519" s="163" t="s">
        <v>246</v>
      </c>
      <c r="N519" s="165">
        <f t="shared" si="30"/>
        <v>1990.3749999999661</v>
      </c>
      <c r="O519" s="167">
        <v>129.19999999999999</v>
      </c>
      <c r="P519" s="163" t="s">
        <v>241</v>
      </c>
    </row>
    <row r="520" spans="1:16" ht="13.15">
      <c r="A520" s="164">
        <f t="shared" si="31"/>
        <v>1990.4583333332994</v>
      </c>
      <c r="B520" s="164">
        <f t="shared" si="32"/>
        <v>127.66722828552466</v>
      </c>
      <c r="H520" s="165">
        <v>1990.4583333332994</v>
      </c>
      <c r="I520" s="172">
        <v>77.504999999999995</v>
      </c>
      <c r="J520" s="163" t="s">
        <v>246</v>
      </c>
      <c r="N520" s="165">
        <f t="shared" si="30"/>
        <v>1990.4583333332994</v>
      </c>
      <c r="O520" s="167">
        <v>129.9</v>
      </c>
      <c r="P520" s="163" t="s">
        <v>241</v>
      </c>
    </row>
    <row r="521" spans="1:16" ht="13.15">
      <c r="A521" s="164">
        <f t="shared" si="31"/>
        <v>1990.5416666666326</v>
      </c>
      <c r="B521" s="164">
        <f t="shared" si="32"/>
        <v>127.26795602883186</v>
      </c>
      <c r="H521" s="165">
        <v>1990.5416666666326</v>
      </c>
      <c r="I521" s="172">
        <v>77.56</v>
      </c>
      <c r="J521" s="163" t="s">
        <v>246</v>
      </c>
      <c r="N521" s="165">
        <f t="shared" ref="N521:N584" si="33">N520+1/12</f>
        <v>1990.5416666666326</v>
      </c>
      <c r="O521" s="167">
        <v>130.4</v>
      </c>
      <c r="P521" s="163" t="s">
        <v>241</v>
      </c>
    </row>
    <row r="522" spans="1:16" ht="13.15">
      <c r="A522" s="164">
        <f t="shared" si="31"/>
        <v>1990.6249999999659</v>
      </c>
      <c r="B522" s="164">
        <f t="shared" si="32"/>
        <v>125.97575727788208</v>
      </c>
      <c r="H522" s="165">
        <v>1990.6249999999659</v>
      </c>
      <c r="I522" s="172">
        <v>77.478999999999999</v>
      </c>
      <c r="J522" s="163" t="s">
        <v>246</v>
      </c>
      <c r="N522" s="165">
        <f t="shared" si="33"/>
        <v>1990.6249999999659</v>
      </c>
      <c r="O522" s="167">
        <v>131.6</v>
      </c>
      <c r="P522" s="163" t="s">
        <v>241</v>
      </c>
    </row>
    <row r="523" spans="1:16" ht="13.15">
      <c r="A523" s="164">
        <f t="shared" si="31"/>
        <v>1990.7083333332992</v>
      </c>
      <c r="B523" s="164">
        <f t="shared" si="32"/>
        <v>124.52838298414818</v>
      </c>
      <c r="H523" s="165">
        <v>1990.7083333332992</v>
      </c>
      <c r="I523" s="172">
        <v>77.228999999999999</v>
      </c>
      <c r="J523" s="163" t="s">
        <v>246</v>
      </c>
      <c r="N523" s="165">
        <f t="shared" si="33"/>
        <v>1990.7083333332992</v>
      </c>
      <c r="O523" s="167">
        <v>132.69999999999999</v>
      </c>
      <c r="P523" s="163" t="s">
        <v>241</v>
      </c>
    </row>
    <row r="524" spans="1:16" ht="13.15">
      <c r="A524" s="164">
        <f t="shared" si="31"/>
        <v>1990.7916666666324</v>
      </c>
      <c r="B524" s="164">
        <f t="shared" si="32"/>
        <v>123.27405991787658</v>
      </c>
      <c r="H524" s="165">
        <v>1990.7916666666324</v>
      </c>
      <c r="I524" s="172">
        <v>76.911999999999992</v>
      </c>
      <c r="J524" s="163" t="s">
        <v>246</v>
      </c>
      <c r="N524" s="165">
        <f t="shared" si="33"/>
        <v>1990.7916666666324</v>
      </c>
      <c r="O524" s="167">
        <v>133.5</v>
      </c>
      <c r="P524" s="163" t="s">
        <v>241</v>
      </c>
    </row>
    <row r="525" spans="1:16" ht="13.15">
      <c r="A525" s="164">
        <f t="shared" si="31"/>
        <v>1990.8749999999657</v>
      </c>
      <c r="B525" s="164">
        <f t="shared" si="32"/>
        <v>122.14848554749668</v>
      </c>
      <c r="H525" s="165">
        <v>1990.8749999999657</v>
      </c>
      <c r="I525" s="172">
        <v>76.381</v>
      </c>
      <c r="J525" s="163" t="s">
        <v>246</v>
      </c>
      <c r="N525" s="165">
        <f t="shared" si="33"/>
        <v>1990.8749999999657</v>
      </c>
      <c r="O525" s="167">
        <v>133.80000000000001</v>
      </c>
      <c r="P525" s="163" t="s">
        <v>241</v>
      </c>
    </row>
    <row r="526" spans="1:16" ht="13.15">
      <c r="A526" s="164">
        <f t="shared" si="31"/>
        <v>1990.9583333332989</v>
      </c>
      <c r="B526" s="164">
        <f t="shared" si="32"/>
        <v>121.49441279918325</v>
      </c>
      <c r="H526" s="165">
        <v>1990.9583333332989</v>
      </c>
      <c r="I526" s="172">
        <v>75.971999999999994</v>
      </c>
      <c r="J526" s="163" t="s">
        <v>246</v>
      </c>
      <c r="N526" s="165">
        <f t="shared" si="33"/>
        <v>1990.9583333332989</v>
      </c>
      <c r="O526" s="167">
        <v>133.80000000000001</v>
      </c>
      <c r="P526" s="163" t="s">
        <v>241</v>
      </c>
    </row>
    <row r="527" spans="1:16" ht="13.15">
      <c r="A527" s="164">
        <f t="shared" si="31"/>
        <v>1991.0416666666322</v>
      </c>
      <c r="B527" s="164">
        <f t="shared" si="32"/>
        <v>120.07443024155759</v>
      </c>
      <c r="H527" s="165">
        <v>1991.0416666666322</v>
      </c>
      <c r="I527" s="172">
        <v>75.533000000000001</v>
      </c>
      <c r="J527" s="163" t="s">
        <v>246</v>
      </c>
      <c r="N527" s="165">
        <f t="shared" si="33"/>
        <v>1991.0416666666322</v>
      </c>
      <c r="O527" s="167">
        <v>134.6</v>
      </c>
      <c r="P527" s="163" t="s">
        <v>241</v>
      </c>
    </row>
    <row r="528" spans="1:16" ht="13.15">
      <c r="A528" s="164">
        <f t="shared" si="31"/>
        <v>1991.1249999999654</v>
      </c>
      <c r="B528" s="164">
        <f t="shared" si="32"/>
        <v>119.44388740157743</v>
      </c>
      <c r="H528" s="165">
        <v>1991.1249999999654</v>
      </c>
      <c r="I528" s="172">
        <v>75.248000000000005</v>
      </c>
      <c r="J528" s="163" t="s">
        <v>246</v>
      </c>
      <c r="N528" s="165">
        <f t="shared" si="33"/>
        <v>1991.1249999999654</v>
      </c>
      <c r="O528" s="167">
        <v>134.80000000000001</v>
      </c>
      <c r="P528" s="163" t="s">
        <v>241</v>
      </c>
    </row>
    <row r="529" spans="1:16" ht="13.15">
      <c r="A529" s="164">
        <f t="shared" si="31"/>
        <v>1991.2083333332987</v>
      </c>
      <c r="B529" s="164">
        <f t="shared" si="32"/>
        <v>119.08941520078827</v>
      </c>
      <c r="H529" s="165">
        <v>1991.2083333332987</v>
      </c>
      <c r="I529" s="172">
        <v>75.13600000000001</v>
      </c>
      <c r="J529" s="163" t="s">
        <v>246</v>
      </c>
      <c r="N529" s="165">
        <f t="shared" si="33"/>
        <v>1991.2083333332987</v>
      </c>
      <c r="O529" s="167">
        <v>135</v>
      </c>
      <c r="P529" s="163" t="s">
        <v>241</v>
      </c>
    </row>
    <row r="530" spans="1:16" ht="13.15">
      <c r="A530" s="164">
        <f t="shared" si="31"/>
        <v>1991.291666666632</v>
      </c>
      <c r="B530" s="164">
        <f t="shared" si="32"/>
        <v>119.19654000680292</v>
      </c>
      <c r="H530" s="165">
        <v>1991.291666666632</v>
      </c>
      <c r="I530" s="172">
        <v>75.314999999999998</v>
      </c>
      <c r="J530" s="163" t="s">
        <v>246</v>
      </c>
      <c r="N530" s="165">
        <f t="shared" si="33"/>
        <v>1991.291666666632</v>
      </c>
      <c r="O530" s="167">
        <v>135.19999999999999</v>
      </c>
      <c r="P530" s="163" t="s">
        <v>241</v>
      </c>
    </row>
    <row r="531" spans="1:16" ht="13.15">
      <c r="A531" s="164">
        <f t="shared" si="31"/>
        <v>1991.3749999999652</v>
      </c>
      <c r="B531" s="164">
        <f t="shared" si="32"/>
        <v>119.55974890958777</v>
      </c>
      <c r="H531" s="165">
        <v>1991.3749999999652</v>
      </c>
      <c r="I531" s="172">
        <v>75.768000000000001</v>
      </c>
      <c r="J531" s="163" t="s">
        <v>246</v>
      </c>
      <c r="N531" s="165">
        <f t="shared" si="33"/>
        <v>1991.3749999999652</v>
      </c>
      <c r="O531" s="167">
        <v>135.6</v>
      </c>
      <c r="P531" s="163" t="s">
        <v>241</v>
      </c>
    </row>
    <row r="532" spans="1:16" ht="13.15">
      <c r="A532" s="164">
        <f t="shared" si="31"/>
        <v>1991.4583333332985</v>
      </c>
      <c r="B532" s="164">
        <f t="shared" si="32"/>
        <v>119.97116786426011</v>
      </c>
      <c r="H532" s="165">
        <v>1991.4583333332985</v>
      </c>
      <c r="I532" s="172">
        <v>76.253</v>
      </c>
      <c r="J532" s="163" t="s">
        <v>246</v>
      </c>
      <c r="N532" s="165">
        <f t="shared" si="33"/>
        <v>1991.4583333332985</v>
      </c>
      <c r="O532" s="167">
        <v>136</v>
      </c>
      <c r="P532" s="163" t="s">
        <v>241</v>
      </c>
    </row>
    <row r="533" spans="1:16" ht="13.15">
      <c r="A533" s="164">
        <f t="shared" si="31"/>
        <v>1991.5416666666317</v>
      </c>
      <c r="B533" s="164">
        <f t="shared" si="32"/>
        <v>120.20974806545867</v>
      </c>
      <c r="H533" s="165">
        <v>1991.5416666666317</v>
      </c>
      <c r="I533" s="172">
        <v>76.516999999999996</v>
      </c>
      <c r="J533" s="163" t="s">
        <v>246</v>
      </c>
      <c r="N533" s="165">
        <f t="shared" si="33"/>
        <v>1991.5416666666317</v>
      </c>
      <c r="O533" s="167">
        <v>136.19999999999999</v>
      </c>
      <c r="P533" s="163" t="s">
        <v>241</v>
      </c>
    </row>
    <row r="534" spans="1:16" ht="13.15">
      <c r="A534" s="164">
        <f t="shared" si="31"/>
        <v>1991.624999999965</v>
      </c>
      <c r="B534" s="164">
        <f t="shared" si="32"/>
        <v>119.978357270377</v>
      </c>
      <c r="H534" s="165">
        <v>1991.624999999965</v>
      </c>
      <c r="I534" s="172">
        <v>76.593999999999994</v>
      </c>
      <c r="J534" s="163" t="s">
        <v>246</v>
      </c>
      <c r="N534" s="165">
        <f t="shared" si="33"/>
        <v>1991.624999999965</v>
      </c>
      <c r="O534" s="167">
        <v>136.6</v>
      </c>
      <c r="P534" s="163" t="s">
        <v>241</v>
      </c>
    </row>
    <row r="535" spans="1:16" ht="13.15">
      <c r="A535" s="164">
        <f t="shared" si="31"/>
        <v>1991.7083333332982</v>
      </c>
      <c r="B535" s="164">
        <f t="shared" si="32"/>
        <v>119.42403875520968</v>
      </c>
      <c r="H535" s="165">
        <v>1991.7083333332982</v>
      </c>
      <c r="I535" s="172">
        <v>76.575000000000003</v>
      </c>
      <c r="J535" s="163" t="s">
        <v>246</v>
      </c>
      <c r="N535" s="165">
        <f t="shared" si="33"/>
        <v>1991.7083333332982</v>
      </c>
      <c r="O535" s="167">
        <v>137.19999999999999</v>
      </c>
      <c r="P535" s="163" t="s">
        <v>241</v>
      </c>
    </row>
    <row r="536" spans="1:16" ht="13.15">
      <c r="A536" s="164">
        <f t="shared" si="31"/>
        <v>1991.7916666666315</v>
      </c>
      <c r="B536" s="164">
        <f t="shared" si="32"/>
        <v>118.80637429718887</v>
      </c>
      <c r="H536" s="165">
        <v>1991.7916666666315</v>
      </c>
      <c r="I536" s="172">
        <v>76.290000000000006</v>
      </c>
      <c r="J536" s="163" t="s">
        <v>246</v>
      </c>
      <c r="N536" s="165">
        <f t="shared" si="33"/>
        <v>1991.7916666666315</v>
      </c>
      <c r="O536" s="167">
        <v>137.4</v>
      </c>
      <c r="P536" s="163" t="s">
        <v>241</v>
      </c>
    </row>
    <row r="537" spans="1:16" ht="13.15">
      <c r="A537" s="164">
        <f t="shared" si="31"/>
        <v>1991.8749999999648</v>
      </c>
      <c r="B537" s="164">
        <f t="shared" si="32"/>
        <v>118.05778565478967</v>
      </c>
      <c r="H537" s="165">
        <v>1991.8749999999648</v>
      </c>
      <c r="I537" s="172">
        <v>76.03</v>
      </c>
      <c r="J537" s="163" t="s">
        <v>246</v>
      </c>
      <c r="N537" s="165">
        <f t="shared" si="33"/>
        <v>1991.8749999999648</v>
      </c>
      <c r="O537" s="167">
        <v>137.80000000000001</v>
      </c>
      <c r="P537" s="163" t="s">
        <v>241</v>
      </c>
    </row>
    <row r="538" spans="1:16" ht="13.15">
      <c r="A538" s="164">
        <f t="shared" si="31"/>
        <v>1991.958333333298</v>
      </c>
      <c r="B538" s="164">
        <f t="shared" si="32"/>
        <v>117.68201539428534</v>
      </c>
      <c r="H538" s="165">
        <v>1991.958333333298</v>
      </c>
      <c r="I538" s="172">
        <v>75.843000000000004</v>
      </c>
      <c r="J538" s="163" t="s">
        <v>246</v>
      </c>
      <c r="N538" s="165">
        <f t="shared" si="33"/>
        <v>1991.958333333298</v>
      </c>
      <c r="O538" s="167">
        <v>137.9</v>
      </c>
      <c r="P538" s="163" t="s">
        <v>241</v>
      </c>
    </row>
    <row r="539" spans="1:16" ht="13.15">
      <c r="A539" s="164">
        <f t="shared" si="31"/>
        <v>1992.0416666666313</v>
      </c>
      <c r="B539" s="164">
        <f t="shared" si="32"/>
        <v>117.28692140567496</v>
      </c>
      <c r="H539" s="165">
        <v>1992.0416666666313</v>
      </c>
      <c r="I539" s="172">
        <v>75.697999999999993</v>
      </c>
      <c r="J539" s="163" t="s">
        <v>246</v>
      </c>
      <c r="N539" s="165">
        <f t="shared" si="33"/>
        <v>1992.0416666666313</v>
      </c>
      <c r="O539" s="167">
        <v>138.1</v>
      </c>
      <c r="P539" s="163" t="s">
        <v>241</v>
      </c>
    </row>
    <row r="540" spans="1:16" ht="13.15">
      <c r="A540" s="164">
        <f t="shared" si="31"/>
        <v>1992.1249999999645</v>
      </c>
      <c r="B540" s="164">
        <f t="shared" si="32"/>
        <v>116.79588049514932</v>
      </c>
      <c r="H540" s="165">
        <v>1992.1249999999645</v>
      </c>
      <c r="I540" s="172">
        <v>75.653999999999996</v>
      </c>
      <c r="J540" s="163" t="s">
        <v>246</v>
      </c>
      <c r="N540" s="165">
        <f t="shared" si="33"/>
        <v>1992.1249999999645</v>
      </c>
      <c r="O540" s="167">
        <v>138.6</v>
      </c>
      <c r="P540" s="163" t="s">
        <v>241</v>
      </c>
    </row>
    <row r="541" spans="1:16" ht="13.15">
      <c r="A541" s="164">
        <f t="shared" si="31"/>
        <v>1992.2083333332978</v>
      </c>
      <c r="B541" s="164">
        <f t="shared" si="32"/>
        <v>116.45166375905323</v>
      </c>
      <c r="H541" s="165">
        <v>1992.2083333332978</v>
      </c>
      <c r="I541" s="172">
        <v>75.811999999999998</v>
      </c>
      <c r="J541" s="163" t="s">
        <v>246</v>
      </c>
      <c r="N541" s="165">
        <f t="shared" si="33"/>
        <v>1992.2083333332978</v>
      </c>
      <c r="O541" s="167">
        <v>139.30000000000001</v>
      </c>
      <c r="P541" s="163" t="s">
        <v>241</v>
      </c>
    </row>
    <row r="542" spans="1:16" ht="13.15">
      <c r="A542" s="164">
        <f t="shared" si="31"/>
        <v>1992.291666666631</v>
      </c>
      <c r="B542" s="164">
        <f t="shared" si="32"/>
        <v>116.69424758022572</v>
      </c>
      <c r="H542" s="165">
        <v>1992.291666666631</v>
      </c>
      <c r="I542" s="172">
        <v>76.078999999999994</v>
      </c>
      <c r="J542" s="163" t="s">
        <v>246</v>
      </c>
      <c r="N542" s="165">
        <f t="shared" si="33"/>
        <v>1992.291666666631</v>
      </c>
      <c r="O542" s="167">
        <v>139.5</v>
      </c>
      <c r="P542" s="163" t="s">
        <v>241</v>
      </c>
    </row>
    <row r="543" spans="1:16" ht="13.15">
      <c r="A543" s="164">
        <f t="shared" si="31"/>
        <v>1992.3749999999643</v>
      </c>
      <c r="B543" s="164">
        <f t="shared" si="32"/>
        <v>117.0142514913709</v>
      </c>
      <c r="H543" s="165">
        <v>1992.3749999999643</v>
      </c>
      <c r="I543" s="172">
        <v>76.396999999999991</v>
      </c>
      <c r="J543" s="163" t="s">
        <v>246</v>
      </c>
      <c r="N543" s="165">
        <f t="shared" si="33"/>
        <v>1992.3749999999643</v>
      </c>
      <c r="O543" s="167">
        <v>139.69999999999999</v>
      </c>
      <c r="P543" s="163" t="s">
        <v>241</v>
      </c>
    </row>
    <row r="544" spans="1:16" ht="13.15">
      <c r="A544" s="164">
        <f t="shared" si="31"/>
        <v>1992.4583333332976</v>
      </c>
      <c r="B544" s="164">
        <f t="shared" si="32"/>
        <v>116.90828397813937</v>
      </c>
      <c r="H544" s="165">
        <v>1992.4583333332976</v>
      </c>
      <c r="I544" s="172">
        <v>76.600999999999999</v>
      </c>
      <c r="J544" s="163" t="s">
        <v>246</v>
      </c>
      <c r="N544" s="165">
        <f t="shared" si="33"/>
        <v>1992.4583333332976</v>
      </c>
      <c r="O544" s="167">
        <v>140.19999999999999</v>
      </c>
      <c r="P544" s="163" t="s">
        <v>241</v>
      </c>
    </row>
    <row r="545" spans="1:16" ht="13.15">
      <c r="A545" s="164">
        <f t="shared" si="31"/>
        <v>1992.5416666666308</v>
      </c>
      <c r="B545" s="164">
        <f t="shared" si="32"/>
        <v>116.82465811054865</v>
      </c>
      <c r="H545" s="165">
        <v>1992.5416666666308</v>
      </c>
      <c r="I545" s="172">
        <v>76.709999999999994</v>
      </c>
      <c r="J545" s="163" t="s">
        <v>246</v>
      </c>
      <c r="N545" s="165">
        <f t="shared" si="33"/>
        <v>1992.5416666666308</v>
      </c>
      <c r="O545" s="167">
        <v>140.5</v>
      </c>
      <c r="P545" s="163" t="s">
        <v>241</v>
      </c>
    </row>
    <row r="546" spans="1:16" ht="13.15">
      <c r="A546" s="164">
        <f t="shared" si="31"/>
        <v>1992.6249999999641</v>
      </c>
      <c r="B546" s="164">
        <f t="shared" si="32"/>
        <v>116.52489635441452</v>
      </c>
      <c r="H546" s="165">
        <v>1992.6249999999641</v>
      </c>
      <c r="I546" s="172">
        <v>76.731000000000009</v>
      </c>
      <c r="J546" s="163" t="s">
        <v>246</v>
      </c>
      <c r="N546" s="165">
        <f t="shared" si="33"/>
        <v>1992.6249999999641</v>
      </c>
      <c r="O546" s="167">
        <v>140.9</v>
      </c>
      <c r="P546" s="163" t="s">
        <v>241</v>
      </c>
    </row>
    <row r="547" spans="1:16" ht="13.15">
      <c r="A547" s="164">
        <f t="shared" si="31"/>
        <v>1992.7083333332973</v>
      </c>
      <c r="B547" s="164">
        <f t="shared" si="32"/>
        <v>116.03754218156764</v>
      </c>
      <c r="H547" s="165">
        <v>1992.7083333332973</v>
      </c>
      <c r="I547" s="172">
        <v>76.626999999999995</v>
      </c>
      <c r="J547" s="163" t="s">
        <v>246</v>
      </c>
      <c r="N547" s="165">
        <f t="shared" si="33"/>
        <v>1992.7083333332973</v>
      </c>
      <c r="O547" s="167">
        <v>141.30000000000001</v>
      </c>
      <c r="P547" s="163" t="s">
        <v>241</v>
      </c>
    </row>
    <row r="548" spans="1:16" ht="13.15">
      <c r="A548" s="164">
        <f t="shared" si="31"/>
        <v>1992.7916666666306</v>
      </c>
      <c r="B548" s="164">
        <f t="shared" si="32"/>
        <v>115.583113695083</v>
      </c>
      <c r="H548" s="165">
        <v>1992.7916666666306</v>
      </c>
      <c r="I548" s="172">
        <v>76.596999999999994</v>
      </c>
      <c r="J548" s="163" t="s">
        <v>246</v>
      </c>
      <c r="N548" s="165">
        <f t="shared" si="33"/>
        <v>1992.7916666666306</v>
      </c>
      <c r="O548" s="167">
        <v>141.80000000000001</v>
      </c>
      <c r="P548" s="163" t="s">
        <v>241</v>
      </c>
    </row>
    <row r="549" spans="1:16" ht="13.15">
      <c r="A549" s="164">
        <f t="shared" si="31"/>
        <v>1992.8749999999638</v>
      </c>
      <c r="B549" s="164">
        <f t="shared" si="32"/>
        <v>115.39169039467632</v>
      </c>
      <c r="H549" s="165">
        <v>1992.8749999999638</v>
      </c>
      <c r="I549" s="172">
        <v>76.578000000000003</v>
      </c>
      <c r="J549" s="163" t="s">
        <v>246</v>
      </c>
      <c r="N549" s="165">
        <f t="shared" si="33"/>
        <v>1992.8749999999638</v>
      </c>
      <c r="O549" s="167">
        <v>142</v>
      </c>
      <c r="P549" s="163" t="s">
        <v>241</v>
      </c>
    </row>
    <row r="550" spans="1:16" ht="13.15">
      <c r="A550" s="164">
        <f t="shared" si="31"/>
        <v>1992.9583333332971</v>
      </c>
      <c r="B550" s="164">
        <f t="shared" si="32"/>
        <v>115.29959934875644</v>
      </c>
      <c r="H550" s="165">
        <v>1992.9583333332971</v>
      </c>
      <c r="I550" s="172">
        <v>76.463000000000008</v>
      </c>
      <c r="J550" s="163" t="s">
        <v>246</v>
      </c>
      <c r="N550" s="165">
        <f t="shared" si="33"/>
        <v>1992.9583333332971</v>
      </c>
      <c r="O550" s="167">
        <v>141.9</v>
      </c>
      <c r="P550" s="163" t="s">
        <v>241</v>
      </c>
    </row>
    <row r="551" spans="1:16" ht="13.15">
      <c r="A551" s="164">
        <f t="shared" si="31"/>
        <v>1993.0416666666304</v>
      </c>
      <c r="B551" s="164">
        <f t="shared" si="32"/>
        <v>114.63007724063985</v>
      </c>
      <c r="H551" s="165">
        <v>1993.0416666666304</v>
      </c>
      <c r="I551" s="172">
        <v>76.393999999999991</v>
      </c>
      <c r="J551" s="163" t="s">
        <v>246</v>
      </c>
      <c r="N551" s="165">
        <f t="shared" si="33"/>
        <v>1993.0416666666304</v>
      </c>
      <c r="O551" s="167">
        <v>142.6</v>
      </c>
      <c r="P551" s="163" t="s">
        <v>241</v>
      </c>
    </row>
    <row r="552" spans="1:16" ht="13.15">
      <c r="A552" s="164">
        <f t="shared" si="31"/>
        <v>1993.1249999999636</v>
      </c>
      <c r="B552" s="164">
        <f t="shared" si="32"/>
        <v>114.12787459388565</v>
      </c>
      <c r="H552" s="165">
        <v>1993.1249999999636</v>
      </c>
      <c r="I552" s="172">
        <v>76.326000000000008</v>
      </c>
      <c r="J552" s="163" t="s">
        <v>246</v>
      </c>
      <c r="N552" s="165">
        <f t="shared" si="33"/>
        <v>1993.1249999999636</v>
      </c>
      <c r="O552" s="167">
        <v>143.1</v>
      </c>
      <c r="P552" s="163" t="s">
        <v>241</v>
      </c>
    </row>
    <row r="553" spans="1:16" ht="13.15">
      <c r="A553" s="164">
        <f t="shared" si="31"/>
        <v>1993.2083333332969</v>
      </c>
      <c r="B553" s="164">
        <f t="shared" si="32"/>
        <v>113.81393690249409</v>
      </c>
      <c r="H553" s="165">
        <v>1993.2083333332969</v>
      </c>
      <c r="I553" s="172">
        <v>76.382000000000005</v>
      </c>
      <c r="J553" s="163" t="s">
        <v>246</v>
      </c>
      <c r="N553" s="165">
        <f t="shared" si="33"/>
        <v>1993.2083333332969</v>
      </c>
      <c r="O553" s="167">
        <v>143.6</v>
      </c>
      <c r="P553" s="163" t="s">
        <v>241</v>
      </c>
    </row>
    <row r="554" spans="1:16" ht="13.15">
      <c r="A554" s="164">
        <f t="shared" si="31"/>
        <v>1993.2916666666301</v>
      </c>
      <c r="B554" s="164">
        <f t="shared" si="32"/>
        <v>113.91087373178836</v>
      </c>
      <c r="H554" s="165">
        <v>1993.2916666666301</v>
      </c>
      <c r="I554" s="172">
        <v>76.66</v>
      </c>
      <c r="J554" s="163" t="s">
        <v>246</v>
      </c>
      <c r="N554" s="165">
        <f t="shared" si="33"/>
        <v>1993.2916666666301</v>
      </c>
      <c r="O554" s="167">
        <v>144</v>
      </c>
      <c r="P554" s="163" t="s">
        <v>241</v>
      </c>
    </row>
    <row r="555" spans="1:16" ht="13.15">
      <c r="A555" s="164">
        <f t="shared" si="31"/>
        <v>1993.3749999999634</v>
      </c>
      <c r="B555" s="164">
        <f t="shared" si="32"/>
        <v>114.30042880290017</v>
      </c>
      <c r="H555" s="165">
        <v>1993.3749999999634</v>
      </c>
      <c r="I555" s="172">
        <v>77.028999999999996</v>
      </c>
      <c r="J555" s="163" t="s">
        <v>246</v>
      </c>
      <c r="N555" s="165">
        <f t="shared" si="33"/>
        <v>1993.3749999999634</v>
      </c>
      <c r="O555" s="167">
        <v>144.19999999999999</v>
      </c>
      <c r="P555" s="163" t="s">
        <v>241</v>
      </c>
    </row>
    <row r="556" spans="1:16" ht="13.15">
      <c r="A556" s="164">
        <f t="shared" si="31"/>
        <v>1993.4583333332967</v>
      </c>
      <c r="B556" s="164">
        <f t="shared" si="32"/>
        <v>114.86227620305101</v>
      </c>
      <c r="H556" s="165">
        <v>1993.4583333332967</v>
      </c>
      <c r="I556" s="172">
        <v>77.515000000000001</v>
      </c>
      <c r="J556" s="163" t="s">
        <v>246</v>
      </c>
      <c r="N556" s="165">
        <f t="shared" si="33"/>
        <v>1993.4583333332967</v>
      </c>
      <c r="O556" s="167">
        <v>144.4</v>
      </c>
      <c r="P556" s="163" t="s">
        <v>241</v>
      </c>
    </row>
    <row r="557" spans="1:16" ht="13.15">
      <c r="A557" s="164">
        <f t="shared" si="31"/>
        <v>1993.5416666666299</v>
      </c>
      <c r="B557" s="164">
        <f t="shared" si="32"/>
        <v>115.40906301746017</v>
      </c>
      <c r="H557" s="165">
        <v>1993.5416666666299</v>
      </c>
      <c r="I557" s="172">
        <v>77.884</v>
      </c>
      <c r="J557" s="163" t="s">
        <v>246</v>
      </c>
      <c r="N557" s="165">
        <f t="shared" si="33"/>
        <v>1993.5416666666299</v>
      </c>
      <c r="O557" s="167">
        <v>144.4</v>
      </c>
      <c r="P557" s="163" t="s">
        <v>241</v>
      </c>
    </row>
    <row r="558" spans="1:16" ht="13.15">
      <c r="A558" s="164">
        <f t="shared" si="31"/>
        <v>1993.6249999999632</v>
      </c>
      <c r="B558" s="164">
        <f t="shared" si="32"/>
        <v>115.45377102017748</v>
      </c>
      <c r="H558" s="165">
        <v>1993.6249999999632</v>
      </c>
      <c r="I558" s="172">
        <v>78.13</v>
      </c>
      <c r="J558" s="163" t="s">
        <v>246</v>
      </c>
      <c r="N558" s="165">
        <f t="shared" si="33"/>
        <v>1993.6249999999632</v>
      </c>
      <c r="O558" s="167">
        <v>144.80000000000001</v>
      </c>
      <c r="P558" s="163" t="s">
        <v>241</v>
      </c>
    </row>
    <row r="559" spans="1:16" ht="13.15">
      <c r="A559" s="164">
        <f t="shared" si="31"/>
        <v>1993.7083333332964</v>
      </c>
      <c r="B559" s="164">
        <f t="shared" si="32"/>
        <v>115.31386789048121</v>
      </c>
      <c r="H559" s="165">
        <v>1993.7083333332964</v>
      </c>
      <c r="I559" s="172">
        <v>78.197000000000003</v>
      </c>
      <c r="J559" s="163" t="s">
        <v>246</v>
      </c>
      <c r="N559" s="165">
        <f t="shared" si="33"/>
        <v>1993.7083333332964</v>
      </c>
      <c r="O559" s="167">
        <v>145.1</v>
      </c>
      <c r="P559" s="163" t="s">
        <v>241</v>
      </c>
    </row>
    <row r="560" spans="1:16" ht="13.15">
      <c r="A560" s="164">
        <f t="shared" si="31"/>
        <v>1993.7916666666297</v>
      </c>
      <c r="B560" s="164">
        <f t="shared" si="32"/>
        <v>114.80081629642038</v>
      </c>
      <c r="H560" s="165">
        <v>1993.7916666666297</v>
      </c>
      <c r="I560" s="172">
        <v>78.171000000000006</v>
      </c>
      <c r="J560" s="163" t="s">
        <v>246</v>
      </c>
      <c r="N560" s="165">
        <f t="shared" si="33"/>
        <v>1993.7916666666297</v>
      </c>
      <c r="O560" s="167">
        <v>145.69999999999999</v>
      </c>
      <c r="P560" s="163" t="s">
        <v>241</v>
      </c>
    </row>
    <row r="561" spans="1:16" ht="13.15">
      <c r="A561" s="164">
        <f t="shared" si="31"/>
        <v>1993.8749999999629</v>
      </c>
      <c r="B561" s="164">
        <f t="shared" si="32"/>
        <v>114.71914258232005</v>
      </c>
      <c r="H561" s="165">
        <v>1993.8749999999629</v>
      </c>
      <c r="I561" s="172">
        <v>78.168999999999997</v>
      </c>
      <c r="J561" s="163" t="s">
        <v>246</v>
      </c>
      <c r="N561" s="165">
        <f t="shared" si="33"/>
        <v>1993.8749999999629</v>
      </c>
      <c r="O561" s="167">
        <v>145.80000000000001</v>
      </c>
      <c r="P561" s="163" t="s">
        <v>241</v>
      </c>
    </row>
    <row r="562" spans="1:16" ht="13.15">
      <c r="A562" s="164">
        <f t="shared" si="31"/>
        <v>1993.9583333332962</v>
      </c>
      <c r="B562" s="164">
        <f t="shared" si="32"/>
        <v>114.63549060868354</v>
      </c>
      <c r="H562" s="165">
        <v>1993.9583333332962</v>
      </c>
      <c r="I562" s="172">
        <v>78.111999999999995</v>
      </c>
      <c r="J562" s="163" t="s">
        <v>246</v>
      </c>
      <c r="N562" s="165">
        <f t="shared" si="33"/>
        <v>1993.9583333332962</v>
      </c>
      <c r="O562" s="167">
        <v>145.80000000000001</v>
      </c>
      <c r="P562" s="163" t="s">
        <v>241</v>
      </c>
    </row>
    <row r="563" spans="1:16" ht="13.15">
      <c r="A563" s="164">
        <f t="shared" si="31"/>
        <v>1994.0416666666295</v>
      </c>
      <c r="B563" s="164">
        <f t="shared" si="32"/>
        <v>114.44771685261227</v>
      </c>
      <c r="H563" s="165">
        <v>1994.0416666666295</v>
      </c>
      <c r="I563" s="172">
        <v>78.198000000000008</v>
      </c>
      <c r="J563" s="163" t="s">
        <v>246</v>
      </c>
      <c r="N563" s="165">
        <f t="shared" si="33"/>
        <v>1994.0416666666295</v>
      </c>
      <c r="O563" s="167">
        <v>146.19999999999999</v>
      </c>
      <c r="P563" s="163" t="s">
        <v>241</v>
      </c>
    </row>
    <row r="564" spans="1:16" ht="13.15">
      <c r="A564" s="164">
        <f t="shared" si="31"/>
        <v>1994.1249999999627</v>
      </c>
      <c r="B564" s="164">
        <f t="shared" si="32"/>
        <v>114.06639428432489</v>
      </c>
      <c r="H564" s="165">
        <v>1994.1249999999627</v>
      </c>
      <c r="I564" s="172">
        <v>78.203999999999994</v>
      </c>
      <c r="J564" s="163" t="s">
        <v>246</v>
      </c>
      <c r="N564" s="165">
        <f t="shared" si="33"/>
        <v>1994.1249999999627</v>
      </c>
      <c r="O564" s="167">
        <v>146.69999999999999</v>
      </c>
      <c r="P564" s="163" t="s">
        <v>241</v>
      </c>
    </row>
    <row r="565" spans="1:16" ht="13.15">
      <c r="A565" s="164">
        <f t="shared" si="31"/>
        <v>1994.208333333296</v>
      </c>
      <c r="B565" s="164">
        <f t="shared" si="32"/>
        <v>113.88826185676362</v>
      </c>
      <c r="H565" s="165">
        <v>1994.208333333296</v>
      </c>
      <c r="I565" s="172">
        <v>78.347999999999999</v>
      </c>
      <c r="J565" s="163" t="s">
        <v>246</v>
      </c>
      <c r="N565" s="165">
        <f t="shared" si="33"/>
        <v>1994.208333333296</v>
      </c>
      <c r="O565" s="167">
        <v>147.19999999999999</v>
      </c>
      <c r="P565" s="163" t="s">
        <v>241</v>
      </c>
    </row>
    <row r="566" spans="1:16" ht="13.15">
      <c r="A566" s="164">
        <f t="shared" si="31"/>
        <v>1994.2916666666292</v>
      </c>
      <c r="B566" s="164">
        <f t="shared" si="32"/>
        <v>114.24471249174853</v>
      </c>
      <c r="H566" s="165">
        <v>1994.2916666666292</v>
      </c>
      <c r="I566" s="172">
        <v>78.7</v>
      </c>
      <c r="J566" s="163" t="s">
        <v>246</v>
      </c>
      <c r="N566" s="165">
        <f t="shared" si="33"/>
        <v>1994.2916666666292</v>
      </c>
      <c r="O566" s="167">
        <v>147.4</v>
      </c>
      <c r="P566" s="163" t="s">
        <v>241</v>
      </c>
    </row>
    <row r="567" spans="1:16" ht="13.15">
      <c r="A567" s="164">
        <f t="shared" ref="A567:A630" si="34">H567</f>
        <v>1994.3749999999625</v>
      </c>
      <c r="B567" s="164">
        <f t="shared" si="32"/>
        <v>114.90419577202782</v>
      </c>
      <c r="H567" s="165">
        <v>1994.3749999999625</v>
      </c>
      <c r="I567" s="172">
        <v>79.207999999999998</v>
      </c>
      <c r="J567" s="163" t="s">
        <v>246</v>
      </c>
      <c r="N567" s="165">
        <f t="shared" si="33"/>
        <v>1994.3749999999625</v>
      </c>
      <c r="O567" s="167">
        <v>147.5</v>
      </c>
      <c r="P567" s="163" t="s">
        <v>241</v>
      </c>
    </row>
    <row r="568" spans="1:16" ht="13.15">
      <c r="A568" s="164">
        <f t="shared" si="34"/>
        <v>1994.4583333332957</v>
      </c>
      <c r="B568" s="164">
        <f t="shared" si="32"/>
        <v>115.22732138091227</v>
      </c>
      <c r="H568" s="165">
        <v>1994.4583333332957</v>
      </c>
      <c r="I568" s="172">
        <v>79.7</v>
      </c>
      <c r="J568" s="163" t="s">
        <v>246</v>
      </c>
      <c r="N568" s="165">
        <f t="shared" si="33"/>
        <v>1994.4583333332957</v>
      </c>
      <c r="O568" s="167">
        <v>148</v>
      </c>
      <c r="P568" s="163" t="s">
        <v>241</v>
      </c>
    </row>
    <row r="569" spans="1:16" ht="13.15">
      <c r="A569" s="164">
        <f t="shared" si="34"/>
        <v>1994.541666666629</v>
      </c>
      <c r="B569" s="164">
        <f t="shared" si="32"/>
        <v>115.4386911709842</v>
      </c>
      <c r="H569" s="165">
        <v>1994.541666666629</v>
      </c>
      <c r="I569" s="172">
        <v>80.061999999999998</v>
      </c>
      <c r="J569" s="163" t="s">
        <v>246</v>
      </c>
      <c r="N569" s="165">
        <f t="shared" si="33"/>
        <v>1994.541666666629</v>
      </c>
      <c r="O569" s="167">
        <v>148.4</v>
      </c>
      <c r="P569" s="163" t="s">
        <v>241</v>
      </c>
    </row>
    <row r="570" spans="1:16" ht="13.15">
      <c r="A570" s="164">
        <f t="shared" si="34"/>
        <v>1994.6249999999623</v>
      </c>
      <c r="B570" s="164">
        <f t="shared" si="32"/>
        <v>115.33859662630364</v>
      </c>
      <c r="H570" s="165">
        <v>1994.6249999999623</v>
      </c>
      <c r="I570" s="172">
        <v>80.316000000000003</v>
      </c>
      <c r="J570" s="163" t="s">
        <v>246</v>
      </c>
      <c r="N570" s="165">
        <f t="shared" si="33"/>
        <v>1994.6249999999623</v>
      </c>
      <c r="O570" s="167">
        <v>149</v>
      </c>
      <c r="P570" s="163" t="s">
        <v>241</v>
      </c>
    </row>
    <row r="571" spans="1:16" ht="13.15">
      <c r="A571" s="164">
        <f t="shared" si="34"/>
        <v>1994.7083333332955</v>
      </c>
      <c r="B571" s="164">
        <f t="shared" si="32"/>
        <v>115.06273276446012</v>
      </c>
      <c r="H571" s="165">
        <v>1994.7083333332955</v>
      </c>
      <c r="I571" s="172">
        <v>80.338999999999999</v>
      </c>
      <c r="J571" s="163" t="s">
        <v>246</v>
      </c>
      <c r="N571" s="165">
        <f t="shared" si="33"/>
        <v>1994.7083333332955</v>
      </c>
      <c r="O571" s="167">
        <v>149.4</v>
      </c>
      <c r="P571" s="163" t="s">
        <v>241</v>
      </c>
    </row>
    <row r="572" spans="1:16" ht="13.15">
      <c r="A572" s="164">
        <f t="shared" si="34"/>
        <v>1994.7916666666288</v>
      </c>
      <c r="B572" s="164">
        <f t="shared" ref="B572:B635" si="35">100*(I572/O572)/(I$8/O$8)</f>
        <v>114.93424246862246</v>
      </c>
      <c r="H572" s="165">
        <v>1994.7916666666288</v>
      </c>
      <c r="I572" s="172">
        <v>80.302999999999997</v>
      </c>
      <c r="J572" s="163" t="s">
        <v>246</v>
      </c>
      <c r="N572" s="165">
        <f t="shared" si="33"/>
        <v>1994.7916666666288</v>
      </c>
      <c r="O572" s="167">
        <v>149.5</v>
      </c>
      <c r="P572" s="163" t="s">
        <v>241</v>
      </c>
    </row>
    <row r="573" spans="1:16" ht="13.15">
      <c r="A573" s="164">
        <f t="shared" si="34"/>
        <v>1994.874999999962</v>
      </c>
      <c r="B573" s="164">
        <f t="shared" si="35"/>
        <v>114.58772813454735</v>
      </c>
      <c r="H573" s="165">
        <v>1994.874999999962</v>
      </c>
      <c r="I573" s="172">
        <v>80.168000000000006</v>
      </c>
      <c r="J573" s="163" t="s">
        <v>246</v>
      </c>
      <c r="N573" s="165">
        <f t="shared" si="33"/>
        <v>1994.874999999962</v>
      </c>
      <c r="O573" s="167">
        <v>149.69999999999999</v>
      </c>
      <c r="P573" s="163" t="s">
        <v>241</v>
      </c>
    </row>
    <row r="574" spans="1:16" ht="13.15">
      <c r="A574" s="164">
        <f t="shared" si="34"/>
        <v>1994.9583333332953</v>
      </c>
      <c r="B574" s="164">
        <f t="shared" si="35"/>
        <v>114.45765774161943</v>
      </c>
      <c r="H574" s="165">
        <v>1994.9583333332953</v>
      </c>
      <c r="I574" s="172">
        <v>80.076999999999998</v>
      </c>
      <c r="J574" s="163" t="s">
        <v>246</v>
      </c>
      <c r="N574" s="165">
        <f t="shared" si="33"/>
        <v>1994.9583333332953</v>
      </c>
      <c r="O574" s="167">
        <v>149.69999999999999</v>
      </c>
      <c r="P574" s="163" t="s">
        <v>241</v>
      </c>
    </row>
    <row r="575" spans="1:16" ht="13.15">
      <c r="A575" s="164">
        <f t="shared" si="34"/>
        <v>1995.0416666666285</v>
      </c>
      <c r="B575" s="164">
        <f t="shared" si="35"/>
        <v>113.92813535477561</v>
      </c>
      <c r="H575" s="165">
        <v>1995.0416666666285</v>
      </c>
      <c r="I575" s="172">
        <v>80.02600000000001</v>
      </c>
      <c r="J575" s="163" t="s">
        <v>246</v>
      </c>
      <c r="N575" s="165">
        <f t="shared" si="33"/>
        <v>1995.0416666666285</v>
      </c>
      <c r="O575" s="167">
        <v>150.30000000000001</v>
      </c>
      <c r="P575" s="163" t="s">
        <v>241</v>
      </c>
    </row>
    <row r="576" spans="1:16" ht="13.15">
      <c r="A576" s="164">
        <f t="shared" si="34"/>
        <v>1995.1249999999618</v>
      </c>
      <c r="B576" s="164">
        <f t="shared" si="35"/>
        <v>113.42551153621324</v>
      </c>
      <c r="H576" s="165">
        <v>1995.1249999999618</v>
      </c>
      <c r="I576" s="172">
        <v>79.991</v>
      </c>
      <c r="J576" s="163" t="s">
        <v>246</v>
      </c>
      <c r="N576" s="165">
        <f t="shared" si="33"/>
        <v>1995.1249999999618</v>
      </c>
      <c r="O576" s="167">
        <v>150.9</v>
      </c>
      <c r="P576" s="163" t="s">
        <v>241</v>
      </c>
    </row>
    <row r="577" spans="1:16" ht="13.15">
      <c r="A577" s="164">
        <f t="shared" si="34"/>
        <v>1995.2083333332951</v>
      </c>
      <c r="B577" s="164">
        <f t="shared" si="35"/>
        <v>113.17246607609265</v>
      </c>
      <c r="H577" s="165">
        <v>1995.2083333332951</v>
      </c>
      <c r="I577" s="172">
        <v>80.076999999999998</v>
      </c>
      <c r="J577" s="163" t="s">
        <v>246</v>
      </c>
      <c r="N577" s="165">
        <f t="shared" si="33"/>
        <v>1995.2083333332951</v>
      </c>
      <c r="O577" s="167">
        <v>151.4</v>
      </c>
      <c r="P577" s="163" t="s">
        <v>241</v>
      </c>
    </row>
    <row r="578" spans="1:16" ht="13.15">
      <c r="A578" s="164">
        <f t="shared" si="34"/>
        <v>1995.2916666666283</v>
      </c>
      <c r="B578" s="164">
        <f t="shared" si="35"/>
        <v>113.21126703951994</v>
      </c>
      <c r="H578" s="165">
        <v>1995.2916666666283</v>
      </c>
      <c r="I578" s="172">
        <v>80.369</v>
      </c>
      <c r="J578" s="163" t="s">
        <v>246</v>
      </c>
      <c r="N578" s="165">
        <f t="shared" si="33"/>
        <v>1995.2916666666283</v>
      </c>
      <c r="O578" s="167">
        <v>151.9</v>
      </c>
      <c r="P578" s="163" t="s">
        <v>241</v>
      </c>
    </row>
    <row r="579" spans="1:16" ht="13.15">
      <c r="A579" s="164">
        <f t="shared" si="34"/>
        <v>1995.3749999999616</v>
      </c>
      <c r="B579" s="164">
        <f t="shared" si="35"/>
        <v>113.44080651102809</v>
      </c>
      <c r="H579" s="165">
        <v>1995.3749999999616</v>
      </c>
      <c r="I579" s="172">
        <v>80.691000000000003</v>
      </c>
      <c r="J579" s="163" t="s">
        <v>246</v>
      </c>
      <c r="N579" s="165">
        <f t="shared" si="33"/>
        <v>1995.3749999999616</v>
      </c>
      <c r="O579" s="167">
        <v>152.19999999999999</v>
      </c>
      <c r="P579" s="163" t="s">
        <v>241</v>
      </c>
    </row>
    <row r="580" spans="1:16" ht="13.15">
      <c r="A580" s="164">
        <f t="shared" si="34"/>
        <v>1995.4583333332948</v>
      </c>
      <c r="B580" s="164">
        <f t="shared" si="35"/>
        <v>113.74661344605828</v>
      </c>
      <c r="H580" s="165">
        <v>1995.4583333332948</v>
      </c>
      <c r="I580" s="172">
        <v>81.067999999999998</v>
      </c>
      <c r="J580" s="163" t="s">
        <v>246</v>
      </c>
      <c r="N580" s="165">
        <f t="shared" si="33"/>
        <v>1995.4583333332948</v>
      </c>
      <c r="O580" s="167">
        <v>152.5</v>
      </c>
      <c r="P580" s="163" t="s">
        <v>241</v>
      </c>
    </row>
    <row r="581" spans="1:16" ht="13.15">
      <c r="A581" s="164">
        <f t="shared" si="34"/>
        <v>1995.5416666666281</v>
      </c>
      <c r="B581" s="164">
        <f t="shared" si="35"/>
        <v>114.22928028162153</v>
      </c>
      <c r="H581" s="165">
        <v>1995.5416666666281</v>
      </c>
      <c r="I581" s="172">
        <v>81.411999999999992</v>
      </c>
      <c r="J581" s="163" t="s">
        <v>246</v>
      </c>
      <c r="N581" s="165">
        <f t="shared" si="33"/>
        <v>1995.5416666666281</v>
      </c>
      <c r="O581" s="167">
        <v>152.5</v>
      </c>
      <c r="P581" s="163" t="s">
        <v>241</v>
      </c>
    </row>
    <row r="582" spans="1:16" ht="13.15">
      <c r="A582" s="164">
        <f t="shared" si="34"/>
        <v>1995.6249999999613</v>
      </c>
      <c r="B582" s="164">
        <f t="shared" si="35"/>
        <v>114.26910853613717</v>
      </c>
      <c r="H582" s="165">
        <v>1995.6249999999613</v>
      </c>
      <c r="I582" s="172">
        <v>81.653999999999996</v>
      </c>
      <c r="J582" s="163" t="s">
        <v>246</v>
      </c>
      <c r="N582" s="165">
        <f t="shared" si="33"/>
        <v>1995.6249999999613</v>
      </c>
      <c r="O582" s="167">
        <v>152.9</v>
      </c>
      <c r="P582" s="163" t="s">
        <v>241</v>
      </c>
    </row>
    <row r="583" spans="1:16" ht="13.15">
      <c r="A583" s="164">
        <f t="shared" si="34"/>
        <v>1995.7083333332946</v>
      </c>
      <c r="B583" s="164">
        <f t="shared" si="35"/>
        <v>114.1626659425264</v>
      </c>
      <c r="H583" s="165">
        <v>1995.7083333332946</v>
      </c>
      <c r="I583" s="172">
        <v>81.738</v>
      </c>
      <c r="J583" s="163" t="s">
        <v>246</v>
      </c>
      <c r="N583" s="165">
        <f t="shared" si="33"/>
        <v>1995.7083333332946</v>
      </c>
      <c r="O583" s="167">
        <v>153.19999999999999</v>
      </c>
      <c r="P583" s="163" t="s">
        <v>241</v>
      </c>
    </row>
    <row r="584" spans="1:16" ht="13.15">
      <c r="A584" s="164">
        <f t="shared" si="34"/>
        <v>1995.7916666666279</v>
      </c>
      <c r="B584" s="164">
        <f t="shared" si="35"/>
        <v>113.77597085244659</v>
      </c>
      <c r="H584" s="165">
        <v>1995.7916666666279</v>
      </c>
      <c r="I584" s="172">
        <v>81.727000000000004</v>
      </c>
      <c r="J584" s="163" t="s">
        <v>246</v>
      </c>
      <c r="N584" s="165">
        <f t="shared" si="33"/>
        <v>1995.7916666666279</v>
      </c>
      <c r="O584" s="167">
        <v>153.69999999999999</v>
      </c>
      <c r="P584" s="163" t="s">
        <v>241</v>
      </c>
    </row>
    <row r="585" spans="1:16" ht="13.15">
      <c r="A585" s="164">
        <f t="shared" si="34"/>
        <v>1995.8749999999611</v>
      </c>
      <c r="B585" s="164">
        <f t="shared" si="35"/>
        <v>113.71631066070493</v>
      </c>
      <c r="H585" s="165">
        <v>1995.8749999999611</v>
      </c>
      <c r="I585" s="172">
        <v>81.631</v>
      </c>
      <c r="J585" s="163" t="s">
        <v>246</v>
      </c>
      <c r="N585" s="165">
        <f t="shared" ref="N585:N648" si="36">N584+1/12</f>
        <v>1995.8749999999611</v>
      </c>
      <c r="O585" s="167">
        <v>153.6</v>
      </c>
      <c r="P585" s="163" t="s">
        <v>241</v>
      </c>
    </row>
    <row r="586" spans="1:16" ht="13.15">
      <c r="A586" s="164">
        <f t="shared" si="34"/>
        <v>1995.9583333332944</v>
      </c>
      <c r="B586" s="164">
        <f t="shared" si="35"/>
        <v>113.62590560390558</v>
      </c>
      <c r="H586" s="165">
        <v>1995.9583333332944</v>
      </c>
      <c r="I586" s="172">
        <v>81.513000000000005</v>
      </c>
      <c r="J586" s="163" t="s">
        <v>246</v>
      </c>
      <c r="N586" s="165">
        <f t="shared" si="36"/>
        <v>1995.9583333332944</v>
      </c>
      <c r="O586" s="167">
        <v>153.5</v>
      </c>
      <c r="P586" s="163" t="s">
        <v>241</v>
      </c>
    </row>
    <row r="587" spans="1:16" ht="13.15">
      <c r="A587" s="164">
        <f t="shared" si="34"/>
        <v>1996.0416666666276</v>
      </c>
      <c r="B587" s="164">
        <f t="shared" si="35"/>
        <v>112.84439661330084</v>
      </c>
      <c r="H587" s="165">
        <v>1996.0416666666276</v>
      </c>
      <c r="I587" s="172">
        <v>81.426999999999992</v>
      </c>
      <c r="J587" s="163" t="s">
        <v>246</v>
      </c>
      <c r="N587" s="165">
        <f t="shared" si="36"/>
        <v>1996.0416666666276</v>
      </c>
      <c r="O587" s="167">
        <v>154.4</v>
      </c>
      <c r="P587" s="163" t="s">
        <v>241</v>
      </c>
    </row>
    <row r="588" spans="1:16" ht="13.15">
      <c r="A588" s="164">
        <f t="shared" si="34"/>
        <v>1996.1249999999609</v>
      </c>
      <c r="B588" s="164">
        <f t="shared" si="35"/>
        <v>112.44146930075595</v>
      </c>
      <c r="H588" s="165">
        <v>1996.1249999999609</v>
      </c>
      <c r="I588" s="172">
        <v>81.399000000000001</v>
      </c>
      <c r="J588" s="163" t="s">
        <v>246</v>
      </c>
      <c r="N588" s="165">
        <f t="shared" si="36"/>
        <v>1996.1249999999609</v>
      </c>
      <c r="O588" s="167">
        <v>154.9</v>
      </c>
      <c r="P588" s="163" t="s">
        <v>241</v>
      </c>
    </row>
    <row r="589" spans="1:16" ht="13.15">
      <c r="A589" s="164">
        <f t="shared" si="34"/>
        <v>1996.2083333332941</v>
      </c>
      <c r="B589" s="164">
        <f t="shared" si="35"/>
        <v>112.22928964386244</v>
      </c>
      <c r="H589" s="165">
        <v>1996.2083333332941</v>
      </c>
      <c r="I589" s="172">
        <v>81.665000000000006</v>
      </c>
      <c r="J589" s="163" t="s">
        <v>246</v>
      </c>
      <c r="N589" s="165">
        <f t="shared" si="36"/>
        <v>1996.2083333332941</v>
      </c>
      <c r="O589" s="167">
        <v>155.69999999999999</v>
      </c>
      <c r="P589" s="163" t="s">
        <v>241</v>
      </c>
    </row>
    <row r="590" spans="1:16" ht="13.15">
      <c r="A590" s="164">
        <f t="shared" si="34"/>
        <v>1996.2916666666274</v>
      </c>
      <c r="B590" s="164">
        <f t="shared" si="35"/>
        <v>112.42683287542081</v>
      </c>
      <c r="H590" s="165">
        <v>1996.2916666666274</v>
      </c>
      <c r="I590" s="172">
        <v>82.123999999999995</v>
      </c>
      <c r="J590" s="163" t="s">
        <v>246</v>
      </c>
      <c r="N590" s="165">
        <f t="shared" si="36"/>
        <v>1996.2916666666274</v>
      </c>
      <c r="O590" s="167">
        <v>156.30000000000001</v>
      </c>
      <c r="P590" s="163" t="s">
        <v>241</v>
      </c>
    </row>
    <row r="591" spans="1:16" ht="13.15">
      <c r="A591" s="164">
        <f t="shared" si="34"/>
        <v>1996.3749999999607</v>
      </c>
      <c r="B591" s="164">
        <f t="shared" si="35"/>
        <v>112.86321246668467</v>
      </c>
      <c r="H591" s="165">
        <v>1996.3749999999607</v>
      </c>
      <c r="I591" s="172">
        <v>82.600999999999999</v>
      </c>
      <c r="J591" s="163" t="s">
        <v>246</v>
      </c>
      <c r="N591" s="165">
        <f t="shared" si="36"/>
        <v>1996.3749999999607</v>
      </c>
      <c r="O591" s="167">
        <v>156.6</v>
      </c>
      <c r="P591" s="163" t="s">
        <v>241</v>
      </c>
    </row>
    <row r="592" spans="1:16" ht="13.15">
      <c r="A592" s="164">
        <f t="shared" si="34"/>
        <v>1996.4583333332939</v>
      </c>
      <c r="B592" s="164">
        <f t="shared" si="35"/>
        <v>113.40156335574103</v>
      </c>
      <c r="H592" s="165">
        <v>1996.4583333332939</v>
      </c>
      <c r="I592" s="172">
        <v>83.047999999999988</v>
      </c>
      <c r="J592" s="163" t="s">
        <v>246</v>
      </c>
      <c r="N592" s="165">
        <f t="shared" si="36"/>
        <v>1996.4583333332939</v>
      </c>
      <c r="O592" s="167">
        <v>156.69999999999999</v>
      </c>
      <c r="P592" s="163" t="s">
        <v>241</v>
      </c>
    </row>
    <row r="593" spans="1:16" ht="13.15">
      <c r="A593" s="164">
        <f t="shared" si="34"/>
        <v>1996.5416666666272</v>
      </c>
      <c r="B593" s="164">
        <f t="shared" si="35"/>
        <v>113.68913991584964</v>
      </c>
      <c r="H593" s="165">
        <v>1996.5416666666272</v>
      </c>
      <c r="I593" s="172">
        <v>83.417999999999992</v>
      </c>
      <c r="J593" s="163" t="s">
        <v>246</v>
      </c>
      <c r="N593" s="165">
        <f t="shared" si="36"/>
        <v>1996.5416666666272</v>
      </c>
      <c r="O593" s="167">
        <v>157</v>
      </c>
      <c r="P593" s="163" t="s">
        <v>241</v>
      </c>
    </row>
    <row r="594" spans="1:16" ht="13.15">
      <c r="A594" s="164">
        <f t="shared" si="34"/>
        <v>1996.6249999999604</v>
      </c>
      <c r="B594" s="164">
        <f t="shared" si="35"/>
        <v>113.77973841021628</v>
      </c>
      <c r="H594" s="165">
        <v>1996.6249999999604</v>
      </c>
      <c r="I594" s="172">
        <v>83.643999999999991</v>
      </c>
      <c r="J594" s="163" t="s">
        <v>246</v>
      </c>
      <c r="N594" s="165">
        <f t="shared" si="36"/>
        <v>1996.6249999999604</v>
      </c>
      <c r="O594" s="167">
        <v>157.30000000000001</v>
      </c>
      <c r="P594" s="163" t="s">
        <v>241</v>
      </c>
    </row>
    <row r="595" spans="1:16" ht="13.15">
      <c r="A595" s="164">
        <f t="shared" si="34"/>
        <v>1996.7083333332937</v>
      </c>
      <c r="B595" s="164">
        <f t="shared" si="35"/>
        <v>113.4965102007809</v>
      </c>
      <c r="H595" s="165">
        <v>1996.7083333332937</v>
      </c>
      <c r="I595" s="172">
        <v>83.701000000000008</v>
      </c>
      <c r="J595" s="163" t="s">
        <v>246</v>
      </c>
      <c r="N595" s="165">
        <f t="shared" si="36"/>
        <v>1996.7083333332937</v>
      </c>
      <c r="O595" s="167">
        <v>157.80000000000001</v>
      </c>
      <c r="P595" s="163" t="s">
        <v>241</v>
      </c>
    </row>
    <row r="596" spans="1:16" ht="13.15">
      <c r="A596" s="164">
        <f t="shared" si="34"/>
        <v>1996.791666666627</v>
      </c>
      <c r="B596" s="164">
        <f t="shared" si="35"/>
        <v>113.03935113605533</v>
      </c>
      <c r="H596" s="165">
        <v>1996.791666666627</v>
      </c>
      <c r="I596" s="172">
        <v>83.627999999999986</v>
      </c>
      <c r="J596" s="163" t="s">
        <v>246</v>
      </c>
      <c r="N596" s="165">
        <f t="shared" si="36"/>
        <v>1996.791666666627</v>
      </c>
      <c r="O596" s="167">
        <v>158.30000000000001</v>
      </c>
      <c r="P596" s="163" t="s">
        <v>241</v>
      </c>
    </row>
    <row r="597" spans="1:16" ht="13.15">
      <c r="A597" s="164">
        <f t="shared" si="34"/>
        <v>1996.8749999999602</v>
      </c>
      <c r="B597" s="164">
        <f t="shared" si="35"/>
        <v>112.72704451445084</v>
      </c>
      <c r="H597" s="165">
        <v>1996.8749999999602</v>
      </c>
      <c r="I597" s="172">
        <v>83.555000000000007</v>
      </c>
      <c r="J597" s="163" t="s">
        <v>246</v>
      </c>
      <c r="N597" s="165">
        <f t="shared" si="36"/>
        <v>1996.8749999999602</v>
      </c>
      <c r="O597" s="167">
        <v>158.6</v>
      </c>
      <c r="P597" s="163" t="s">
        <v>241</v>
      </c>
    </row>
    <row r="598" spans="1:16" ht="13.15">
      <c r="A598" s="164">
        <f t="shared" si="34"/>
        <v>1996.9583333332935</v>
      </c>
      <c r="B598" s="164">
        <f t="shared" si="35"/>
        <v>112.63935068531504</v>
      </c>
      <c r="H598" s="165">
        <v>1996.9583333332935</v>
      </c>
      <c r="I598" s="172">
        <v>83.49</v>
      </c>
      <c r="J598" s="163" t="s">
        <v>246</v>
      </c>
      <c r="N598" s="165">
        <f t="shared" si="36"/>
        <v>1996.9583333332935</v>
      </c>
      <c r="O598" s="167">
        <v>158.6</v>
      </c>
      <c r="P598" s="163" t="s">
        <v>241</v>
      </c>
    </row>
    <row r="599" spans="1:16" ht="13.15">
      <c r="A599" s="164">
        <f t="shared" si="34"/>
        <v>1997.0416666666267</v>
      </c>
      <c r="B599" s="164">
        <f t="shared" si="35"/>
        <v>112.33915736275685</v>
      </c>
      <c r="H599" s="165">
        <v>1997.0416666666267</v>
      </c>
      <c r="I599" s="172">
        <v>83.53</v>
      </c>
      <c r="J599" s="163" t="s">
        <v>246</v>
      </c>
      <c r="N599" s="165">
        <f t="shared" si="36"/>
        <v>1997.0416666666267</v>
      </c>
      <c r="O599" s="167">
        <v>159.1</v>
      </c>
      <c r="P599" s="163" t="s">
        <v>241</v>
      </c>
    </row>
    <row r="600" spans="1:16" ht="13.15">
      <c r="A600" s="164">
        <f t="shared" si="34"/>
        <v>1997.12499999996</v>
      </c>
      <c r="B600" s="164">
        <f t="shared" si="35"/>
        <v>112.07570269836243</v>
      </c>
      <c r="H600" s="165">
        <v>1997.12499999996</v>
      </c>
      <c r="I600" s="172">
        <v>83.596000000000004</v>
      </c>
      <c r="J600" s="163" t="s">
        <v>246</v>
      </c>
      <c r="N600" s="165">
        <f t="shared" si="36"/>
        <v>1997.12499999996</v>
      </c>
      <c r="O600" s="167">
        <v>159.6</v>
      </c>
      <c r="P600" s="163" t="s">
        <v>241</v>
      </c>
    </row>
    <row r="601" spans="1:16" ht="13.15">
      <c r="A601" s="164">
        <f t="shared" si="34"/>
        <v>1997.2083333332932</v>
      </c>
      <c r="B601" s="164">
        <f t="shared" si="35"/>
        <v>112.21677267332747</v>
      </c>
      <c r="H601" s="165">
        <v>1997.2083333332932</v>
      </c>
      <c r="I601" s="172">
        <v>83.911000000000001</v>
      </c>
      <c r="J601" s="163" t="s">
        <v>246</v>
      </c>
      <c r="N601" s="165">
        <f t="shared" si="36"/>
        <v>1997.2083333332932</v>
      </c>
      <c r="O601" s="167">
        <v>160</v>
      </c>
      <c r="P601" s="163" t="s">
        <v>241</v>
      </c>
    </row>
    <row r="602" spans="1:16" ht="13.15">
      <c r="A602" s="164">
        <f t="shared" si="34"/>
        <v>1997.2916666666265</v>
      </c>
      <c r="B602" s="164">
        <f t="shared" si="35"/>
        <v>112.62296230622178</v>
      </c>
      <c r="H602" s="165">
        <v>1997.2916666666265</v>
      </c>
      <c r="I602" s="172">
        <v>84.32</v>
      </c>
      <c r="J602" s="163" t="s">
        <v>246</v>
      </c>
      <c r="N602" s="165">
        <f t="shared" si="36"/>
        <v>1997.2916666666265</v>
      </c>
      <c r="O602" s="167">
        <v>160.19999999999999</v>
      </c>
      <c r="P602" s="163" t="s">
        <v>241</v>
      </c>
    </row>
    <row r="603" spans="1:16" ht="13.15">
      <c r="A603" s="164">
        <f t="shared" si="34"/>
        <v>1997.3749999999598</v>
      </c>
      <c r="B603" s="164">
        <f t="shared" si="35"/>
        <v>113.41902479422419</v>
      </c>
      <c r="H603" s="165">
        <v>1997.3749999999598</v>
      </c>
      <c r="I603" s="172">
        <v>84.863</v>
      </c>
      <c r="J603" s="163" t="s">
        <v>246</v>
      </c>
      <c r="N603" s="165">
        <f t="shared" si="36"/>
        <v>1997.3749999999598</v>
      </c>
      <c r="O603" s="167">
        <v>160.1</v>
      </c>
      <c r="P603" s="163" t="s">
        <v>241</v>
      </c>
    </row>
    <row r="604" spans="1:16" ht="13.15">
      <c r="A604" s="164">
        <f t="shared" si="34"/>
        <v>1997.458333333293</v>
      </c>
      <c r="B604" s="164">
        <f t="shared" si="35"/>
        <v>113.99031454252049</v>
      </c>
      <c r="H604" s="165">
        <v>1997.458333333293</v>
      </c>
      <c r="I604" s="172">
        <v>85.397000000000006</v>
      </c>
      <c r="J604" s="163" t="s">
        <v>246</v>
      </c>
      <c r="N604" s="165">
        <f t="shared" si="36"/>
        <v>1997.458333333293</v>
      </c>
      <c r="O604" s="167">
        <v>160.30000000000001</v>
      </c>
      <c r="P604" s="163" t="s">
        <v>241</v>
      </c>
    </row>
    <row r="605" spans="1:16" ht="13.15">
      <c r="A605" s="164">
        <f t="shared" si="34"/>
        <v>1997.5416666666263</v>
      </c>
      <c r="B605" s="164">
        <f t="shared" si="35"/>
        <v>114.43886252308707</v>
      </c>
      <c r="H605" s="165">
        <v>1997.5416666666263</v>
      </c>
      <c r="I605" s="172">
        <v>85.84</v>
      </c>
      <c r="J605" s="163" t="s">
        <v>246</v>
      </c>
      <c r="N605" s="165">
        <f t="shared" si="36"/>
        <v>1997.5416666666263</v>
      </c>
      <c r="O605" s="167">
        <v>160.5</v>
      </c>
      <c r="P605" s="163" t="s">
        <v>241</v>
      </c>
    </row>
    <row r="606" spans="1:16" ht="13.15">
      <c r="A606" s="164">
        <f t="shared" si="34"/>
        <v>1997.6249999999595</v>
      </c>
      <c r="B606" s="164">
        <f t="shared" si="35"/>
        <v>114.63786720966274</v>
      </c>
      <c r="H606" s="165">
        <v>1997.6249999999595</v>
      </c>
      <c r="I606" s="172">
        <v>86.15</v>
      </c>
      <c r="J606" s="163" t="s">
        <v>246</v>
      </c>
      <c r="N606" s="165">
        <f t="shared" si="36"/>
        <v>1997.6249999999595</v>
      </c>
      <c r="O606" s="167">
        <v>160.80000000000001</v>
      </c>
      <c r="P606" s="163" t="s">
        <v>241</v>
      </c>
    </row>
    <row r="607" spans="1:16" ht="13.15">
      <c r="A607" s="164">
        <f t="shared" si="34"/>
        <v>1997.7083333332928</v>
      </c>
      <c r="B607" s="164">
        <f t="shared" si="35"/>
        <v>114.56578609310408</v>
      </c>
      <c r="H607" s="165">
        <v>1997.7083333332928</v>
      </c>
      <c r="I607" s="172">
        <v>86.31</v>
      </c>
      <c r="J607" s="163" t="s">
        <v>246</v>
      </c>
      <c r="N607" s="165">
        <f t="shared" si="36"/>
        <v>1997.7083333332928</v>
      </c>
      <c r="O607" s="167">
        <v>161.19999999999999</v>
      </c>
      <c r="P607" s="163" t="s">
        <v>241</v>
      </c>
    </row>
    <row r="608" spans="1:16" ht="13.15">
      <c r="A608" s="164">
        <f t="shared" si="34"/>
        <v>1997.791666666626</v>
      </c>
      <c r="B608" s="164">
        <f t="shared" si="35"/>
        <v>114.41064414411036</v>
      </c>
      <c r="H608" s="165">
        <v>1997.791666666626</v>
      </c>
      <c r="I608" s="172">
        <v>86.407000000000011</v>
      </c>
      <c r="J608" s="163" t="s">
        <v>246</v>
      </c>
      <c r="N608" s="165">
        <f t="shared" si="36"/>
        <v>1997.791666666626</v>
      </c>
      <c r="O608" s="167">
        <v>161.6</v>
      </c>
      <c r="P608" s="163" t="s">
        <v>241</v>
      </c>
    </row>
    <row r="609" spans="1:16" ht="13.15">
      <c r="A609" s="164">
        <f t="shared" si="34"/>
        <v>1997.8749999999593</v>
      </c>
      <c r="B609" s="164">
        <f t="shared" si="35"/>
        <v>114.77826645783701</v>
      </c>
      <c r="H609" s="165">
        <v>1997.8749999999593</v>
      </c>
      <c r="I609" s="172">
        <v>86.631</v>
      </c>
      <c r="J609" s="163" t="s">
        <v>246</v>
      </c>
      <c r="N609" s="165">
        <f t="shared" si="36"/>
        <v>1997.8749999999593</v>
      </c>
      <c r="O609" s="167">
        <v>161.5</v>
      </c>
      <c r="P609" s="163" t="s">
        <v>241</v>
      </c>
    </row>
    <row r="610" spans="1:16" ht="13.15">
      <c r="A610" s="164">
        <f t="shared" si="34"/>
        <v>1997.9583333332926</v>
      </c>
      <c r="B610" s="164">
        <f t="shared" si="35"/>
        <v>115.20711834251949</v>
      </c>
      <c r="H610" s="165">
        <v>1997.9583333332926</v>
      </c>
      <c r="I610" s="172">
        <v>86.847000000000008</v>
      </c>
      <c r="J610" s="163" t="s">
        <v>246</v>
      </c>
      <c r="N610" s="165">
        <f t="shared" si="36"/>
        <v>1997.9583333332926</v>
      </c>
      <c r="O610" s="167">
        <v>161.30000000000001</v>
      </c>
      <c r="P610" s="163" t="s">
        <v>241</v>
      </c>
    </row>
    <row r="611" spans="1:16" ht="13.15">
      <c r="A611" s="164">
        <f t="shared" si="34"/>
        <v>1998.0416666666258</v>
      </c>
      <c r="B611" s="164">
        <f t="shared" si="35"/>
        <v>115.41033208986477</v>
      </c>
      <c r="H611" s="165">
        <v>1998.0416666666258</v>
      </c>
      <c r="I611" s="172">
        <v>87.162000000000006</v>
      </c>
      <c r="J611" s="163" t="s">
        <v>246</v>
      </c>
      <c r="N611" s="165">
        <f t="shared" si="36"/>
        <v>1998.0416666666258</v>
      </c>
      <c r="O611" s="167">
        <v>161.6</v>
      </c>
      <c r="P611" s="163" t="s">
        <v>241</v>
      </c>
    </row>
    <row r="612" spans="1:16" ht="13.15">
      <c r="A612" s="164">
        <f t="shared" si="34"/>
        <v>1998.1249999999591</v>
      </c>
      <c r="B612" s="164">
        <f t="shared" si="35"/>
        <v>115.47402090037875</v>
      </c>
      <c r="H612" s="165">
        <v>1998.1249999999591</v>
      </c>
      <c r="I612" s="172">
        <v>87.372000000000014</v>
      </c>
      <c r="J612" s="163" t="s">
        <v>246</v>
      </c>
      <c r="N612" s="165">
        <f t="shared" si="36"/>
        <v>1998.1249999999591</v>
      </c>
      <c r="O612" s="167">
        <v>161.9</v>
      </c>
      <c r="P612" s="163" t="s">
        <v>241</v>
      </c>
    </row>
    <row r="613" spans="1:16" ht="13.15">
      <c r="A613" s="164">
        <f t="shared" si="34"/>
        <v>1998.2083333332923</v>
      </c>
      <c r="B613" s="164">
        <f t="shared" si="35"/>
        <v>115.92531656651863</v>
      </c>
      <c r="H613" s="165">
        <v>1998.2083333332923</v>
      </c>
      <c r="I613" s="172">
        <v>87.876000000000005</v>
      </c>
      <c r="J613" s="163" t="s">
        <v>246</v>
      </c>
      <c r="N613" s="165">
        <f t="shared" si="36"/>
        <v>1998.2083333332923</v>
      </c>
      <c r="O613" s="167">
        <v>162.19999999999999</v>
      </c>
      <c r="P613" s="163" t="s">
        <v>241</v>
      </c>
    </row>
    <row r="614" spans="1:16" ht="13.15">
      <c r="A614" s="164">
        <f t="shared" si="34"/>
        <v>1998.2916666666256</v>
      </c>
      <c r="B614" s="164">
        <f t="shared" si="35"/>
        <v>116.60801182359683</v>
      </c>
      <c r="H614" s="165">
        <v>1998.2916666666256</v>
      </c>
      <c r="I614" s="172">
        <v>88.557000000000002</v>
      </c>
      <c r="J614" s="163" t="s">
        <v>246</v>
      </c>
      <c r="N614" s="165">
        <f t="shared" si="36"/>
        <v>1998.2916666666256</v>
      </c>
      <c r="O614" s="167">
        <v>162.5</v>
      </c>
      <c r="P614" s="163" t="s">
        <v>241</v>
      </c>
    </row>
    <row r="615" spans="1:16" ht="13.15">
      <c r="A615" s="164">
        <f t="shared" si="34"/>
        <v>1998.3749999999588</v>
      </c>
      <c r="B615" s="164">
        <f t="shared" si="35"/>
        <v>117.46562557062018</v>
      </c>
      <c r="H615" s="165">
        <v>1998.3749999999588</v>
      </c>
      <c r="I615" s="172">
        <v>89.37299999999999</v>
      </c>
      <c r="J615" s="163" t="s">
        <v>246</v>
      </c>
      <c r="N615" s="165">
        <f t="shared" si="36"/>
        <v>1998.3749999999588</v>
      </c>
      <c r="O615" s="167">
        <v>162.80000000000001</v>
      </c>
      <c r="P615" s="163" t="s">
        <v>241</v>
      </c>
    </row>
    <row r="616" spans="1:16" ht="13.15">
      <c r="A616" s="164">
        <f t="shared" si="34"/>
        <v>1998.4583333332921</v>
      </c>
      <c r="B616" s="164">
        <f t="shared" si="35"/>
        <v>118.39923698880312</v>
      </c>
      <c r="H616" s="165">
        <v>1998.4583333332921</v>
      </c>
      <c r="I616" s="172">
        <v>90.194000000000003</v>
      </c>
      <c r="J616" s="163" t="s">
        <v>246</v>
      </c>
      <c r="N616" s="165">
        <f t="shared" si="36"/>
        <v>1998.4583333332921</v>
      </c>
      <c r="O616" s="167">
        <v>163</v>
      </c>
      <c r="P616" s="163" t="s">
        <v>241</v>
      </c>
    </row>
    <row r="617" spans="1:16" ht="13.15">
      <c r="A617" s="164">
        <f t="shared" si="34"/>
        <v>1998.5416666666254</v>
      </c>
      <c r="B617" s="164">
        <f t="shared" si="35"/>
        <v>119.12471607467843</v>
      </c>
      <c r="H617" s="165">
        <v>1998.5416666666254</v>
      </c>
      <c r="I617" s="172">
        <v>90.85799999999999</v>
      </c>
      <c r="J617" s="163" t="s">
        <v>246</v>
      </c>
      <c r="N617" s="165">
        <f t="shared" si="36"/>
        <v>1998.5416666666254</v>
      </c>
      <c r="O617" s="167">
        <v>163.19999999999999</v>
      </c>
      <c r="P617" s="163" t="s">
        <v>241</v>
      </c>
    </row>
    <row r="618" spans="1:16" ht="13.15">
      <c r="A618" s="164">
        <f t="shared" si="34"/>
        <v>1998.6249999999586</v>
      </c>
      <c r="B618" s="164">
        <f t="shared" si="35"/>
        <v>119.69651674541946</v>
      </c>
      <c r="H618" s="165">
        <v>1998.6249999999586</v>
      </c>
      <c r="I618" s="172">
        <v>91.406000000000006</v>
      </c>
      <c r="J618" s="163" t="s">
        <v>246</v>
      </c>
      <c r="N618" s="165">
        <f t="shared" si="36"/>
        <v>1998.6249999999586</v>
      </c>
      <c r="O618" s="167">
        <v>163.4</v>
      </c>
      <c r="P618" s="163" t="s">
        <v>241</v>
      </c>
    </row>
    <row r="619" spans="1:16" ht="13.15">
      <c r="A619" s="164">
        <f t="shared" si="34"/>
        <v>1998.7083333332919</v>
      </c>
      <c r="B619" s="164">
        <f t="shared" si="35"/>
        <v>120.00141504625935</v>
      </c>
      <c r="H619" s="165">
        <v>1998.7083333332919</v>
      </c>
      <c r="I619" s="172">
        <v>91.751000000000005</v>
      </c>
      <c r="J619" s="163" t="s">
        <v>246</v>
      </c>
      <c r="N619" s="165">
        <f t="shared" si="36"/>
        <v>1998.7083333332919</v>
      </c>
      <c r="O619" s="167">
        <v>163.6</v>
      </c>
      <c r="P619" s="163" t="s">
        <v>241</v>
      </c>
    </row>
    <row r="620" spans="1:16" ht="13.15">
      <c r="A620" s="164">
        <f t="shared" si="34"/>
        <v>1998.7916666666251</v>
      </c>
      <c r="B620" s="164">
        <f t="shared" si="35"/>
        <v>120.03229750886992</v>
      </c>
      <c r="H620" s="165">
        <v>1998.7916666666251</v>
      </c>
      <c r="I620" s="172">
        <v>91.998999999999995</v>
      </c>
      <c r="J620" s="163" t="s">
        <v>246</v>
      </c>
      <c r="N620" s="165">
        <f t="shared" si="36"/>
        <v>1998.7916666666251</v>
      </c>
      <c r="O620" s="167">
        <v>164</v>
      </c>
      <c r="P620" s="163" t="s">
        <v>241</v>
      </c>
    </row>
    <row r="621" spans="1:16" ht="13.15">
      <c r="A621" s="164">
        <f t="shared" si="34"/>
        <v>1998.8749999999584</v>
      </c>
      <c r="B621" s="164">
        <f t="shared" si="35"/>
        <v>120.28932598319297</v>
      </c>
      <c r="H621" s="165">
        <v>1998.8749999999584</v>
      </c>
      <c r="I621" s="172">
        <v>92.195999999999998</v>
      </c>
      <c r="J621" s="163" t="s">
        <v>246</v>
      </c>
      <c r="N621" s="165">
        <f t="shared" si="36"/>
        <v>1998.8749999999584</v>
      </c>
      <c r="O621" s="167">
        <v>164</v>
      </c>
      <c r="P621" s="163" t="s">
        <v>241</v>
      </c>
    </row>
    <row r="622" spans="1:16" ht="13.15">
      <c r="A622" s="164">
        <f t="shared" si="34"/>
        <v>1998.9583333332916</v>
      </c>
      <c r="B622" s="164">
        <f t="shared" si="35"/>
        <v>120.68517863445511</v>
      </c>
      <c r="H622" s="165">
        <v>1998.9583333332916</v>
      </c>
      <c r="I622" s="172">
        <v>92.442999999999998</v>
      </c>
      <c r="J622" s="163" t="s">
        <v>246</v>
      </c>
      <c r="N622" s="165">
        <f t="shared" si="36"/>
        <v>1998.9583333332916</v>
      </c>
      <c r="O622" s="167">
        <v>163.9</v>
      </c>
      <c r="P622" s="163" t="s">
        <v>241</v>
      </c>
    </row>
    <row r="623" spans="1:16" ht="13.15">
      <c r="A623" s="164">
        <f t="shared" si="34"/>
        <v>1999.0416666666249</v>
      </c>
      <c r="B623" s="164">
        <f t="shared" si="35"/>
        <v>120.74299131358391</v>
      </c>
      <c r="H623" s="165">
        <v>1999.0416666666249</v>
      </c>
      <c r="I623" s="172">
        <v>92.712999999999994</v>
      </c>
      <c r="J623" s="163" t="s">
        <v>246</v>
      </c>
      <c r="N623" s="165">
        <f t="shared" si="36"/>
        <v>1999.0416666666249</v>
      </c>
      <c r="O623" s="167">
        <v>164.3</v>
      </c>
      <c r="P623" s="163" t="s">
        <v>241</v>
      </c>
    </row>
    <row r="624" spans="1:16" ht="13.15">
      <c r="A624" s="164">
        <f t="shared" si="34"/>
        <v>1999.1249999999582</v>
      </c>
      <c r="B624" s="164">
        <f t="shared" si="35"/>
        <v>120.94219012573934</v>
      </c>
      <c r="H624" s="165">
        <v>1999.1249999999582</v>
      </c>
      <c r="I624" s="172">
        <v>92.978999999999999</v>
      </c>
      <c r="J624" s="163" t="s">
        <v>246</v>
      </c>
      <c r="N624" s="165">
        <f t="shared" si="36"/>
        <v>1999.1249999999582</v>
      </c>
      <c r="O624" s="167">
        <v>164.5</v>
      </c>
      <c r="P624" s="163" t="s">
        <v>241</v>
      </c>
    </row>
    <row r="625" spans="1:16" ht="13.15">
      <c r="A625" s="164">
        <f t="shared" si="34"/>
        <v>1999.2083333332914</v>
      </c>
      <c r="B625" s="164">
        <f t="shared" si="35"/>
        <v>121.39398304711952</v>
      </c>
      <c r="H625" s="165">
        <v>1999.2083333332914</v>
      </c>
      <c r="I625" s="172">
        <v>93.61</v>
      </c>
      <c r="J625" s="163" t="s">
        <v>246</v>
      </c>
      <c r="N625" s="165">
        <f t="shared" si="36"/>
        <v>1999.2083333332914</v>
      </c>
      <c r="O625" s="167">
        <v>165</v>
      </c>
      <c r="P625" s="163" t="s">
        <v>241</v>
      </c>
    </row>
    <row r="626" spans="1:16" ht="13.15">
      <c r="A626" s="164">
        <f t="shared" si="34"/>
        <v>1999.2916666666247</v>
      </c>
      <c r="B626" s="164">
        <f t="shared" si="35"/>
        <v>121.5796322552649</v>
      </c>
      <c r="H626" s="165">
        <v>1999.2916666666247</v>
      </c>
      <c r="I626" s="172">
        <v>94.435000000000002</v>
      </c>
      <c r="J626" s="163" t="s">
        <v>246</v>
      </c>
      <c r="N626" s="165">
        <f t="shared" si="36"/>
        <v>1999.2916666666247</v>
      </c>
      <c r="O626" s="167">
        <v>166.2</v>
      </c>
      <c r="P626" s="163" t="s">
        <v>241</v>
      </c>
    </row>
    <row r="627" spans="1:16" ht="13.15">
      <c r="A627" s="164">
        <f t="shared" si="34"/>
        <v>1999.3749999999579</v>
      </c>
      <c r="B627" s="164">
        <f t="shared" si="35"/>
        <v>122.7692291229926</v>
      </c>
      <c r="H627" s="165">
        <v>1999.3749999999579</v>
      </c>
      <c r="I627" s="172">
        <v>95.358999999999995</v>
      </c>
      <c r="J627" s="163" t="s">
        <v>246</v>
      </c>
      <c r="N627" s="165">
        <f t="shared" si="36"/>
        <v>1999.3749999999579</v>
      </c>
      <c r="O627" s="167">
        <v>166.2</v>
      </c>
      <c r="P627" s="163" t="s">
        <v>241</v>
      </c>
    </row>
    <row r="628" spans="1:16" ht="13.15">
      <c r="A628" s="164">
        <f t="shared" si="34"/>
        <v>1999.4583333332912</v>
      </c>
      <c r="B628" s="164">
        <f t="shared" si="35"/>
        <v>124.06053394802602</v>
      </c>
      <c r="H628" s="165">
        <v>1999.4583333332912</v>
      </c>
      <c r="I628" s="172">
        <v>96.362000000000009</v>
      </c>
      <c r="J628" s="163" t="s">
        <v>246</v>
      </c>
      <c r="N628" s="165">
        <f t="shared" si="36"/>
        <v>1999.4583333332912</v>
      </c>
      <c r="O628" s="167">
        <v>166.2</v>
      </c>
      <c r="P628" s="163" t="s">
        <v>241</v>
      </c>
    </row>
    <row r="629" spans="1:16" ht="13.15">
      <c r="A629" s="164">
        <f t="shared" si="34"/>
        <v>1999.5416666666245</v>
      </c>
      <c r="B629" s="164">
        <f t="shared" si="35"/>
        <v>124.7525153688338</v>
      </c>
      <c r="H629" s="165">
        <v>1999.5416666666245</v>
      </c>
      <c r="I629" s="172">
        <v>97.191000000000003</v>
      </c>
      <c r="J629" s="163" t="s">
        <v>246</v>
      </c>
      <c r="N629" s="165">
        <f t="shared" si="36"/>
        <v>1999.5416666666245</v>
      </c>
      <c r="O629" s="167">
        <v>166.7</v>
      </c>
      <c r="P629" s="163" t="s">
        <v>241</v>
      </c>
    </row>
    <row r="630" spans="1:16" ht="13.15">
      <c r="A630" s="164">
        <f t="shared" si="34"/>
        <v>1999.6249999999577</v>
      </c>
      <c r="B630" s="164">
        <f t="shared" si="35"/>
        <v>125.35664414640304</v>
      </c>
      <c r="H630" s="165">
        <v>1999.6249999999577</v>
      </c>
      <c r="I630" s="172">
        <v>97.896000000000001</v>
      </c>
      <c r="J630" s="163" t="s">
        <v>246</v>
      </c>
      <c r="N630" s="165">
        <f t="shared" si="36"/>
        <v>1999.6249999999577</v>
      </c>
      <c r="O630" s="167">
        <v>167.1</v>
      </c>
      <c r="P630" s="163" t="s">
        <v>241</v>
      </c>
    </row>
    <row r="631" spans="1:16" ht="13.15">
      <c r="A631" s="164">
        <f t="shared" ref="A631:A694" si="37">H631</f>
        <v>1999.708333333291</v>
      </c>
      <c r="B631" s="164">
        <f t="shared" si="35"/>
        <v>125.40037895913555</v>
      </c>
      <c r="H631" s="165">
        <v>1999.708333333291</v>
      </c>
      <c r="I631" s="172">
        <v>98.399000000000001</v>
      </c>
      <c r="J631" s="163" t="s">
        <v>246</v>
      </c>
      <c r="N631" s="165">
        <f t="shared" si="36"/>
        <v>1999.708333333291</v>
      </c>
      <c r="O631" s="167">
        <v>167.9</v>
      </c>
      <c r="P631" s="163" t="s">
        <v>241</v>
      </c>
    </row>
    <row r="632" spans="1:16" ht="13.15">
      <c r="A632" s="164">
        <f t="shared" si="37"/>
        <v>1999.7916666666242</v>
      </c>
      <c r="B632" s="164">
        <f t="shared" si="35"/>
        <v>125.72627787547142</v>
      </c>
      <c r="H632" s="165">
        <v>1999.7916666666242</v>
      </c>
      <c r="I632" s="172">
        <v>98.831000000000003</v>
      </c>
      <c r="J632" s="163" t="s">
        <v>246</v>
      </c>
      <c r="N632" s="165">
        <f t="shared" si="36"/>
        <v>1999.7916666666242</v>
      </c>
      <c r="O632" s="167">
        <v>168.2</v>
      </c>
      <c r="P632" s="163" t="s">
        <v>241</v>
      </c>
    </row>
    <row r="633" spans="1:16" ht="13.15">
      <c r="A633" s="164">
        <f t="shared" si="37"/>
        <v>1999.8749999999575</v>
      </c>
      <c r="B633" s="164">
        <f t="shared" si="35"/>
        <v>126.05460107911007</v>
      </c>
      <c r="H633" s="165">
        <v>1999.8749999999575</v>
      </c>
      <c r="I633" s="172">
        <v>99.147999999999996</v>
      </c>
      <c r="J633" s="163" t="s">
        <v>246</v>
      </c>
      <c r="N633" s="165">
        <f t="shared" si="36"/>
        <v>1999.8749999999575</v>
      </c>
      <c r="O633" s="167">
        <v>168.3</v>
      </c>
      <c r="P633" s="163" t="s">
        <v>241</v>
      </c>
    </row>
    <row r="634" spans="1:16" ht="13.15">
      <c r="A634" s="164">
        <f t="shared" si="37"/>
        <v>1999.9583333332907</v>
      </c>
      <c r="B634" s="164">
        <f t="shared" si="35"/>
        <v>126.55552407125487</v>
      </c>
      <c r="H634" s="165">
        <v>1999.9583333332907</v>
      </c>
      <c r="I634" s="172">
        <v>99.542000000000002</v>
      </c>
      <c r="J634" s="163" t="s">
        <v>246</v>
      </c>
      <c r="N634" s="165">
        <f t="shared" si="36"/>
        <v>1999.9583333332907</v>
      </c>
      <c r="O634" s="167">
        <v>168.3</v>
      </c>
      <c r="P634" s="163" t="s">
        <v>241</v>
      </c>
    </row>
    <row r="635" spans="1:16" ht="13.15">
      <c r="A635" s="164">
        <f t="shared" si="37"/>
        <v>2000.041666666624</v>
      </c>
      <c r="B635" s="164">
        <f t="shared" si="35"/>
        <v>126.76122221047393</v>
      </c>
      <c r="H635" s="165">
        <v>2000.041666666624</v>
      </c>
      <c r="I635" s="172">
        <v>100</v>
      </c>
      <c r="J635" s="163" t="s">
        <v>246</v>
      </c>
      <c r="N635" s="165">
        <f t="shared" si="36"/>
        <v>2000.041666666624</v>
      </c>
      <c r="O635" s="167">
        <v>168.8</v>
      </c>
      <c r="P635" s="163" t="s">
        <v>241</v>
      </c>
    </row>
    <row r="636" spans="1:16" ht="13.15">
      <c r="A636" s="164">
        <f t="shared" si="37"/>
        <v>2000.1249999999573</v>
      </c>
      <c r="B636" s="164">
        <f t="shared" ref="B636:B699" si="38">100*(I636/O636)/(I$8/O$8)</f>
        <v>126.73423356674392</v>
      </c>
      <c r="H636" s="165">
        <v>2000.1249999999573</v>
      </c>
      <c r="I636" s="172">
        <v>100.571</v>
      </c>
      <c r="J636" s="163" t="s">
        <v>246</v>
      </c>
      <c r="N636" s="165">
        <f t="shared" si="36"/>
        <v>2000.1249999999573</v>
      </c>
      <c r="O636" s="167">
        <v>169.8</v>
      </c>
      <c r="P636" s="163" t="s">
        <v>241</v>
      </c>
    </row>
    <row r="637" spans="1:16" ht="13.15">
      <c r="A637" s="164">
        <f t="shared" si="37"/>
        <v>2000.2083333332905</v>
      </c>
      <c r="B637" s="164">
        <f t="shared" si="38"/>
        <v>126.81646404030268</v>
      </c>
      <c r="H637" s="165">
        <v>2000.2083333332905</v>
      </c>
      <c r="I637" s="172">
        <v>101.46600000000001</v>
      </c>
      <c r="J637" s="163" t="s">
        <v>246</v>
      </c>
      <c r="N637" s="165">
        <f t="shared" si="36"/>
        <v>2000.2083333332905</v>
      </c>
      <c r="O637" s="167">
        <v>171.2</v>
      </c>
      <c r="P637" s="163" t="s">
        <v>241</v>
      </c>
    </row>
    <row r="638" spans="1:16" ht="13.15">
      <c r="A638" s="164">
        <f t="shared" si="37"/>
        <v>2000.2916666666238</v>
      </c>
      <c r="B638" s="164">
        <f t="shared" si="38"/>
        <v>128.0839788942198</v>
      </c>
      <c r="H638" s="165">
        <v>2000.2916666666238</v>
      </c>
      <c r="I638" s="172">
        <v>102.54</v>
      </c>
      <c r="J638" s="163" t="s">
        <v>246</v>
      </c>
      <c r="N638" s="165">
        <f t="shared" si="36"/>
        <v>2000.2916666666238</v>
      </c>
      <c r="O638" s="167">
        <v>171.3</v>
      </c>
      <c r="P638" s="163" t="s">
        <v>241</v>
      </c>
    </row>
    <row r="639" spans="1:16" ht="13.15">
      <c r="A639" s="164">
        <f t="shared" si="37"/>
        <v>2000.374999999957</v>
      </c>
      <c r="B639" s="164">
        <f t="shared" si="38"/>
        <v>129.38313802629054</v>
      </c>
      <c r="H639" s="165">
        <v>2000.374999999957</v>
      </c>
      <c r="I639" s="172">
        <v>103.70100000000001</v>
      </c>
      <c r="J639" s="163" t="s">
        <v>246</v>
      </c>
      <c r="N639" s="165">
        <f t="shared" si="36"/>
        <v>2000.374999999957</v>
      </c>
      <c r="O639" s="167">
        <v>171.5</v>
      </c>
      <c r="P639" s="163" t="s">
        <v>241</v>
      </c>
    </row>
    <row r="640" spans="1:16" ht="13.15">
      <c r="A640" s="164">
        <f t="shared" si="37"/>
        <v>2000.4583333332903</v>
      </c>
      <c r="B640" s="164">
        <f t="shared" si="38"/>
        <v>130.13998229603342</v>
      </c>
      <c r="H640" s="165">
        <v>2000.4583333332903</v>
      </c>
      <c r="I640" s="172">
        <v>104.855</v>
      </c>
      <c r="J640" s="163" t="s">
        <v>246</v>
      </c>
      <c r="N640" s="165">
        <f t="shared" si="36"/>
        <v>2000.4583333332903</v>
      </c>
      <c r="O640" s="167">
        <v>172.4</v>
      </c>
      <c r="P640" s="163" t="s">
        <v>241</v>
      </c>
    </row>
    <row r="641" spans="1:16" ht="13.15">
      <c r="A641" s="164">
        <f t="shared" si="37"/>
        <v>2000.5416666666235</v>
      </c>
      <c r="B641" s="164">
        <f t="shared" si="38"/>
        <v>130.91107359116441</v>
      </c>
      <c r="H641" s="165">
        <v>2000.5416666666235</v>
      </c>
      <c r="I641" s="172">
        <v>105.721</v>
      </c>
      <c r="J641" s="163" t="s">
        <v>246</v>
      </c>
      <c r="N641" s="165">
        <f t="shared" si="36"/>
        <v>2000.5416666666235</v>
      </c>
      <c r="O641" s="167">
        <v>172.8</v>
      </c>
      <c r="P641" s="163" t="s">
        <v>241</v>
      </c>
    </row>
    <row r="642" spans="1:16" ht="13.15">
      <c r="A642" s="164">
        <f t="shared" si="37"/>
        <v>2000.6249999999568</v>
      </c>
      <c r="B642" s="164">
        <f t="shared" si="38"/>
        <v>131.90168906843886</v>
      </c>
      <c r="H642" s="165">
        <v>2000.6249999999568</v>
      </c>
      <c r="I642" s="172">
        <v>106.521</v>
      </c>
      <c r="J642" s="163" t="s">
        <v>246</v>
      </c>
      <c r="N642" s="165">
        <f t="shared" si="36"/>
        <v>2000.6249999999568</v>
      </c>
      <c r="O642" s="167">
        <v>172.8</v>
      </c>
      <c r="P642" s="163" t="s">
        <v>241</v>
      </c>
    </row>
    <row r="643" spans="1:16" ht="13.15">
      <c r="A643" s="164">
        <f t="shared" si="37"/>
        <v>2000.7083333332901</v>
      </c>
      <c r="B643" s="164">
        <f t="shared" si="38"/>
        <v>131.97461864182085</v>
      </c>
      <c r="H643" s="165">
        <v>2000.7083333332901</v>
      </c>
      <c r="I643" s="172">
        <v>107.13500000000001</v>
      </c>
      <c r="J643" s="163" t="s">
        <v>246</v>
      </c>
      <c r="N643" s="165">
        <f t="shared" si="36"/>
        <v>2000.7083333332901</v>
      </c>
      <c r="O643" s="167">
        <v>173.7</v>
      </c>
      <c r="P643" s="163" t="s">
        <v>241</v>
      </c>
    </row>
    <row r="644" spans="1:16" ht="13.15">
      <c r="A644" s="164">
        <f t="shared" si="37"/>
        <v>2000.7916666666233</v>
      </c>
      <c r="B644" s="164">
        <f t="shared" si="38"/>
        <v>132.4763058237782</v>
      </c>
      <c r="H644" s="165">
        <v>2000.7916666666233</v>
      </c>
      <c r="I644" s="172">
        <v>107.72799999999999</v>
      </c>
      <c r="J644" s="163" t="s">
        <v>246</v>
      </c>
      <c r="N644" s="165">
        <f t="shared" si="36"/>
        <v>2000.7916666666233</v>
      </c>
      <c r="O644" s="167">
        <v>174</v>
      </c>
      <c r="P644" s="163" t="s">
        <v>241</v>
      </c>
    </row>
    <row r="645" spans="1:16" ht="13.15">
      <c r="A645" s="164">
        <f t="shared" si="37"/>
        <v>2000.8749999999566</v>
      </c>
      <c r="B645" s="164">
        <f t="shared" si="38"/>
        <v>133.0909247981316</v>
      </c>
      <c r="H645" s="165">
        <v>2000.8749999999566</v>
      </c>
      <c r="I645" s="172">
        <v>108.29</v>
      </c>
      <c r="J645" s="163" t="s">
        <v>246</v>
      </c>
      <c r="N645" s="165">
        <f t="shared" si="36"/>
        <v>2000.8749999999566</v>
      </c>
      <c r="O645" s="167">
        <v>174.1</v>
      </c>
      <c r="P645" s="163" t="s">
        <v>241</v>
      </c>
    </row>
    <row r="646" spans="1:16" ht="13.15">
      <c r="A646" s="164">
        <f t="shared" si="37"/>
        <v>2000.9583333332898</v>
      </c>
      <c r="B646" s="164">
        <f t="shared" si="38"/>
        <v>133.78350834392782</v>
      </c>
      <c r="H646" s="165">
        <v>2000.9583333332898</v>
      </c>
      <c r="I646" s="172">
        <v>108.791</v>
      </c>
      <c r="J646" s="163" t="s">
        <v>246</v>
      </c>
      <c r="N646" s="165">
        <f t="shared" si="36"/>
        <v>2000.9583333332898</v>
      </c>
      <c r="O646" s="167">
        <v>174</v>
      </c>
      <c r="P646" s="163" t="s">
        <v>241</v>
      </c>
    </row>
    <row r="647" spans="1:16" ht="13.15">
      <c r="A647" s="164">
        <f t="shared" si="37"/>
        <v>2001.0416666666231</v>
      </c>
      <c r="B647" s="164">
        <f t="shared" si="38"/>
        <v>133.45997148355826</v>
      </c>
      <c r="H647" s="165">
        <v>2001.0416666666231</v>
      </c>
      <c r="I647" s="172">
        <v>109.214</v>
      </c>
      <c r="J647" s="163" t="s">
        <v>246</v>
      </c>
      <c r="N647" s="165">
        <f t="shared" si="36"/>
        <v>2001.0416666666231</v>
      </c>
      <c r="O647" s="167">
        <v>175.1</v>
      </c>
      <c r="P647" s="163" t="s">
        <v>241</v>
      </c>
    </row>
    <row r="648" spans="1:16" ht="13.15">
      <c r="A648" s="164">
        <f t="shared" si="37"/>
        <v>2001.1249999999563</v>
      </c>
      <c r="B648" s="164">
        <f t="shared" si="38"/>
        <v>133.44949616845349</v>
      </c>
      <c r="H648" s="165">
        <v>2001.1249999999563</v>
      </c>
      <c r="I648" s="172">
        <v>109.64200000000001</v>
      </c>
      <c r="J648" s="163" t="s">
        <v>246</v>
      </c>
      <c r="N648" s="165">
        <f t="shared" si="36"/>
        <v>2001.1249999999563</v>
      </c>
      <c r="O648" s="167">
        <v>175.8</v>
      </c>
      <c r="P648" s="163" t="s">
        <v>241</v>
      </c>
    </row>
    <row r="649" spans="1:16" ht="13.15">
      <c r="A649" s="164">
        <f t="shared" si="37"/>
        <v>2001.2083333332896</v>
      </c>
      <c r="B649" s="164">
        <f t="shared" si="38"/>
        <v>134.05975641100321</v>
      </c>
      <c r="H649" s="165">
        <v>2001.2083333332896</v>
      </c>
      <c r="I649" s="172">
        <v>110.39399999999999</v>
      </c>
      <c r="J649" s="163" t="s">
        <v>246</v>
      </c>
      <c r="N649" s="165">
        <f t="shared" ref="N649:N712" si="39">N648+1/12</f>
        <v>2001.2083333332896</v>
      </c>
      <c r="O649" s="167">
        <v>176.2</v>
      </c>
      <c r="P649" s="163" t="s">
        <v>241</v>
      </c>
    </row>
    <row r="650" spans="1:16" ht="13.15">
      <c r="A650" s="164">
        <f t="shared" si="37"/>
        <v>2001.2916666666229</v>
      </c>
      <c r="B650" s="164">
        <f t="shared" si="38"/>
        <v>134.56104013609738</v>
      </c>
      <c r="H650" s="165">
        <v>2001.2916666666229</v>
      </c>
      <c r="I650" s="172">
        <v>111.24700000000001</v>
      </c>
      <c r="J650" s="163" t="s">
        <v>246</v>
      </c>
      <c r="N650" s="165">
        <f t="shared" si="39"/>
        <v>2001.2916666666229</v>
      </c>
      <c r="O650" s="167">
        <v>176.9</v>
      </c>
      <c r="P650" s="163" t="s">
        <v>241</v>
      </c>
    </row>
    <row r="651" spans="1:16" ht="13.15">
      <c r="A651" s="164">
        <f t="shared" si="37"/>
        <v>2001.3749999999561</v>
      </c>
      <c r="B651" s="164">
        <f t="shared" si="38"/>
        <v>135.10518942446708</v>
      </c>
      <c r="H651" s="165">
        <v>2001.3749999999561</v>
      </c>
      <c r="I651" s="172">
        <v>112.20200000000001</v>
      </c>
      <c r="J651" s="163" t="s">
        <v>246</v>
      </c>
      <c r="N651" s="165">
        <f t="shared" si="39"/>
        <v>2001.3749999999561</v>
      </c>
      <c r="O651" s="167">
        <v>177.7</v>
      </c>
      <c r="P651" s="163" t="s">
        <v>241</v>
      </c>
    </row>
    <row r="652" spans="1:16" ht="13.15">
      <c r="A652" s="164">
        <f t="shared" si="37"/>
        <v>2001.4583333332894</v>
      </c>
      <c r="B652" s="164">
        <f t="shared" si="38"/>
        <v>136.16372589795208</v>
      </c>
      <c r="H652" s="165">
        <v>2001.4583333332894</v>
      </c>
      <c r="I652" s="172">
        <v>113.27200000000001</v>
      </c>
      <c r="J652" s="163" t="s">
        <v>246</v>
      </c>
      <c r="N652" s="165">
        <f t="shared" si="39"/>
        <v>2001.4583333332894</v>
      </c>
      <c r="O652" s="167">
        <v>178</v>
      </c>
      <c r="P652" s="163" t="s">
        <v>241</v>
      </c>
    </row>
    <row r="653" spans="1:16" ht="13.15">
      <c r="A653" s="164">
        <f t="shared" si="37"/>
        <v>2001.5416666666226</v>
      </c>
      <c r="B653" s="164">
        <f t="shared" si="38"/>
        <v>137.69731491574393</v>
      </c>
      <c r="H653" s="165">
        <v>2001.5416666666226</v>
      </c>
      <c r="I653" s="172">
        <v>114.226</v>
      </c>
      <c r="J653" s="163" t="s">
        <v>246</v>
      </c>
      <c r="N653" s="165">
        <f t="shared" si="39"/>
        <v>2001.5416666666226</v>
      </c>
      <c r="O653" s="167">
        <v>177.5</v>
      </c>
      <c r="P653" s="163" t="s">
        <v>241</v>
      </c>
    </row>
    <row r="654" spans="1:16" ht="13.15">
      <c r="A654" s="164">
        <f t="shared" si="37"/>
        <v>2001.6249999999559</v>
      </c>
      <c r="B654" s="164">
        <f t="shared" si="38"/>
        <v>138.61468623795497</v>
      </c>
      <c r="H654" s="165">
        <v>2001.6249999999559</v>
      </c>
      <c r="I654" s="172">
        <v>114.98700000000001</v>
      </c>
      <c r="J654" s="163" t="s">
        <v>246</v>
      </c>
      <c r="N654" s="165">
        <f t="shared" si="39"/>
        <v>2001.6249999999559</v>
      </c>
      <c r="O654" s="167">
        <v>177.5</v>
      </c>
      <c r="P654" s="163" t="s">
        <v>241</v>
      </c>
    </row>
    <row r="655" spans="1:16" ht="13.15">
      <c r="A655" s="164">
        <f t="shared" si="37"/>
        <v>2001.7083333332891</v>
      </c>
      <c r="B655" s="164">
        <f t="shared" si="38"/>
        <v>138.56518172233061</v>
      </c>
      <c r="H655" s="165">
        <v>2001.7083333332891</v>
      </c>
      <c r="I655" s="172">
        <v>115.464</v>
      </c>
      <c r="J655" s="163" t="s">
        <v>246</v>
      </c>
      <c r="N655" s="165">
        <f t="shared" si="39"/>
        <v>2001.7083333332891</v>
      </c>
      <c r="O655" s="167">
        <v>178.3</v>
      </c>
      <c r="P655" s="163" t="s">
        <v>241</v>
      </c>
    </row>
    <row r="656" spans="1:16" ht="13.15">
      <c r="A656" s="164">
        <f t="shared" si="37"/>
        <v>2001.7916666666224</v>
      </c>
      <c r="B656" s="164">
        <f t="shared" si="38"/>
        <v>139.29313481597788</v>
      </c>
      <c r="H656" s="165">
        <v>2001.7916666666224</v>
      </c>
      <c r="I656" s="172">
        <v>115.68</v>
      </c>
      <c r="J656" s="163" t="s">
        <v>246</v>
      </c>
      <c r="N656" s="165">
        <f t="shared" si="39"/>
        <v>2001.7916666666224</v>
      </c>
      <c r="O656" s="167">
        <v>177.7</v>
      </c>
      <c r="P656" s="163" t="s">
        <v>241</v>
      </c>
    </row>
    <row r="657" spans="1:16" ht="13.15">
      <c r="A657" s="164">
        <f t="shared" si="37"/>
        <v>2001.8749999999557</v>
      </c>
      <c r="B657" s="164">
        <f t="shared" si="38"/>
        <v>139.71926596283927</v>
      </c>
      <c r="H657" s="165">
        <v>2001.8749999999557</v>
      </c>
      <c r="I657" s="172">
        <v>115.83799999999999</v>
      </c>
      <c r="J657" s="163" t="s">
        <v>246</v>
      </c>
      <c r="N657" s="165">
        <f t="shared" si="39"/>
        <v>2001.8749999999557</v>
      </c>
      <c r="O657" s="167">
        <v>177.4</v>
      </c>
      <c r="P657" s="163" t="s">
        <v>241</v>
      </c>
    </row>
    <row r="658" spans="1:16" ht="13.15">
      <c r="A658" s="164">
        <f t="shared" si="37"/>
        <v>2001.9583333332889</v>
      </c>
      <c r="B658" s="164">
        <f t="shared" si="38"/>
        <v>140.53675089644366</v>
      </c>
      <c r="H658" s="165">
        <v>2001.9583333332889</v>
      </c>
      <c r="I658" s="172">
        <v>116.056</v>
      </c>
      <c r="J658" s="163" t="s">
        <v>246</v>
      </c>
      <c r="N658" s="165">
        <f t="shared" si="39"/>
        <v>2001.9583333332889</v>
      </c>
      <c r="O658" s="167">
        <v>176.7</v>
      </c>
      <c r="P658" s="163" t="s">
        <v>241</v>
      </c>
    </row>
    <row r="659" spans="1:16" ht="13.15">
      <c r="A659" s="164">
        <f t="shared" si="37"/>
        <v>2002.0416666666222</v>
      </c>
      <c r="B659" s="164">
        <f t="shared" si="38"/>
        <v>140.67965880699813</v>
      </c>
      <c r="H659" s="165">
        <v>2002.0416666666222</v>
      </c>
      <c r="I659" s="172">
        <v>116.43700000000001</v>
      </c>
      <c r="J659" s="163" t="s">
        <v>246</v>
      </c>
      <c r="N659" s="165">
        <f t="shared" si="39"/>
        <v>2002.0416666666222</v>
      </c>
      <c r="O659" s="167">
        <v>177.1</v>
      </c>
      <c r="P659" s="163" t="s">
        <v>241</v>
      </c>
    </row>
    <row r="660" spans="1:16" ht="13.15">
      <c r="A660" s="164">
        <f t="shared" si="37"/>
        <v>2002.1249999999554</v>
      </c>
      <c r="B660" s="164">
        <f t="shared" si="38"/>
        <v>140.70225317469118</v>
      </c>
      <c r="H660" s="165">
        <v>2002.1249999999554</v>
      </c>
      <c r="I660" s="172">
        <v>116.916</v>
      </c>
      <c r="J660" s="163" t="s">
        <v>246</v>
      </c>
      <c r="N660" s="165">
        <f t="shared" si="39"/>
        <v>2002.1249999999554</v>
      </c>
      <c r="O660" s="167">
        <v>177.8</v>
      </c>
      <c r="P660" s="163" t="s">
        <v>241</v>
      </c>
    </row>
    <row r="661" spans="1:16" ht="13.15">
      <c r="A661" s="164">
        <f t="shared" si="37"/>
        <v>2002.2083333332887</v>
      </c>
      <c r="B661" s="164">
        <f t="shared" si="38"/>
        <v>141.12760182221228</v>
      </c>
      <c r="H661" s="165">
        <v>2002.2083333332887</v>
      </c>
      <c r="I661" s="172">
        <v>117.929</v>
      </c>
      <c r="J661" s="163" t="s">
        <v>246</v>
      </c>
      <c r="N661" s="165">
        <f t="shared" si="39"/>
        <v>2002.2083333332887</v>
      </c>
      <c r="O661" s="167">
        <v>178.8</v>
      </c>
      <c r="P661" s="163" t="s">
        <v>241</v>
      </c>
    </row>
    <row r="662" spans="1:16" ht="13.15">
      <c r="A662" s="164">
        <f t="shared" si="37"/>
        <v>2002.2916666666219</v>
      </c>
      <c r="B662" s="164">
        <f t="shared" si="38"/>
        <v>141.86477530603617</v>
      </c>
      <c r="H662" s="165">
        <v>2002.2916666666219</v>
      </c>
      <c r="I662" s="172">
        <v>119.208</v>
      </c>
      <c r="J662" s="163" t="s">
        <v>246</v>
      </c>
      <c r="N662" s="165">
        <f t="shared" si="39"/>
        <v>2002.2916666666219</v>
      </c>
      <c r="O662" s="167">
        <v>179.8</v>
      </c>
      <c r="P662" s="163" t="s">
        <v>241</v>
      </c>
    </row>
    <row r="663" spans="1:16" ht="13.15">
      <c r="A663" s="164">
        <f t="shared" si="37"/>
        <v>2002.3749999999552</v>
      </c>
      <c r="B663" s="164">
        <f t="shared" si="38"/>
        <v>143.7438814080447</v>
      </c>
      <c r="H663" s="165">
        <v>2002.3749999999552</v>
      </c>
      <c r="I663" s="172">
        <v>120.78700000000001</v>
      </c>
      <c r="J663" s="163" t="s">
        <v>246</v>
      </c>
      <c r="N663" s="165">
        <f t="shared" si="39"/>
        <v>2002.3749999999552</v>
      </c>
      <c r="O663" s="167">
        <v>179.8</v>
      </c>
      <c r="P663" s="163" t="s">
        <v>241</v>
      </c>
    </row>
    <row r="664" spans="1:16" ht="13.15">
      <c r="A664" s="164">
        <f t="shared" si="37"/>
        <v>2002.4583333332885</v>
      </c>
      <c r="B664" s="164">
        <f t="shared" si="38"/>
        <v>145.50279070142054</v>
      </c>
      <c r="H664" s="165">
        <v>2002.4583333332885</v>
      </c>
      <c r="I664" s="172">
        <v>122.333</v>
      </c>
      <c r="J664" s="163" t="s">
        <v>246</v>
      </c>
      <c r="N664" s="165">
        <f t="shared" si="39"/>
        <v>2002.4583333332885</v>
      </c>
      <c r="O664" s="167">
        <v>179.9</v>
      </c>
      <c r="P664" s="163" t="s">
        <v>241</v>
      </c>
    </row>
    <row r="665" spans="1:16" ht="13.15">
      <c r="A665" s="164">
        <f t="shared" si="37"/>
        <v>2002.5416666666217</v>
      </c>
      <c r="B665" s="164">
        <f t="shared" si="38"/>
        <v>146.9498690290458</v>
      </c>
      <c r="H665" s="165">
        <v>2002.5416666666217</v>
      </c>
      <c r="I665" s="172">
        <v>123.68700000000001</v>
      </c>
      <c r="J665" s="163" t="s">
        <v>246</v>
      </c>
      <c r="N665" s="165">
        <f t="shared" si="39"/>
        <v>2002.5416666666217</v>
      </c>
      <c r="O665" s="167">
        <v>180.1</v>
      </c>
      <c r="P665" s="163" t="s">
        <v>241</v>
      </c>
    </row>
    <row r="666" spans="1:16" ht="13.15">
      <c r="A666" s="164">
        <f t="shared" si="37"/>
        <v>2002.624999999955</v>
      </c>
      <c r="B666" s="164">
        <f t="shared" si="38"/>
        <v>147.69698501259188</v>
      </c>
      <c r="H666" s="165">
        <v>2002.624999999955</v>
      </c>
      <c r="I666" s="172">
        <v>124.73</v>
      </c>
      <c r="J666" s="163" t="s">
        <v>246</v>
      </c>
      <c r="N666" s="165">
        <f t="shared" si="39"/>
        <v>2002.624999999955</v>
      </c>
      <c r="O666" s="167">
        <v>180.7</v>
      </c>
      <c r="P666" s="163" t="s">
        <v>241</v>
      </c>
    </row>
    <row r="667" spans="1:16" ht="13.15">
      <c r="A667" s="164">
        <f t="shared" si="37"/>
        <v>2002.7083333332882</v>
      </c>
      <c r="B667" s="164">
        <f t="shared" si="38"/>
        <v>148.35536199059166</v>
      </c>
      <c r="H667" s="165">
        <v>2002.7083333332882</v>
      </c>
      <c r="I667" s="172">
        <v>125.494</v>
      </c>
      <c r="J667" s="163" t="s">
        <v>246</v>
      </c>
      <c r="N667" s="165">
        <f t="shared" si="39"/>
        <v>2002.7083333332882</v>
      </c>
      <c r="O667" s="167">
        <v>181</v>
      </c>
      <c r="P667" s="163" t="s">
        <v>241</v>
      </c>
    </row>
    <row r="668" spans="1:16" ht="13.15">
      <c r="A668" s="164">
        <f t="shared" si="37"/>
        <v>2002.7916666666215</v>
      </c>
      <c r="B668" s="164">
        <f t="shared" si="38"/>
        <v>148.8675739093309</v>
      </c>
      <c r="H668" s="165">
        <v>2002.7916666666215</v>
      </c>
      <c r="I668" s="172">
        <v>126.13600000000001</v>
      </c>
      <c r="J668" s="163" t="s">
        <v>246</v>
      </c>
      <c r="N668" s="165">
        <f t="shared" si="39"/>
        <v>2002.7916666666215</v>
      </c>
      <c r="O668" s="167">
        <v>181.3</v>
      </c>
      <c r="P668" s="163" t="s">
        <v>241</v>
      </c>
    </row>
    <row r="669" spans="1:16" ht="13.15">
      <c r="A669" s="164">
        <f t="shared" si="37"/>
        <v>2002.8749999999548</v>
      </c>
      <c r="B669" s="164">
        <f t="shared" si="38"/>
        <v>149.46476259771583</v>
      </c>
      <c r="H669" s="165">
        <v>2002.8749999999548</v>
      </c>
      <c r="I669" s="172">
        <v>126.64200000000001</v>
      </c>
      <c r="J669" s="163" t="s">
        <v>246</v>
      </c>
      <c r="N669" s="165">
        <f t="shared" si="39"/>
        <v>2002.8749999999548</v>
      </c>
      <c r="O669" s="167">
        <v>181.3</v>
      </c>
      <c r="P669" s="163" t="s">
        <v>241</v>
      </c>
    </row>
    <row r="670" spans="1:16" ht="13.15">
      <c r="A670" s="164">
        <f t="shared" si="37"/>
        <v>2002.958333333288</v>
      </c>
      <c r="B670" s="164">
        <f t="shared" si="38"/>
        <v>150.39731170259449</v>
      </c>
      <c r="H670" s="165">
        <v>2002.958333333288</v>
      </c>
      <c r="I670" s="172">
        <v>127.15100000000001</v>
      </c>
      <c r="J670" s="163" t="s">
        <v>246</v>
      </c>
      <c r="N670" s="165">
        <f t="shared" si="39"/>
        <v>2002.958333333288</v>
      </c>
      <c r="O670" s="167">
        <v>180.9</v>
      </c>
      <c r="P670" s="163" t="s">
        <v>241</v>
      </c>
    </row>
    <row r="671" spans="1:16" ht="13.15">
      <c r="A671" s="164">
        <f t="shared" si="37"/>
        <v>2003.0416666666213</v>
      </c>
      <c r="B671" s="164">
        <f t="shared" si="38"/>
        <v>150.32511905056731</v>
      </c>
      <c r="H671" s="165">
        <v>2003.0416666666213</v>
      </c>
      <c r="I671" s="172">
        <v>127.652</v>
      </c>
      <c r="J671" s="163" t="s">
        <v>246</v>
      </c>
      <c r="N671" s="165">
        <f t="shared" si="39"/>
        <v>2003.0416666666213</v>
      </c>
      <c r="O671" s="167">
        <v>181.7</v>
      </c>
      <c r="P671" s="163" t="s">
        <v>241</v>
      </c>
    </row>
    <row r="672" spans="1:16" ht="13.15">
      <c r="A672" s="164">
        <f t="shared" si="37"/>
        <v>2003.1249999999545</v>
      </c>
      <c r="B672" s="164">
        <f t="shared" si="38"/>
        <v>149.9633637090748</v>
      </c>
      <c r="H672" s="165">
        <v>2003.1249999999545</v>
      </c>
      <c r="I672" s="172">
        <v>128.32599999999999</v>
      </c>
      <c r="J672" s="163" t="s">
        <v>246</v>
      </c>
      <c r="N672" s="165">
        <f t="shared" si="39"/>
        <v>2003.1249999999545</v>
      </c>
      <c r="O672" s="167">
        <v>183.1</v>
      </c>
      <c r="P672" s="163" t="s">
        <v>241</v>
      </c>
    </row>
    <row r="673" spans="1:16" ht="13.15">
      <c r="A673" s="164">
        <f t="shared" si="37"/>
        <v>2003.2083333332878</v>
      </c>
      <c r="B673" s="164">
        <f t="shared" si="38"/>
        <v>150.20854139656478</v>
      </c>
      <c r="H673" s="165">
        <v>2003.2083333332878</v>
      </c>
      <c r="I673" s="172">
        <v>129.30799999999999</v>
      </c>
      <c r="J673" s="163" t="s">
        <v>246</v>
      </c>
      <c r="N673" s="165">
        <f t="shared" si="39"/>
        <v>2003.2083333332878</v>
      </c>
      <c r="O673" s="167">
        <v>184.2</v>
      </c>
      <c r="P673" s="163" t="s">
        <v>241</v>
      </c>
    </row>
    <row r="674" spans="1:16" ht="13.15">
      <c r="A674" s="164">
        <f t="shared" si="37"/>
        <v>2003.291666666621</v>
      </c>
      <c r="B674" s="164">
        <f t="shared" si="38"/>
        <v>151.90914797657746</v>
      </c>
      <c r="H674" s="165">
        <v>2003.291666666621</v>
      </c>
      <c r="I674" s="172">
        <v>130.488</v>
      </c>
      <c r="J674" s="163" t="s">
        <v>246</v>
      </c>
      <c r="N674" s="165">
        <f t="shared" si="39"/>
        <v>2003.291666666621</v>
      </c>
      <c r="O674" s="167">
        <v>183.8</v>
      </c>
      <c r="P674" s="163" t="s">
        <v>241</v>
      </c>
    </row>
    <row r="675" spans="1:16" ht="13.15">
      <c r="A675" s="164">
        <f t="shared" si="37"/>
        <v>2003.3749999999543</v>
      </c>
      <c r="B675" s="164">
        <f t="shared" si="38"/>
        <v>153.73285473684612</v>
      </c>
      <c r="H675" s="165">
        <v>2003.3749999999543</v>
      </c>
      <c r="I675" s="172">
        <v>131.839</v>
      </c>
      <c r="J675" s="163" t="s">
        <v>246</v>
      </c>
      <c r="N675" s="165">
        <f t="shared" si="39"/>
        <v>2003.3749999999543</v>
      </c>
      <c r="O675" s="167">
        <v>183.5</v>
      </c>
      <c r="P675" s="163" t="s">
        <v>241</v>
      </c>
    </row>
    <row r="676" spans="1:16" ht="13.15">
      <c r="A676" s="164">
        <f t="shared" si="37"/>
        <v>2003.4583333332876</v>
      </c>
      <c r="B676" s="164">
        <f t="shared" si="38"/>
        <v>155.1798875521817</v>
      </c>
      <c r="H676" s="165">
        <v>2003.4583333332876</v>
      </c>
      <c r="I676" s="172">
        <v>133.22499999999999</v>
      </c>
      <c r="J676" s="163" t="s">
        <v>246</v>
      </c>
      <c r="N676" s="165">
        <f t="shared" si="39"/>
        <v>2003.4583333332876</v>
      </c>
      <c r="O676" s="167">
        <v>183.7</v>
      </c>
      <c r="P676" s="163" t="s">
        <v>241</v>
      </c>
    </row>
    <row r="677" spans="1:16" ht="13.15">
      <c r="A677" s="164">
        <f t="shared" si="37"/>
        <v>2003.5416666666208</v>
      </c>
      <c r="B677" s="164">
        <f t="shared" si="38"/>
        <v>156.66565996961162</v>
      </c>
      <c r="H677" s="165">
        <v>2003.5416666666208</v>
      </c>
      <c r="I677" s="172">
        <v>134.64700000000002</v>
      </c>
      <c r="J677" s="163" t="s">
        <v>246</v>
      </c>
      <c r="N677" s="165">
        <f t="shared" si="39"/>
        <v>2003.5416666666208</v>
      </c>
      <c r="O677" s="167">
        <v>183.9</v>
      </c>
      <c r="P677" s="163" t="s">
        <v>241</v>
      </c>
    </row>
    <row r="678" spans="1:16" ht="13.15">
      <c r="A678" s="164">
        <f t="shared" si="37"/>
        <v>2003.6249999999541</v>
      </c>
      <c r="B678" s="164">
        <f t="shared" si="38"/>
        <v>157.59930231530817</v>
      </c>
      <c r="H678" s="165">
        <v>2003.6249999999541</v>
      </c>
      <c r="I678" s="172">
        <v>135.965</v>
      </c>
      <c r="J678" s="163" t="s">
        <v>246</v>
      </c>
      <c r="N678" s="165">
        <f t="shared" si="39"/>
        <v>2003.6249999999541</v>
      </c>
      <c r="O678" s="167">
        <v>184.6</v>
      </c>
      <c r="P678" s="163" t="s">
        <v>241</v>
      </c>
    </row>
    <row r="679" spans="1:16" ht="13.15">
      <c r="A679" s="164">
        <f t="shared" si="37"/>
        <v>2003.7083333332873</v>
      </c>
      <c r="B679" s="164">
        <f t="shared" si="38"/>
        <v>158.37232800853292</v>
      </c>
      <c r="H679" s="165">
        <v>2003.7083333332873</v>
      </c>
      <c r="I679" s="172">
        <v>137.07599999999999</v>
      </c>
      <c r="J679" s="163" t="s">
        <v>246</v>
      </c>
      <c r="N679" s="165">
        <f t="shared" si="39"/>
        <v>2003.7083333332873</v>
      </c>
      <c r="O679" s="167">
        <v>185.2</v>
      </c>
      <c r="P679" s="163" t="s">
        <v>241</v>
      </c>
    </row>
    <row r="680" spans="1:16" ht="13.15">
      <c r="A680" s="164">
        <f t="shared" si="37"/>
        <v>2003.7916666666206</v>
      </c>
      <c r="B680" s="164">
        <f t="shared" si="38"/>
        <v>159.58449078898622</v>
      </c>
      <c r="H680" s="165">
        <v>2003.7916666666206</v>
      </c>
      <c r="I680" s="172">
        <v>137.976</v>
      </c>
      <c r="J680" s="163" t="s">
        <v>246</v>
      </c>
      <c r="N680" s="165">
        <f t="shared" si="39"/>
        <v>2003.7916666666206</v>
      </c>
      <c r="O680" s="167">
        <v>185</v>
      </c>
      <c r="P680" s="163" t="s">
        <v>241</v>
      </c>
    </row>
    <row r="681" spans="1:16" ht="13.15">
      <c r="A681" s="164">
        <f t="shared" si="37"/>
        <v>2003.8749999999538</v>
      </c>
      <c r="B681" s="164">
        <f t="shared" si="38"/>
        <v>160.93200784857163</v>
      </c>
      <c r="H681" s="165">
        <v>2003.8749999999538</v>
      </c>
      <c r="I681" s="172">
        <v>138.76499999999999</v>
      </c>
      <c r="J681" s="163" t="s">
        <v>246</v>
      </c>
      <c r="N681" s="165">
        <f t="shared" si="39"/>
        <v>2003.8749999999538</v>
      </c>
      <c r="O681" s="167">
        <v>184.5</v>
      </c>
      <c r="P681" s="163" t="s">
        <v>241</v>
      </c>
    </row>
    <row r="682" spans="1:16" ht="13.15">
      <c r="A682" s="164">
        <f t="shared" si="37"/>
        <v>2003.9583333332871</v>
      </c>
      <c r="B682" s="164">
        <f t="shared" si="38"/>
        <v>162.10859521404902</v>
      </c>
      <c r="H682" s="165">
        <v>2003.9583333332871</v>
      </c>
      <c r="I682" s="172">
        <v>139.62799999999999</v>
      </c>
      <c r="J682" s="163" t="s">
        <v>246</v>
      </c>
      <c r="N682" s="165">
        <f t="shared" si="39"/>
        <v>2003.9583333332871</v>
      </c>
      <c r="O682" s="167">
        <v>184.3</v>
      </c>
      <c r="P682" s="163" t="s">
        <v>241</v>
      </c>
    </row>
    <row r="683" spans="1:16" ht="13.15">
      <c r="A683" s="164">
        <f t="shared" si="37"/>
        <v>2004.0416666666204</v>
      </c>
      <c r="B683" s="164">
        <f t="shared" si="38"/>
        <v>162.56513476057535</v>
      </c>
      <c r="H683" s="165">
        <v>2004.0416666666204</v>
      </c>
      <c r="I683" s="172">
        <v>140.70500000000001</v>
      </c>
      <c r="J683" s="163" t="s">
        <v>246</v>
      </c>
      <c r="N683" s="165">
        <f t="shared" si="39"/>
        <v>2004.0416666666204</v>
      </c>
      <c r="O683" s="167">
        <v>185.2</v>
      </c>
      <c r="P683" s="163" t="s">
        <v>241</v>
      </c>
    </row>
    <row r="684" spans="1:16" ht="13.15">
      <c r="A684" s="164">
        <f t="shared" si="37"/>
        <v>2004.1249999999536</v>
      </c>
      <c r="B684" s="164">
        <f t="shared" si="38"/>
        <v>163.213550667623</v>
      </c>
      <c r="H684" s="165">
        <v>2004.1249999999536</v>
      </c>
      <c r="I684" s="172">
        <v>142.029</v>
      </c>
      <c r="J684" s="163" t="s">
        <v>246</v>
      </c>
      <c r="N684" s="165">
        <f t="shared" si="39"/>
        <v>2004.1249999999536</v>
      </c>
      <c r="O684" s="167">
        <v>186.2</v>
      </c>
      <c r="P684" s="163" t="s">
        <v>241</v>
      </c>
    </row>
    <row r="685" spans="1:16" ht="13.15">
      <c r="A685" s="164">
        <f t="shared" si="37"/>
        <v>2004.2083333332869</v>
      </c>
      <c r="B685" s="164">
        <f t="shared" si="38"/>
        <v>164.51025421873865</v>
      </c>
      <c r="H685" s="165">
        <v>2004.2083333332869</v>
      </c>
      <c r="I685" s="172">
        <v>144.08000000000001</v>
      </c>
      <c r="J685" s="163" t="s">
        <v>246</v>
      </c>
      <c r="N685" s="165">
        <f t="shared" si="39"/>
        <v>2004.2083333332869</v>
      </c>
      <c r="O685" s="167">
        <v>187.4</v>
      </c>
      <c r="P685" s="163" t="s">
        <v>241</v>
      </c>
    </row>
    <row r="686" spans="1:16" ht="13.15">
      <c r="A686" s="164">
        <f t="shared" si="37"/>
        <v>2004.2916666666201</v>
      </c>
      <c r="B686" s="164">
        <f t="shared" si="38"/>
        <v>166.37420663904371</v>
      </c>
      <c r="H686" s="165">
        <v>2004.2916666666201</v>
      </c>
      <c r="I686" s="172">
        <v>146.179</v>
      </c>
      <c r="J686" s="163" t="s">
        <v>246</v>
      </c>
      <c r="N686" s="165">
        <f t="shared" si="39"/>
        <v>2004.2916666666201</v>
      </c>
      <c r="O686" s="167">
        <v>188</v>
      </c>
      <c r="P686" s="163" t="s">
        <v>241</v>
      </c>
    </row>
    <row r="687" spans="1:16" ht="13.15">
      <c r="A687" s="164">
        <f t="shared" si="37"/>
        <v>2004.3749999999534</v>
      </c>
      <c r="B687" s="164">
        <f t="shared" si="38"/>
        <v>167.84485743258554</v>
      </c>
      <c r="H687" s="165">
        <v>2004.3749999999534</v>
      </c>
      <c r="I687" s="172">
        <v>148.334</v>
      </c>
      <c r="J687" s="163" t="s">
        <v>246</v>
      </c>
      <c r="N687" s="165">
        <f t="shared" si="39"/>
        <v>2004.3749999999534</v>
      </c>
      <c r="O687" s="167">
        <v>189.1</v>
      </c>
      <c r="P687" s="163" t="s">
        <v>241</v>
      </c>
    </row>
    <row r="688" spans="1:16" ht="13.15">
      <c r="A688" s="164">
        <f t="shared" si="37"/>
        <v>2004.4583333332866</v>
      </c>
      <c r="B688" s="164">
        <f t="shared" si="38"/>
        <v>169.77743515136152</v>
      </c>
      <c r="H688" s="165">
        <v>2004.4583333332866</v>
      </c>
      <c r="I688" s="172">
        <v>150.518</v>
      </c>
      <c r="J688" s="163" t="s">
        <v>246</v>
      </c>
      <c r="N688" s="165">
        <f t="shared" si="39"/>
        <v>2004.4583333332866</v>
      </c>
      <c r="O688" s="167">
        <v>189.7</v>
      </c>
      <c r="P688" s="163" t="s">
        <v>241</v>
      </c>
    </row>
    <row r="689" spans="1:16" ht="13.15">
      <c r="A689" s="164">
        <f t="shared" si="37"/>
        <v>2004.5416666666199</v>
      </c>
      <c r="B689" s="164">
        <f t="shared" si="38"/>
        <v>172.10135286006505</v>
      </c>
      <c r="H689" s="165">
        <v>2004.5416666666199</v>
      </c>
      <c r="I689" s="172">
        <v>152.33700000000002</v>
      </c>
      <c r="J689" s="163" t="s">
        <v>246</v>
      </c>
      <c r="N689" s="165">
        <f t="shared" si="39"/>
        <v>2004.5416666666199</v>
      </c>
      <c r="O689" s="167">
        <v>189.4</v>
      </c>
      <c r="P689" s="163" t="s">
        <v>241</v>
      </c>
    </row>
    <row r="690" spans="1:16" ht="13.15">
      <c r="A690" s="164">
        <f t="shared" si="37"/>
        <v>2004.6249999999532</v>
      </c>
      <c r="B690" s="164">
        <f t="shared" si="38"/>
        <v>173.67828110101391</v>
      </c>
      <c r="H690" s="165">
        <v>2004.6249999999532</v>
      </c>
      <c r="I690" s="172">
        <v>153.81399999999999</v>
      </c>
      <c r="J690" s="163" t="s">
        <v>246</v>
      </c>
      <c r="N690" s="165">
        <f t="shared" si="39"/>
        <v>2004.6249999999532</v>
      </c>
      <c r="O690" s="167">
        <v>189.5</v>
      </c>
      <c r="P690" s="163" t="s">
        <v>241</v>
      </c>
    </row>
    <row r="691" spans="1:16" ht="13.15">
      <c r="A691" s="164">
        <f t="shared" si="37"/>
        <v>2004.7083333332864</v>
      </c>
      <c r="B691" s="164">
        <f t="shared" si="38"/>
        <v>174.7704858188639</v>
      </c>
      <c r="H691" s="165">
        <v>2004.7083333332864</v>
      </c>
      <c r="I691" s="172">
        <v>155.108</v>
      </c>
      <c r="J691" s="163" t="s">
        <v>246</v>
      </c>
      <c r="N691" s="165">
        <f t="shared" si="39"/>
        <v>2004.7083333332864</v>
      </c>
      <c r="O691" s="167">
        <v>189.9</v>
      </c>
      <c r="P691" s="163" t="s">
        <v>241</v>
      </c>
    </row>
    <row r="692" spans="1:16" ht="13.15">
      <c r="A692" s="164">
        <f t="shared" si="37"/>
        <v>2004.7916666666197</v>
      </c>
      <c r="B692" s="164">
        <f t="shared" si="38"/>
        <v>175.18880596794591</v>
      </c>
      <c r="H692" s="165">
        <v>2004.7916666666197</v>
      </c>
      <c r="I692" s="172">
        <v>156.298</v>
      </c>
      <c r="J692" s="163" t="s">
        <v>246</v>
      </c>
      <c r="N692" s="165">
        <f t="shared" si="39"/>
        <v>2004.7916666666197</v>
      </c>
      <c r="O692" s="167">
        <v>190.9</v>
      </c>
      <c r="P692" s="163" t="s">
        <v>241</v>
      </c>
    </row>
    <row r="693" spans="1:16" ht="13.15">
      <c r="A693" s="164">
        <f t="shared" si="37"/>
        <v>2004.8749999999529</v>
      </c>
      <c r="B693" s="164">
        <f t="shared" si="38"/>
        <v>176.4391761523782</v>
      </c>
      <c r="H693" s="165">
        <v>2004.8749999999529</v>
      </c>
      <c r="I693" s="172">
        <v>157.49600000000001</v>
      </c>
      <c r="J693" s="163" t="s">
        <v>246</v>
      </c>
      <c r="N693" s="165">
        <f t="shared" si="39"/>
        <v>2004.8749999999529</v>
      </c>
      <c r="O693" s="167">
        <v>191</v>
      </c>
      <c r="P693" s="163" t="s">
        <v>241</v>
      </c>
    </row>
    <row r="694" spans="1:16" ht="13.15">
      <c r="A694" s="164">
        <f t="shared" si="37"/>
        <v>2004.9583333332862</v>
      </c>
      <c r="B694" s="164">
        <f t="shared" si="38"/>
        <v>178.40823373774774</v>
      </c>
      <c r="H694" s="165">
        <v>2004.9583333332862</v>
      </c>
      <c r="I694" s="172">
        <v>158.66999999999999</v>
      </c>
      <c r="J694" s="163" t="s">
        <v>246</v>
      </c>
      <c r="N694" s="165">
        <f t="shared" si="39"/>
        <v>2004.9583333332862</v>
      </c>
      <c r="O694" s="167">
        <v>190.3</v>
      </c>
      <c r="P694" s="163" t="s">
        <v>241</v>
      </c>
    </row>
    <row r="695" spans="1:16" ht="13.15">
      <c r="A695" s="164">
        <f t="shared" ref="A695:A758" si="40">H695</f>
        <v>2005.0416666666194</v>
      </c>
      <c r="B695" s="164">
        <f t="shared" si="38"/>
        <v>179.67219390249957</v>
      </c>
      <c r="H695" s="165">
        <v>2005.0416666666194</v>
      </c>
      <c r="I695" s="172">
        <v>160.13</v>
      </c>
      <c r="J695" s="163" t="s">
        <v>246</v>
      </c>
      <c r="N695" s="165">
        <f t="shared" si="39"/>
        <v>2005.0416666666194</v>
      </c>
      <c r="O695" s="167">
        <v>190.7</v>
      </c>
      <c r="P695" s="163" t="s">
        <v>241</v>
      </c>
    </row>
    <row r="696" spans="1:16" ht="13.15">
      <c r="A696" s="164">
        <f t="shared" si="40"/>
        <v>2005.1249999999527</v>
      </c>
      <c r="B696" s="164">
        <f t="shared" si="38"/>
        <v>180.64314305063829</v>
      </c>
      <c r="H696" s="165">
        <v>2005.1249999999527</v>
      </c>
      <c r="I696" s="172">
        <v>161.92400000000001</v>
      </c>
      <c r="J696" s="163" t="s">
        <v>246</v>
      </c>
      <c r="N696" s="165">
        <f t="shared" si="39"/>
        <v>2005.1249999999527</v>
      </c>
      <c r="O696" s="167">
        <v>191.8</v>
      </c>
      <c r="P696" s="163" t="s">
        <v>241</v>
      </c>
    </row>
    <row r="697" spans="1:16" ht="13.15">
      <c r="A697" s="164">
        <f t="shared" si="40"/>
        <v>2005.208333333286</v>
      </c>
      <c r="B697" s="164">
        <f t="shared" si="38"/>
        <v>182.17698438794872</v>
      </c>
      <c r="H697" s="165">
        <v>2005.208333333286</v>
      </c>
      <c r="I697" s="172">
        <v>164.57599999999999</v>
      </c>
      <c r="J697" s="163" t="s">
        <v>246</v>
      </c>
      <c r="N697" s="165">
        <f t="shared" si="39"/>
        <v>2005.208333333286</v>
      </c>
      <c r="O697" s="167">
        <v>193.3</v>
      </c>
      <c r="P697" s="163" t="s">
        <v>241</v>
      </c>
    </row>
    <row r="698" spans="1:16" ht="13.15">
      <c r="A698" s="164">
        <f t="shared" si="40"/>
        <v>2005.2916666666192</v>
      </c>
      <c r="B698" s="164">
        <f t="shared" si="38"/>
        <v>183.62419076721824</v>
      </c>
      <c r="H698" s="165">
        <v>2005.2916666666192</v>
      </c>
      <c r="I698" s="172">
        <v>166.99900000000002</v>
      </c>
      <c r="J698" s="163" t="s">
        <v>246</v>
      </c>
      <c r="N698" s="165">
        <f t="shared" si="39"/>
        <v>2005.2916666666192</v>
      </c>
      <c r="O698" s="167">
        <v>194.6</v>
      </c>
      <c r="P698" s="163" t="s">
        <v>241</v>
      </c>
    </row>
    <row r="699" spans="1:16" ht="13.15">
      <c r="A699" s="164">
        <f t="shared" si="40"/>
        <v>2005.3749999999525</v>
      </c>
      <c r="B699" s="164">
        <f t="shared" si="38"/>
        <v>186.61434497668714</v>
      </c>
      <c r="H699" s="165">
        <v>2005.3749999999525</v>
      </c>
      <c r="I699" s="172">
        <v>169.54400000000001</v>
      </c>
      <c r="J699" s="163" t="s">
        <v>246</v>
      </c>
      <c r="N699" s="165">
        <f t="shared" si="39"/>
        <v>2005.3749999999525</v>
      </c>
      <c r="O699" s="167">
        <v>194.4</v>
      </c>
      <c r="P699" s="163" t="s">
        <v>241</v>
      </c>
    </row>
    <row r="700" spans="1:16" ht="13.15">
      <c r="A700" s="164">
        <f t="shared" si="40"/>
        <v>2005.4583333332857</v>
      </c>
      <c r="B700" s="164">
        <f t="shared" ref="B700:B763" si="41">100*(I700/O700)/(I$8/O$8)</f>
        <v>189.23679077556056</v>
      </c>
      <c r="H700" s="165">
        <v>2005.4583333332857</v>
      </c>
      <c r="I700" s="172">
        <v>172.01499999999999</v>
      </c>
      <c r="J700" s="163" t="s">
        <v>246</v>
      </c>
      <c r="N700" s="165">
        <f t="shared" si="39"/>
        <v>2005.4583333332857</v>
      </c>
      <c r="O700" s="167">
        <v>194.5</v>
      </c>
      <c r="P700" s="163" t="s">
        <v>241</v>
      </c>
    </row>
    <row r="701" spans="1:16" ht="13.15">
      <c r="A701" s="164">
        <f t="shared" si="40"/>
        <v>2005.541666666619</v>
      </c>
      <c r="B701" s="164">
        <f t="shared" si="41"/>
        <v>190.64616912131862</v>
      </c>
      <c r="H701" s="165">
        <v>2005.541666666619</v>
      </c>
      <c r="I701" s="172">
        <v>174.09799999999998</v>
      </c>
      <c r="J701" s="163" t="s">
        <v>246</v>
      </c>
      <c r="N701" s="165">
        <f t="shared" si="39"/>
        <v>2005.541666666619</v>
      </c>
      <c r="O701" s="167">
        <v>195.4</v>
      </c>
      <c r="P701" s="163" t="s">
        <v>241</v>
      </c>
    </row>
    <row r="702" spans="1:16" ht="13.15">
      <c r="A702" s="164">
        <f t="shared" si="40"/>
        <v>2005.6249999999523</v>
      </c>
      <c r="B702" s="164">
        <f t="shared" si="41"/>
        <v>191.66375798089231</v>
      </c>
      <c r="H702" s="165">
        <v>2005.6249999999523</v>
      </c>
      <c r="I702" s="172">
        <v>175.923</v>
      </c>
      <c r="J702" s="163" t="s">
        <v>246</v>
      </c>
      <c r="N702" s="165">
        <f t="shared" si="39"/>
        <v>2005.6249999999523</v>
      </c>
      <c r="O702" s="167">
        <v>196.4</v>
      </c>
      <c r="P702" s="163" t="s">
        <v>241</v>
      </c>
    </row>
    <row r="703" spans="1:16" ht="13.15">
      <c r="A703" s="164">
        <f t="shared" si="40"/>
        <v>2005.7083333332855</v>
      </c>
      <c r="B703" s="164">
        <f t="shared" si="41"/>
        <v>191.16674243151573</v>
      </c>
      <c r="H703" s="165">
        <v>2005.7083333332855</v>
      </c>
      <c r="I703" s="172">
        <v>177.61099999999999</v>
      </c>
      <c r="J703" s="163" t="s">
        <v>246</v>
      </c>
      <c r="N703" s="165">
        <f t="shared" si="39"/>
        <v>2005.7083333332855</v>
      </c>
      <c r="O703" s="167">
        <v>198.8</v>
      </c>
      <c r="P703" s="163" t="s">
        <v>241</v>
      </c>
    </row>
    <row r="704" spans="1:16" ht="13.15">
      <c r="A704" s="164">
        <f t="shared" si="40"/>
        <v>2005.7916666666188</v>
      </c>
      <c r="B704" s="164">
        <f t="shared" si="41"/>
        <v>192.00741742223587</v>
      </c>
      <c r="H704" s="165">
        <v>2005.7916666666188</v>
      </c>
      <c r="I704" s="172">
        <v>178.75099999999998</v>
      </c>
      <c r="J704" s="163" t="s">
        <v>246</v>
      </c>
      <c r="N704" s="165">
        <f t="shared" si="39"/>
        <v>2005.7916666666188</v>
      </c>
      <c r="O704" s="167">
        <v>199.2</v>
      </c>
      <c r="P704" s="163" t="s">
        <v>241</v>
      </c>
    </row>
    <row r="705" spans="1:16" ht="13.15">
      <c r="A705" s="164">
        <f t="shared" si="40"/>
        <v>2005.874999999952</v>
      </c>
      <c r="B705" s="164">
        <f t="shared" si="41"/>
        <v>194.56052937266978</v>
      </c>
      <c r="H705" s="165">
        <v>2005.874999999952</v>
      </c>
      <c r="I705" s="172">
        <v>179.673</v>
      </c>
      <c r="J705" s="163" t="s">
        <v>246</v>
      </c>
      <c r="N705" s="165">
        <f t="shared" si="39"/>
        <v>2005.874999999952</v>
      </c>
      <c r="O705" s="167">
        <v>197.6</v>
      </c>
      <c r="P705" s="163" t="s">
        <v>241</v>
      </c>
    </row>
    <row r="706" spans="1:16" ht="13.15">
      <c r="A706" s="164">
        <f t="shared" si="40"/>
        <v>2005.9583333332853</v>
      </c>
      <c r="B706" s="164">
        <f t="shared" si="41"/>
        <v>195.82329705966038</v>
      </c>
      <c r="H706" s="165">
        <v>2005.9583333332853</v>
      </c>
      <c r="I706" s="172">
        <v>180.107</v>
      </c>
      <c r="J706" s="163" t="s">
        <v>246</v>
      </c>
      <c r="N706" s="165">
        <f t="shared" si="39"/>
        <v>2005.9583333332853</v>
      </c>
      <c r="O706" s="167">
        <v>196.8</v>
      </c>
      <c r="P706" s="163" t="s">
        <v>241</v>
      </c>
    </row>
    <row r="707" spans="1:16" ht="13.15">
      <c r="A707" s="164">
        <f t="shared" si="40"/>
        <v>2006.0416666666185</v>
      </c>
      <c r="B707" s="164">
        <f t="shared" si="41"/>
        <v>195.12001691028732</v>
      </c>
      <c r="H707" s="165">
        <v>2006.0416666666185</v>
      </c>
      <c r="I707" s="172">
        <v>180.828</v>
      </c>
      <c r="J707" s="163" t="s">
        <v>246</v>
      </c>
      <c r="N707" s="165">
        <f t="shared" si="39"/>
        <v>2006.0416666666185</v>
      </c>
      <c r="O707" s="167">
        <v>198.3</v>
      </c>
      <c r="P707" s="163" t="s">
        <v>241</v>
      </c>
    </row>
    <row r="708" spans="1:16" ht="13.15">
      <c r="A708" s="164">
        <f t="shared" si="40"/>
        <v>2006.1249999999518</v>
      </c>
      <c r="B708" s="164">
        <f t="shared" si="41"/>
        <v>195.45087655293062</v>
      </c>
      <c r="H708" s="165">
        <v>2006.1249999999518</v>
      </c>
      <c r="I708" s="172">
        <v>181.5</v>
      </c>
      <c r="J708" s="163" t="s">
        <v>246</v>
      </c>
      <c r="N708" s="165">
        <f t="shared" si="39"/>
        <v>2006.1249999999518</v>
      </c>
      <c r="O708" s="167">
        <v>198.7</v>
      </c>
      <c r="P708" s="163" t="s">
        <v>241</v>
      </c>
    </row>
    <row r="709" spans="1:16" ht="13.15">
      <c r="A709" s="164">
        <f t="shared" si="40"/>
        <v>2006.2083333332851</v>
      </c>
      <c r="B709" s="164">
        <f t="shared" si="41"/>
        <v>195.71349023989697</v>
      </c>
      <c r="H709" s="165">
        <v>2006.2083333332851</v>
      </c>
      <c r="I709" s="172">
        <v>182.75</v>
      </c>
      <c r="J709" s="163" t="s">
        <v>246</v>
      </c>
      <c r="N709" s="165">
        <f t="shared" si="39"/>
        <v>2006.2083333332851</v>
      </c>
      <c r="O709" s="167">
        <v>199.8</v>
      </c>
      <c r="P709" s="163" t="s">
        <v>241</v>
      </c>
    </row>
    <row r="710" spans="1:16" ht="13.15">
      <c r="A710" s="164">
        <f t="shared" si="40"/>
        <v>2006.2916666666183</v>
      </c>
      <c r="B710" s="164">
        <f t="shared" si="41"/>
        <v>195.01589604380837</v>
      </c>
      <c r="H710" s="165">
        <v>2006.2916666666183</v>
      </c>
      <c r="I710" s="172">
        <v>183.648</v>
      </c>
      <c r="J710" s="163" t="s">
        <v>246</v>
      </c>
      <c r="N710" s="165">
        <f t="shared" si="39"/>
        <v>2006.2916666666183</v>
      </c>
      <c r="O710" s="167">
        <v>201.5</v>
      </c>
      <c r="P710" s="163" t="s">
        <v>241</v>
      </c>
    </row>
    <row r="711" spans="1:16" ht="13.15">
      <c r="A711" s="164">
        <f t="shared" si="40"/>
        <v>2006.3749999999516</v>
      </c>
      <c r="B711" s="164">
        <f t="shared" si="41"/>
        <v>194.82632714651953</v>
      </c>
      <c r="H711" s="165">
        <v>2006.3749999999516</v>
      </c>
      <c r="I711" s="172">
        <v>184.38</v>
      </c>
      <c r="J711" s="163" t="s">
        <v>246</v>
      </c>
      <c r="N711" s="165">
        <f t="shared" si="39"/>
        <v>2006.3749999999516</v>
      </c>
      <c r="O711" s="167">
        <v>202.5</v>
      </c>
      <c r="P711" s="163" t="s">
        <v>241</v>
      </c>
    </row>
    <row r="712" spans="1:16" ht="13.15">
      <c r="A712" s="164">
        <f t="shared" si="40"/>
        <v>2006.4583333332848</v>
      </c>
      <c r="B712" s="164">
        <f t="shared" si="41"/>
        <v>194.61835746015993</v>
      </c>
      <c r="H712" s="165">
        <v>2006.4583333332848</v>
      </c>
      <c r="I712" s="172">
        <v>184.547</v>
      </c>
      <c r="J712" s="163" t="s">
        <v>246</v>
      </c>
      <c r="N712" s="165">
        <f t="shared" si="39"/>
        <v>2006.4583333332848</v>
      </c>
      <c r="O712" s="167">
        <v>202.9</v>
      </c>
      <c r="P712" s="163" t="s">
        <v>241</v>
      </c>
    </row>
    <row r="713" spans="1:16" ht="13.15">
      <c r="A713" s="164">
        <f t="shared" si="40"/>
        <v>2006.5416666666181</v>
      </c>
      <c r="B713" s="164">
        <f t="shared" si="41"/>
        <v>194.1076319668399</v>
      </c>
      <c r="H713" s="165">
        <v>2006.5416666666181</v>
      </c>
      <c r="I713" s="172">
        <v>184.607</v>
      </c>
      <c r="J713" s="163" t="s">
        <v>246</v>
      </c>
      <c r="N713" s="165">
        <f t="shared" ref="N713:N776" si="42">N712+1/12</f>
        <v>2006.5416666666181</v>
      </c>
      <c r="O713" s="167">
        <v>203.5</v>
      </c>
      <c r="P713" s="163" t="s">
        <v>241</v>
      </c>
    </row>
    <row r="714" spans="1:16" ht="13.15">
      <c r="A714" s="164">
        <f t="shared" si="40"/>
        <v>2006.6249999999513</v>
      </c>
      <c r="B714" s="164">
        <f t="shared" si="41"/>
        <v>193.51381362336636</v>
      </c>
      <c r="H714" s="165">
        <v>2006.6249999999513</v>
      </c>
      <c r="I714" s="172">
        <v>184.40400000000002</v>
      </c>
      <c r="J714" s="163" t="s">
        <v>246</v>
      </c>
      <c r="N714" s="165">
        <f t="shared" si="42"/>
        <v>2006.6249999999513</v>
      </c>
      <c r="O714" s="167">
        <v>203.9</v>
      </c>
      <c r="P714" s="163" t="s">
        <v>241</v>
      </c>
    </row>
    <row r="715" spans="1:16" ht="13.15">
      <c r="A715" s="164">
        <f t="shared" si="40"/>
        <v>2006.7083333332846</v>
      </c>
      <c r="B715" s="164">
        <f t="shared" si="41"/>
        <v>194.25031134316208</v>
      </c>
      <c r="H715" s="165">
        <v>2006.7083333332846</v>
      </c>
      <c r="I715" s="172">
        <v>184.19799999999998</v>
      </c>
      <c r="J715" s="163" t="s">
        <v>246</v>
      </c>
      <c r="N715" s="165">
        <f t="shared" si="42"/>
        <v>2006.7083333332846</v>
      </c>
      <c r="O715" s="167">
        <v>202.9</v>
      </c>
      <c r="P715" s="163" t="s">
        <v>241</v>
      </c>
    </row>
    <row r="716" spans="1:16" ht="13.15">
      <c r="A716" s="164">
        <f t="shared" si="40"/>
        <v>2006.7916666666179</v>
      </c>
      <c r="B716" s="164">
        <f t="shared" si="41"/>
        <v>195.156472089804</v>
      </c>
      <c r="H716" s="165">
        <v>2006.7916666666179</v>
      </c>
      <c r="I716" s="172">
        <v>184.054</v>
      </c>
      <c r="J716" s="163" t="s">
        <v>246</v>
      </c>
      <c r="N716" s="165">
        <f t="shared" si="42"/>
        <v>2006.7916666666179</v>
      </c>
      <c r="O716" s="167">
        <v>201.8</v>
      </c>
      <c r="P716" s="163" t="s">
        <v>241</v>
      </c>
    </row>
    <row r="717" spans="1:16" ht="13.15">
      <c r="A717" s="164">
        <f t="shared" si="40"/>
        <v>2006.8749999999511</v>
      </c>
      <c r="B717" s="164">
        <f t="shared" si="41"/>
        <v>194.99890563641651</v>
      </c>
      <c r="H717" s="165">
        <v>2006.8749999999511</v>
      </c>
      <c r="I717" s="172">
        <v>183.63200000000001</v>
      </c>
      <c r="J717" s="163" t="s">
        <v>246</v>
      </c>
      <c r="N717" s="165">
        <f t="shared" si="42"/>
        <v>2006.8749999999511</v>
      </c>
      <c r="O717" s="167">
        <v>201.5</v>
      </c>
      <c r="P717" s="163" t="s">
        <v>241</v>
      </c>
    </row>
    <row r="718" spans="1:16" ht="13.15">
      <c r="A718" s="164">
        <f t="shared" si="40"/>
        <v>2006.9583333332844</v>
      </c>
      <c r="B718" s="164">
        <f t="shared" si="41"/>
        <v>194.28276691087822</v>
      </c>
      <c r="H718" s="165">
        <v>2006.9583333332844</v>
      </c>
      <c r="I718" s="172">
        <v>183.23</v>
      </c>
      <c r="J718" s="163" t="s">
        <v>246</v>
      </c>
      <c r="N718" s="165">
        <f t="shared" si="42"/>
        <v>2006.9583333332844</v>
      </c>
      <c r="O718" s="167">
        <v>201.8</v>
      </c>
      <c r="P718" s="163" t="s">
        <v>241</v>
      </c>
    </row>
    <row r="719" spans="1:16" ht="13.15">
      <c r="A719" s="164">
        <f t="shared" si="40"/>
        <v>2007.0416666666176</v>
      </c>
      <c r="B719" s="164">
        <f t="shared" si="41"/>
        <v>193.15134272337954</v>
      </c>
      <c r="H719" s="165">
        <v>2007.0416666666176</v>
      </c>
      <c r="I719" s="172">
        <v>182.71900000000002</v>
      </c>
      <c r="J719" s="163" t="s">
        <v>246</v>
      </c>
      <c r="N719" s="165">
        <f t="shared" si="42"/>
        <v>2007.0416666666176</v>
      </c>
      <c r="O719" s="173">
        <v>202.416</v>
      </c>
      <c r="P719" s="163" t="s">
        <v>241</v>
      </c>
    </row>
    <row r="720" spans="1:16" ht="13.15">
      <c r="A720" s="164">
        <f t="shared" si="40"/>
        <v>2007.1249999999509</v>
      </c>
      <c r="B720" s="164">
        <f t="shared" si="41"/>
        <v>191.8636989457051</v>
      </c>
      <c r="H720" s="165">
        <v>2007.1249999999509</v>
      </c>
      <c r="I720" s="172">
        <v>182.47200000000001</v>
      </c>
      <c r="J720" s="163" t="s">
        <v>246</v>
      </c>
      <c r="N720" s="165">
        <f t="shared" si="42"/>
        <v>2007.1249999999509</v>
      </c>
      <c r="O720" s="173">
        <v>203.499</v>
      </c>
      <c r="P720" s="163" t="s">
        <v>241</v>
      </c>
    </row>
    <row r="721" spans="1:16" ht="13.15">
      <c r="A721" s="164">
        <f t="shared" si="40"/>
        <v>2007.2083333332841</v>
      </c>
      <c r="B721" s="164">
        <f t="shared" si="41"/>
        <v>189.84274023906593</v>
      </c>
      <c r="H721" s="165">
        <v>2007.2083333332841</v>
      </c>
      <c r="I721" s="172">
        <v>182.19400000000002</v>
      </c>
      <c r="J721" s="163" t="s">
        <v>246</v>
      </c>
      <c r="N721" s="165">
        <f t="shared" si="42"/>
        <v>2007.2083333332841</v>
      </c>
      <c r="O721" s="173">
        <v>205.352</v>
      </c>
      <c r="P721" s="163" t="s">
        <v>241</v>
      </c>
    </row>
    <row r="722" spans="1:16" ht="13.15">
      <c r="A722" s="164">
        <f t="shared" si="40"/>
        <v>2007.2916666666174</v>
      </c>
      <c r="B722" s="164">
        <f t="shared" si="41"/>
        <v>188.55222945994362</v>
      </c>
      <c r="H722" s="165">
        <v>2007.2916666666174</v>
      </c>
      <c r="I722" s="172">
        <v>182.13099999999997</v>
      </c>
      <c r="J722" s="163" t="s">
        <v>246</v>
      </c>
      <c r="N722" s="165">
        <f t="shared" si="42"/>
        <v>2007.2916666666174</v>
      </c>
      <c r="O722" s="173">
        <v>206.68600000000001</v>
      </c>
      <c r="P722" s="163" t="s">
        <v>241</v>
      </c>
    </row>
    <row r="723" spans="1:16" ht="13.15">
      <c r="A723" s="164">
        <f t="shared" si="40"/>
        <v>2007.3749999999507</v>
      </c>
      <c r="B723" s="164">
        <f t="shared" si="41"/>
        <v>187.15288258762661</v>
      </c>
      <c r="H723" s="165">
        <v>2007.3749999999507</v>
      </c>
      <c r="I723" s="172">
        <v>181.88400000000001</v>
      </c>
      <c r="J723" s="163" t="s">
        <v>246</v>
      </c>
      <c r="N723" s="165">
        <f t="shared" si="42"/>
        <v>2007.3749999999507</v>
      </c>
      <c r="O723" s="173">
        <v>207.94900000000001</v>
      </c>
      <c r="P723" s="163" t="s">
        <v>241</v>
      </c>
    </row>
    <row r="724" spans="1:16" ht="13.15">
      <c r="A724" s="164">
        <f t="shared" si="40"/>
        <v>2007.4583333332839</v>
      </c>
      <c r="B724" s="164">
        <f t="shared" si="41"/>
        <v>186.43760601669754</v>
      </c>
      <c r="H724" s="165">
        <v>2007.4583333332839</v>
      </c>
      <c r="I724" s="172">
        <v>181.54</v>
      </c>
      <c r="J724" s="163" t="s">
        <v>246</v>
      </c>
      <c r="N724" s="165">
        <f t="shared" si="42"/>
        <v>2007.4583333332839</v>
      </c>
      <c r="O724" s="173">
        <v>208.352</v>
      </c>
      <c r="P724" s="163" t="s">
        <v>241</v>
      </c>
    </row>
    <row r="725" spans="1:16" ht="13.15">
      <c r="A725" s="164">
        <f t="shared" si="40"/>
        <v>2007.5416666666172</v>
      </c>
      <c r="B725" s="164">
        <f t="shared" si="41"/>
        <v>185.92314360088162</v>
      </c>
      <c r="H725" s="165">
        <v>2007.5416666666172</v>
      </c>
      <c r="I725" s="172">
        <v>180.99299999999999</v>
      </c>
      <c r="J725" s="163" t="s">
        <v>246</v>
      </c>
      <c r="N725" s="165">
        <f t="shared" si="42"/>
        <v>2007.5416666666172</v>
      </c>
      <c r="O725" s="173">
        <v>208.29900000000001</v>
      </c>
      <c r="P725" s="163" t="s">
        <v>241</v>
      </c>
    </row>
    <row r="726" spans="1:16" ht="13.15">
      <c r="A726" s="164">
        <f t="shared" si="40"/>
        <v>2007.6249999999504</v>
      </c>
      <c r="B726" s="164">
        <f t="shared" si="41"/>
        <v>185.48362772218604</v>
      </c>
      <c r="H726" s="165">
        <v>2007.6249999999504</v>
      </c>
      <c r="I726" s="172">
        <v>180.23400000000001</v>
      </c>
      <c r="J726" s="163" t="s">
        <v>246</v>
      </c>
      <c r="N726" s="165">
        <f t="shared" si="42"/>
        <v>2007.6249999999504</v>
      </c>
      <c r="O726" s="173">
        <v>207.917</v>
      </c>
      <c r="P726" s="163" t="s">
        <v>241</v>
      </c>
    </row>
    <row r="727" spans="1:16" ht="13.15">
      <c r="A727" s="164">
        <f t="shared" si="40"/>
        <v>2007.7083333332837</v>
      </c>
      <c r="B727" s="164">
        <f t="shared" si="41"/>
        <v>183.83158683607445</v>
      </c>
      <c r="H727" s="165">
        <v>2007.7083333332837</v>
      </c>
      <c r="I727" s="172">
        <v>179.12099999999998</v>
      </c>
      <c r="J727" s="163" t="s">
        <v>246</v>
      </c>
      <c r="N727" s="165">
        <f t="shared" si="42"/>
        <v>2007.7083333332837</v>
      </c>
      <c r="O727" s="173">
        <v>208.49</v>
      </c>
      <c r="P727" s="163" t="s">
        <v>241</v>
      </c>
    </row>
    <row r="728" spans="1:16" ht="13.15">
      <c r="A728" s="164">
        <f t="shared" si="40"/>
        <v>2007.7916666666169</v>
      </c>
      <c r="B728" s="164">
        <f t="shared" si="41"/>
        <v>181.80879606220014</v>
      </c>
      <c r="H728" s="165">
        <v>2007.7916666666169</v>
      </c>
      <c r="I728" s="172">
        <v>177.52900000000002</v>
      </c>
      <c r="J728" s="163" t="s">
        <v>246</v>
      </c>
      <c r="N728" s="165">
        <f t="shared" si="42"/>
        <v>2007.7916666666169</v>
      </c>
      <c r="O728" s="174">
        <v>208.93600000000001</v>
      </c>
      <c r="P728" s="163" t="s">
        <v>241</v>
      </c>
    </row>
    <row r="729" spans="1:16" ht="13.15">
      <c r="A729" s="164">
        <f t="shared" si="40"/>
        <v>2007.8749999999502</v>
      </c>
      <c r="B729" s="164">
        <f t="shared" si="41"/>
        <v>178.32452972880805</v>
      </c>
      <c r="H729" s="165">
        <v>2007.8749999999502</v>
      </c>
      <c r="I729" s="172">
        <v>175.16099999999997</v>
      </c>
      <c r="J729" s="163" t="s">
        <v>246</v>
      </c>
      <c r="N729" s="165">
        <f t="shared" si="42"/>
        <v>2007.8749999999502</v>
      </c>
      <c r="O729" s="174">
        <v>210.17699999999999</v>
      </c>
      <c r="P729" s="163" t="s">
        <v>241</v>
      </c>
    </row>
    <row r="730" spans="1:16" ht="13.15">
      <c r="A730" s="164">
        <f t="shared" si="40"/>
        <v>2007.9583333332835</v>
      </c>
      <c r="B730" s="164">
        <f t="shared" si="41"/>
        <v>176.58707083336324</v>
      </c>
      <c r="H730" s="165">
        <v>2007.9583333332835</v>
      </c>
      <c r="I730" s="172">
        <v>173.33799999999999</v>
      </c>
      <c r="J730" s="163" t="s">
        <v>246</v>
      </c>
      <c r="N730" s="165">
        <f t="shared" si="42"/>
        <v>2007.9583333332835</v>
      </c>
      <c r="O730" s="174">
        <v>210.036</v>
      </c>
      <c r="P730" s="163" t="s">
        <v>241</v>
      </c>
    </row>
    <row r="731" spans="1:16" ht="13.15">
      <c r="A731" s="164">
        <f t="shared" si="40"/>
        <v>2008.0416666666167</v>
      </c>
      <c r="B731" s="164">
        <f t="shared" si="41"/>
        <v>173.42269830476596</v>
      </c>
      <c r="H731" s="165">
        <v>2008.0416666666167</v>
      </c>
      <c r="I731" s="172">
        <v>171.078</v>
      </c>
      <c r="J731" s="163" t="s">
        <v>246</v>
      </c>
      <c r="N731" s="165">
        <f t="shared" si="42"/>
        <v>2008.0416666666167</v>
      </c>
      <c r="O731" s="174">
        <v>211.08</v>
      </c>
      <c r="P731" s="163" t="s">
        <v>241</v>
      </c>
    </row>
    <row r="732" spans="1:16" ht="13.15">
      <c r="A732" s="164">
        <f t="shared" si="40"/>
        <v>2008.12499999995</v>
      </c>
      <c r="B732" s="164">
        <f t="shared" si="41"/>
        <v>171.01420541775045</v>
      </c>
      <c r="H732" s="165">
        <v>2008.12499999995</v>
      </c>
      <c r="I732" s="172">
        <v>169.19200000000001</v>
      </c>
      <c r="J732" s="163" t="s">
        <v>246</v>
      </c>
      <c r="N732" s="165">
        <f t="shared" si="42"/>
        <v>2008.12499999995</v>
      </c>
      <c r="O732" s="174">
        <v>211.69300000000001</v>
      </c>
      <c r="P732" s="163" t="s">
        <v>241</v>
      </c>
    </row>
    <row r="733" spans="1:16" ht="13.15">
      <c r="A733" s="164">
        <f t="shared" si="40"/>
        <v>2008.2083333332832</v>
      </c>
      <c r="B733" s="164">
        <f t="shared" si="41"/>
        <v>168.25487528446561</v>
      </c>
      <c r="H733" s="165">
        <v>2008.2083333332832</v>
      </c>
      <c r="I733" s="172">
        <v>167.905</v>
      </c>
      <c r="J733" s="163" t="s">
        <v>246</v>
      </c>
      <c r="N733" s="165">
        <f t="shared" si="42"/>
        <v>2008.2083333332832</v>
      </c>
      <c r="O733" s="174">
        <v>213.52799999999999</v>
      </c>
      <c r="P733" s="163" t="s">
        <v>241</v>
      </c>
    </row>
    <row r="734" spans="1:16" ht="13.15">
      <c r="A734" s="164">
        <f t="shared" si="40"/>
        <v>2008.2916666666165</v>
      </c>
      <c r="B734" s="164">
        <f t="shared" si="41"/>
        <v>166.66289318531264</v>
      </c>
      <c r="H734" s="165">
        <v>2008.2916666666165</v>
      </c>
      <c r="I734" s="172">
        <v>167.32499999999999</v>
      </c>
      <c r="J734" s="163" t="s">
        <v>246</v>
      </c>
      <c r="N734" s="165">
        <f t="shared" si="42"/>
        <v>2008.2916666666165</v>
      </c>
      <c r="O734" s="174">
        <v>214.82300000000001</v>
      </c>
      <c r="P734" s="163" t="s">
        <v>241</v>
      </c>
    </row>
    <row r="735" spans="1:16" ht="13.15">
      <c r="A735" s="164">
        <f t="shared" si="40"/>
        <v>2008.3749999999498</v>
      </c>
      <c r="B735" s="164">
        <f t="shared" si="41"/>
        <v>164.97188273658449</v>
      </c>
      <c r="H735" s="165">
        <v>2008.3749999999498</v>
      </c>
      <c r="I735" s="172">
        <v>167.02200000000002</v>
      </c>
      <c r="J735" s="163" t="s">
        <v>246</v>
      </c>
      <c r="N735" s="165">
        <f t="shared" si="42"/>
        <v>2008.3749999999498</v>
      </c>
      <c r="O735" s="174">
        <v>216.63200000000001</v>
      </c>
      <c r="P735" s="163" t="s">
        <v>241</v>
      </c>
    </row>
    <row r="736" spans="1:16" ht="13.15">
      <c r="A736" s="164">
        <f t="shared" si="40"/>
        <v>2008.458333333283</v>
      </c>
      <c r="B736" s="164">
        <f t="shared" si="41"/>
        <v>162.85275687926142</v>
      </c>
      <c r="H736" s="165">
        <v>2008.458333333283</v>
      </c>
      <c r="I736" s="172">
        <v>166.53799999999998</v>
      </c>
      <c r="J736" s="163" t="s">
        <v>246</v>
      </c>
      <c r="N736" s="165">
        <f t="shared" si="42"/>
        <v>2008.458333333283</v>
      </c>
      <c r="O736" s="174">
        <v>218.815</v>
      </c>
      <c r="P736" s="163" t="s">
        <v>241</v>
      </c>
    </row>
    <row r="737" spans="1:16" ht="13.15">
      <c r="A737" s="164">
        <f t="shared" si="40"/>
        <v>2008.5416666666163</v>
      </c>
      <c r="B737" s="164">
        <f t="shared" si="41"/>
        <v>161.19955228348857</v>
      </c>
      <c r="H737" s="165">
        <v>2008.5416666666163</v>
      </c>
      <c r="I737" s="172">
        <v>165.71299999999999</v>
      </c>
      <c r="J737" s="163" t="s">
        <v>246</v>
      </c>
      <c r="N737" s="165">
        <f t="shared" si="42"/>
        <v>2008.5416666666163</v>
      </c>
      <c r="O737" s="174">
        <v>219.964</v>
      </c>
      <c r="P737" s="163" t="s">
        <v>241</v>
      </c>
    </row>
    <row r="738" spans="1:16" ht="13.15">
      <c r="A738" s="164">
        <f t="shared" si="40"/>
        <v>2008.6249999999495</v>
      </c>
      <c r="B738" s="164">
        <f t="shared" si="41"/>
        <v>160.44405916009825</v>
      </c>
      <c r="H738" s="165">
        <v>2008.6249999999495</v>
      </c>
      <c r="I738" s="172">
        <v>164.27799999999999</v>
      </c>
      <c r="J738" s="163" t="s">
        <v>246</v>
      </c>
      <c r="N738" s="165">
        <f t="shared" si="42"/>
        <v>2008.6249999999495</v>
      </c>
      <c r="O738" s="174">
        <v>219.08600000000001</v>
      </c>
      <c r="P738" s="163" t="s">
        <v>241</v>
      </c>
    </row>
    <row r="739" spans="1:16" ht="13.15">
      <c r="A739" s="164">
        <f t="shared" si="40"/>
        <v>2008.7083333332828</v>
      </c>
      <c r="B739" s="164">
        <f t="shared" si="41"/>
        <v>158.35228130976961</v>
      </c>
      <c r="H739" s="165">
        <v>2008.7083333332828</v>
      </c>
      <c r="I739" s="172">
        <v>161.91200000000001</v>
      </c>
      <c r="J739" s="163" t="s">
        <v>246</v>
      </c>
      <c r="N739" s="165">
        <f t="shared" si="42"/>
        <v>2008.7083333332828</v>
      </c>
      <c r="O739" s="174">
        <v>218.78299999999999</v>
      </c>
      <c r="P739" s="163" t="s">
        <v>241</v>
      </c>
    </row>
    <row r="740" spans="1:16" ht="13.15">
      <c r="A740" s="164">
        <f t="shared" si="40"/>
        <v>2008.791666666616</v>
      </c>
      <c r="B740" s="164">
        <f t="shared" si="41"/>
        <v>157.25217613108464</v>
      </c>
      <c r="H740" s="165">
        <v>2008.791666666616</v>
      </c>
      <c r="I740" s="172">
        <v>159.16299999999998</v>
      </c>
      <c r="J740" s="163" t="s">
        <v>246</v>
      </c>
      <c r="N740" s="165">
        <f t="shared" si="42"/>
        <v>2008.791666666616</v>
      </c>
      <c r="O740" s="174">
        <v>216.57300000000001</v>
      </c>
      <c r="P740" s="163" t="s">
        <v>241</v>
      </c>
    </row>
    <row r="741" spans="1:16" ht="13.15">
      <c r="A741" s="164">
        <f t="shared" si="40"/>
        <v>2008.8749999999493</v>
      </c>
      <c r="B741" s="164">
        <f t="shared" si="41"/>
        <v>157.20829093185432</v>
      </c>
      <c r="H741" s="165">
        <v>2008.8749999999493</v>
      </c>
      <c r="I741" s="172">
        <v>156.071</v>
      </c>
      <c r="J741" s="163" t="s">
        <v>246</v>
      </c>
      <c r="N741" s="165">
        <f t="shared" si="42"/>
        <v>2008.8749999999493</v>
      </c>
      <c r="O741" s="174">
        <v>212.42500000000001</v>
      </c>
      <c r="P741" s="163" t="s">
        <v>241</v>
      </c>
    </row>
    <row r="742" spans="1:16" ht="13.15">
      <c r="A742" s="164">
        <f t="shared" si="40"/>
        <v>2008.9583333332826</v>
      </c>
      <c r="B742" s="164">
        <f t="shared" si="41"/>
        <v>155.26239418088599</v>
      </c>
      <c r="H742" s="165">
        <v>2008.9583333332826</v>
      </c>
      <c r="I742" s="172">
        <v>152.54499999999999</v>
      </c>
      <c r="J742" s="163" t="s">
        <v>246</v>
      </c>
      <c r="N742" s="165">
        <f t="shared" si="42"/>
        <v>2008.9583333332826</v>
      </c>
      <c r="O742" s="174">
        <v>210.22800000000001</v>
      </c>
      <c r="P742" s="163" t="s">
        <v>241</v>
      </c>
    </row>
    <row r="743" spans="1:16" ht="13.15">
      <c r="A743" s="164">
        <f t="shared" si="40"/>
        <v>2009.0416666666158</v>
      </c>
      <c r="B743" s="164">
        <f t="shared" si="41"/>
        <v>151.36389426123412</v>
      </c>
      <c r="H743" s="165">
        <v>2009.0416666666158</v>
      </c>
      <c r="I743" s="172">
        <v>149.36199999999999</v>
      </c>
      <c r="J743" s="163" t="s">
        <v>246</v>
      </c>
      <c r="N743" s="165">
        <f t="shared" si="42"/>
        <v>2009.0416666666158</v>
      </c>
      <c r="O743" s="174">
        <v>211.143</v>
      </c>
      <c r="P743" s="163" t="s">
        <v>241</v>
      </c>
    </row>
    <row r="744" spans="1:16" ht="13.15">
      <c r="A744" s="164">
        <f t="shared" si="40"/>
        <v>2009.1249999999491</v>
      </c>
      <c r="B744" s="164">
        <f t="shared" si="41"/>
        <v>148.85626723430352</v>
      </c>
      <c r="H744" s="165">
        <v>2009.1249999999491</v>
      </c>
      <c r="I744" s="172">
        <v>147.61799999999999</v>
      </c>
      <c r="J744" s="163" t="s">
        <v>246</v>
      </c>
      <c r="N744" s="165">
        <f t="shared" si="42"/>
        <v>2009.1249999999491</v>
      </c>
      <c r="O744" s="174">
        <v>212.19300000000001</v>
      </c>
      <c r="P744" s="163" t="s">
        <v>241</v>
      </c>
    </row>
    <row r="745" spans="1:16" ht="13.15">
      <c r="A745" s="164">
        <f t="shared" si="40"/>
        <v>2009.2083333332823</v>
      </c>
      <c r="B745" s="164">
        <f t="shared" si="41"/>
        <v>147.3856101858355</v>
      </c>
      <c r="H745" s="165">
        <v>2009.2083333332823</v>
      </c>
      <c r="I745" s="172">
        <v>146.51499999999999</v>
      </c>
      <c r="J745" s="163" t="s">
        <v>246</v>
      </c>
      <c r="N745" s="165">
        <f t="shared" si="42"/>
        <v>2009.2083333332823</v>
      </c>
      <c r="O745" s="174">
        <v>212.709</v>
      </c>
      <c r="P745" s="163" t="s">
        <v>241</v>
      </c>
    </row>
    <row r="746" spans="1:16" ht="13.15">
      <c r="A746" s="164">
        <f t="shared" si="40"/>
        <v>2009.2916666666156</v>
      </c>
      <c r="B746" s="164">
        <f t="shared" si="41"/>
        <v>147.44806873317367</v>
      </c>
      <c r="H746" s="165">
        <v>2009.2916666666156</v>
      </c>
      <c r="I746" s="172">
        <v>146.94299999999998</v>
      </c>
      <c r="J746" s="163" t="s">
        <v>246</v>
      </c>
      <c r="N746" s="165">
        <f t="shared" si="42"/>
        <v>2009.2916666666156</v>
      </c>
      <c r="O746" s="174">
        <v>213.24</v>
      </c>
      <c r="P746" s="163" t="s">
        <v>241</v>
      </c>
    </row>
    <row r="747" spans="1:16" ht="15.4">
      <c r="A747" s="164">
        <f t="shared" si="40"/>
        <v>2009.3749999999488</v>
      </c>
      <c r="B747" s="164">
        <f t="shared" si="41"/>
        <v>148.25102394992405</v>
      </c>
      <c r="C747" s="175"/>
      <c r="H747" s="165">
        <v>2009.3749999999488</v>
      </c>
      <c r="I747" s="172">
        <v>148.16999999999999</v>
      </c>
      <c r="J747" s="163" t="s">
        <v>246</v>
      </c>
      <c r="N747" s="165">
        <f t="shared" si="42"/>
        <v>2009.3749999999488</v>
      </c>
      <c r="O747" s="174">
        <v>213.85599999999999</v>
      </c>
      <c r="P747" s="163" t="s">
        <v>241</v>
      </c>
    </row>
    <row r="748" spans="1:16" ht="15.4">
      <c r="A748" s="164">
        <f t="shared" si="40"/>
        <v>2009.4583333332821</v>
      </c>
      <c r="B748" s="164">
        <f t="shared" si="41"/>
        <v>148.60243473939568</v>
      </c>
      <c r="C748" s="175"/>
      <c r="H748" s="165">
        <v>2009.4583333332821</v>
      </c>
      <c r="I748" s="172">
        <v>149.797</v>
      </c>
      <c r="J748" s="163" t="s">
        <v>246</v>
      </c>
      <c r="N748" s="165">
        <f t="shared" si="42"/>
        <v>2009.4583333332821</v>
      </c>
      <c r="O748" s="174">
        <v>215.69300000000001</v>
      </c>
      <c r="P748" s="163" t="s">
        <v>241</v>
      </c>
    </row>
    <row r="749" spans="1:16" ht="15.4">
      <c r="A749" s="164">
        <f t="shared" si="40"/>
        <v>2009.5416666666154</v>
      </c>
      <c r="B749" s="164">
        <f t="shared" si="41"/>
        <v>149.78433904679972</v>
      </c>
      <c r="C749" s="175"/>
      <c r="H749" s="165">
        <v>2009.5416666666154</v>
      </c>
      <c r="I749" s="172">
        <v>150.749</v>
      </c>
      <c r="J749" s="163" t="s">
        <v>246</v>
      </c>
      <c r="N749" s="165">
        <f t="shared" si="42"/>
        <v>2009.5416666666154</v>
      </c>
      <c r="O749" s="174">
        <v>215.351</v>
      </c>
      <c r="P749" s="163" t="s">
        <v>241</v>
      </c>
    </row>
    <row r="750" spans="1:16" ht="13.15">
      <c r="A750" s="164">
        <f t="shared" si="40"/>
        <v>2009.6249999999486</v>
      </c>
      <c r="B750" s="164">
        <f t="shared" si="41"/>
        <v>149.36884545380695</v>
      </c>
      <c r="C750" s="176"/>
      <c r="H750" s="165">
        <v>2009.6249999999486</v>
      </c>
      <c r="I750" s="172">
        <v>150.66800000000001</v>
      </c>
      <c r="J750" s="163" t="s">
        <v>246</v>
      </c>
      <c r="N750" s="165">
        <f t="shared" si="42"/>
        <v>2009.6249999999486</v>
      </c>
      <c r="O750" s="174">
        <v>215.834</v>
      </c>
      <c r="P750" s="163" t="s">
        <v>241</v>
      </c>
    </row>
    <row r="751" spans="1:16" ht="13.15">
      <c r="A751" s="164">
        <f t="shared" si="40"/>
        <v>2009.7083333332819</v>
      </c>
      <c r="B751" s="164">
        <f t="shared" si="41"/>
        <v>148.2431070337681</v>
      </c>
      <c r="H751" s="165">
        <v>2009.7083333332819</v>
      </c>
      <c r="I751" s="172">
        <v>149.626</v>
      </c>
      <c r="J751" s="163" t="s">
        <v>246</v>
      </c>
      <c r="N751" s="165">
        <f t="shared" si="42"/>
        <v>2009.7083333332819</v>
      </c>
      <c r="O751" s="174">
        <v>215.96899999999999</v>
      </c>
      <c r="P751" s="163" t="s">
        <v>241</v>
      </c>
    </row>
    <row r="752" spans="1:16" ht="13.15">
      <c r="A752" s="164">
        <f t="shared" si="40"/>
        <v>2009.7916666666151</v>
      </c>
      <c r="B752" s="164">
        <f t="shared" si="41"/>
        <v>147.06909512239855</v>
      </c>
      <c r="H752" s="165">
        <v>2009.7916666666151</v>
      </c>
      <c r="I752" s="172">
        <v>148.584</v>
      </c>
      <c r="J752" s="163" t="s">
        <v>246</v>
      </c>
      <c r="N752" s="165">
        <f t="shared" si="42"/>
        <v>2009.7916666666151</v>
      </c>
      <c r="O752" s="174">
        <v>216.17699999999999</v>
      </c>
      <c r="P752" s="163" t="s">
        <v>241</v>
      </c>
    </row>
    <row r="753" spans="1:16" ht="13.15">
      <c r="A753" s="164">
        <f t="shared" si="40"/>
        <v>2009.8749999999484</v>
      </c>
      <c r="B753" s="164">
        <f t="shared" si="41"/>
        <v>146.32611868459196</v>
      </c>
      <c r="H753" s="165">
        <v>2009.8749999999484</v>
      </c>
      <c r="I753" s="172">
        <v>147.93799999999999</v>
      </c>
      <c r="J753" s="163" t="s">
        <v>246</v>
      </c>
      <c r="N753" s="165">
        <f t="shared" si="42"/>
        <v>2009.8749999999484</v>
      </c>
      <c r="O753" s="174">
        <v>216.33</v>
      </c>
      <c r="P753" s="163" t="s">
        <v>241</v>
      </c>
    </row>
    <row r="754" spans="1:16" ht="13.15">
      <c r="A754" s="164">
        <f t="shared" si="40"/>
        <v>2009.9583333332816</v>
      </c>
      <c r="B754" s="164">
        <f t="shared" si="41"/>
        <v>145.32194048381555</v>
      </c>
      <c r="H754" s="165">
        <v>2009.9583333332816</v>
      </c>
      <c r="I754" s="172">
        <v>146.66399999999999</v>
      </c>
      <c r="J754" s="163" t="s">
        <v>246</v>
      </c>
      <c r="N754" s="165">
        <f t="shared" si="42"/>
        <v>2009.9583333332816</v>
      </c>
      <c r="O754" s="174">
        <v>215.94900000000001</v>
      </c>
      <c r="P754" s="163" t="s">
        <v>241</v>
      </c>
    </row>
    <row r="755" spans="1:16" ht="13.15">
      <c r="A755" s="164">
        <f t="shared" si="40"/>
        <v>2010.0416666666149</v>
      </c>
      <c r="B755" s="164">
        <f t="shared" si="41"/>
        <v>143.1868024711444</v>
      </c>
      <c r="H755" s="165">
        <v>2010.0416666666149</v>
      </c>
      <c r="I755" s="172">
        <v>145.00299999999999</v>
      </c>
      <c r="J755" s="163" t="s">
        <v>246</v>
      </c>
      <c r="N755" s="165">
        <f t="shared" si="42"/>
        <v>2010.0416666666149</v>
      </c>
      <c r="O755" s="174">
        <v>216.68700000000001</v>
      </c>
      <c r="P755" s="163" t="s">
        <v>241</v>
      </c>
    </row>
    <row r="756" spans="1:16" ht="13.15">
      <c r="A756" s="164">
        <f t="shared" si="40"/>
        <v>2010.1249999999482</v>
      </c>
      <c r="B756" s="164">
        <f t="shared" si="41"/>
        <v>141.22701935019199</v>
      </c>
      <c r="H756" s="165">
        <v>2010.1249999999482</v>
      </c>
      <c r="I756" s="172">
        <v>143.054</v>
      </c>
      <c r="J756" s="163" t="s">
        <v>246</v>
      </c>
      <c r="N756" s="165">
        <f t="shared" si="42"/>
        <v>2010.1249999999482</v>
      </c>
      <c r="O756" s="174">
        <v>216.74100000000001</v>
      </c>
      <c r="P756" s="163" t="s">
        <v>241</v>
      </c>
    </row>
    <row r="757" spans="1:16" ht="13.15">
      <c r="A757" s="164">
        <f t="shared" si="40"/>
        <v>2010.2083333332814</v>
      </c>
      <c r="B757" s="164">
        <f t="shared" si="41"/>
        <v>141.18334570478714</v>
      </c>
      <c r="H757" s="165">
        <v>2010.2083333332814</v>
      </c>
      <c r="I757" s="172">
        <v>143.59700000000001</v>
      </c>
      <c r="J757" s="163" t="s">
        <v>246</v>
      </c>
      <c r="N757" s="165">
        <f t="shared" si="42"/>
        <v>2010.2083333332814</v>
      </c>
      <c r="O757" s="174">
        <v>217.631</v>
      </c>
      <c r="P757" s="163" t="s">
        <v>241</v>
      </c>
    </row>
    <row r="758" spans="1:16" ht="13.15">
      <c r="A758" s="164">
        <f t="shared" si="40"/>
        <v>2010.2916666666147</v>
      </c>
      <c r="B758" s="164">
        <f t="shared" si="41"/>
        <v>142.71111671674743</v>
      </c>
      <c r="H758" s="165">
        <v>2010.2916666666147</v>
      </c>
      <c r="I758" s="172">
        <v>145.40299999999999</v>
      </c>
      <c r="J758" s="163" t="s">
        <v>246</v>
      </c>
      <c r="N758" s="165">
        <f t="shared" si="42"/>
        <v>2010.2916666666147</v>
      </c>
      <c r="O758" s="174">
        <v>218.00899999999999</v>
      </c>
      <c r="P758" s="163" t="s">
        <v>241</v>
      </c>
    </row>
    <row r="759" spans="1:16" ht="13.15">
      <c r="A759" s="164">
        <f t="shared" ref="A759:A822" si="43">H759</f>
        <v>2010.3749999999479</v>
      </c>
      <c r="B759" s="164">
        <f t="shared" si="41"/>
        <v>144.20504165955646</v>
      </c>
      <c r="H759" s="165">
        <v>2010.3749999999479</v>
      </c>
      <c r="I759" s="172">
        <v>147.03899999999999</v>
      </c>
      <c r="J759" s="163" t="s">
        <v>246</v>
      </c>
      <c r="N759" s="165">
        <f t="shared" si="42"/>
        <v>2010.3749999999479</v>
      </c>
      <c r="O759" s="174">
        <v>218.178</v>
      </c>
      <c r="P759" s="163" t="s">
        <v>241</v>
      </c>
    </row>
    <row r="760" spans="1:16" ht="13.15">
      <c r="A760" s="164">
        <f t="shared" si="43"/>
        <v>2010.4583333332812</v>
      </c>
      <c r="B760" s="164">
        <f t="shared" si="41"/>
        <v>144.99878231071239</v>
      </c>
      <c r="H760" s="165">
        <v>2010.4583333332812</v>
      </c>
      <c r="I760" s="172">
        <v>147.70400000000001</v>
      </c>
      <c r="J760" s="163" t="s">
        <v>246</v>
      </c>
      <c r="N760" s="165">
        <f t="shared" si="42"/>
        <v>2010.4583333332812</v>
      </c>
      <c r="O760" s="174">
        <v>217.965</v>
      </c>
      <c r="P760" s="163" t="s">
        <v>241</v>
      </c>
    </row>
    <row r="761" spans="1:16" ht="13.15">
      <c r="A761" s="164">
        <f t="shared" si="43"/>
        <v>2010.5416666666144</v>
      </c>
      <c r="B761" s="164">
        <f t="shared" si="41"/>
        <v>144.83078089785212</v>
      </c>
      <c r="H761" s="165">
        <v>2010.5416666666144</v>
      </c>
      <c r="I761" s="172">
        <v>147.56399999999999</v>
      </c>
      <c r="J761" s="163" t="s">
        <v>246</v>
      </c>
      <c r="N761" s="165">
        <f t="shared" si="42"/>
        <v>2010.5416666666144</v>
      </c>
      <c r="O761" s="174">
        <v>218.011</v>
      </c>
      <c r="P761" s="163" t="s">
        <v>241</v>
      </c>
    </row>
    <row r="762" spans="1:16" ht="13.15">
      <c r="A762" s="164">
        <f t="shared" si="43"/>
        <v>2010.6249999999477</v>
      </c>
      <c r="B762" s="164">
        <f t="shared" si="41"/>
        <v>143.51767246404202</v>
      </c>
      <c r="H762" s="165">
        <v>2010.6249999999477</v>
      </c>
      <c r="I762" s="172">
        <v>146.428</v>
      </c>
      <c r="J762" s="163" t="s">
        <v>246</v>
      </c>
      <c r="N762" s="165">
        <f t="shared" si="42"/>
        <v>2010.6249999999477</v>
      </c>
      <c r="O762" s="174">
        <v>218.31200000000001</v>
      </c>
      <c r="P762" s="163" t="s">
        <v>241</v>
      </c>
    </row>
    <row r="763" spans="1:16" ht="13.15">
      <c r="A763" s="164">
        <f t="shared" si="43"/>
        <v>2010.708333333281</v>
      </c>
      <c r="B763" s="164">
        <f t="shared" si="41"/>
        <v>141.65340118032952</v>
      </c>
      <c r="H763" s="165">
        <v>2010.708333333281</v>
      </c>
      <c r="I763" s="172">
        <v>144.61000000000001</v>
      </c>
      <c r="J763" s="163" t="s">
        <v>246</v>
      </c>
      <c r="N763" s="165">
        <f t="shared" si="42"/>
        <v>2010.708333333281</v>
      </c>
      <c r="O763" s="174">
        <v>218.43899999999999</v>
      </c>
      <c r="P763" s="163" t="s">
        <v>241</v>
      </c>
    </row>
    <row r="764" spans="1:16" ht="13.15">
      <c r="A764" s="164">
        <f t="shared" si="43"/>
        <v>2010.7916666666142</v>
      </c>
      <c r="B764" s="164">
        <f t="shared" ref="B764:B827" si="44">100*(I764/O764)/(I$8/O$8)</f>
        <v>140.03125261436821</v>
      </c>
      <c r="H764" s="165">
        <v>2010.7916666666142</v>
      </c>
      <c r="I764" s="172">
        <v>143.13200000000001</v>
      </c>
      <c r="J764" s="163" t="s">
        <v>246</v>
      </c>
      <c r="N764" s="165">
        <f t="shared" si="42"/>
        <v>2010.7916666666142</v>
      </c>
      <c r="O764" s="174">
        <v>218.71100000000001</v>
      </c>
      <c r="P764" s="163" t="s">
        <v>241</v>
      </c>
    </row>
    <row r="765" spans="1:16" ht="13.15">
      <c r="A765" s="164">
        <f t="shared" si="43"/>
        <v>2010.8749999999475</v>
      </c>
      <c r="B765" s="164">
        <f t="shared" si="44"/>
        <v>138.69226979536202</v>
      </c>
      <c r="H765" s="165">
        <v>2010.8749999999475</v>
      </c>
      <c r="I765" s="172">
        <v>141.82299999999998</v>
      </c>
      <c r="J765" s="163" t="s">
        <v>246</v>
      </c>
      <c r="N765" s="165">
        <f t="shared" si="42"/>
        <v>2010.8749999999475</v>
      </c>
      <c r="O765" s="174">
        <v>218.803</v>
      </c>
      <c r="P765" s="163" t="s">
        <v>241</v>
      </c>
    </row>
    <row r="766" spans="1:16" ht="13.15">
      <c r="A766" s="164">
        <f t="shared" si="43"/>
        <v>2010.9583333332807</v>
      </c>
      <c r="B766" s="164">
        <f t="shared" si="44"/>
        <v>137.29163347224363</v>
      </c>
      <c r="H766" s="165">
        <v>2010.9583333332807</v>
      </c>
      <c r="I766" s="172">
        <v>140.63200000000001</v>
      </c>
      <c r="J766" s="163" t="s">
        <v>246</v>
      </c>
      <c r="N766" s="165">
        <f t="shared" si="42"/>
        <v>2010.9583333332807</v>
      </c>
      <c r="O766" s="174">
        <v>219.179</v>
      </c>
      <c r="P766" s="163" t="s">
        <v>241</v>
      </c>
    </row>
    <row r="767" spans="1:16" ht="13.15">
      <c r="A767" s="164">
        <f t="shared" si="43"/>
        <v>2011.041666666614</v>
      </c>
      <c r="B767" s="164">
        <f t="shared" si="44"/>
        <v>135.09493549881103</v>
      </c>
      <c r="H767" s="165">
        <v>2011.041666666614</v>
      </c>
      <c r="I767" s="172">
        <v>139.041</v>
      </c>
      <c r="J767" s="163" t="s">
        <v>246</v>
      </c>
      <c r="N767" s="165">
        <f t="shared" si="42"/>
        <v>2011.041666666614</v>
      </c>
      <c r="O767" s="174">
        <v>220.22300000000001</v>
      </c>
      <c r="P767" s="163" t="s">
        <v>241</v>
      </c>
    </row>
    <row r="768" spans="1:16" ht="13.15">
      <c r="A768" s="164">
        <f t="shared" si="43"/>
        <v>2011.1249999999472</v>
      </c>
      <c r="B768" s="164">
        <f t="shared" si="44"/>
        <v>133.17026099083427</v>
      </c>
      <c r="H768" s="165">
        <v>2011.1249999999472</v>
      </c>
      <c r="I768" s="172">
        <v>137.73599999999999</v>
      </c>
      <c r="J768" s="163" t="s">
        <v>246</v>
      </c>
      <c r="N768" s="165">
        <f t="shared" si="42"/>
        <v>2011.1249999999472</v>
      </c>
      <c r="O768" s="174">
        <v>221.309</v>
      </c>
      <c r="P768" s="163" t="s">
        <v>241</v>
      </c>
    </row>
    <row r="769" spans="1:16" ht="13.15">
      <c r="A769" s="164">
        <f t="shared" si="43"/>
        <v>2011.2083333332805</v>
      </c>
      <c r="B769" s="164">
        <f t="shared" si="44"/>
        <v>131.93499646750692</v>
      </c>
      <c r="H769" s="165">
        <v>2011.2083333332805</v>
      </c>
      <c r="I769" s="172">
        <v>137.78899999999999</v>
      </c>
      <c r="J769" s="163" t="s">
        <v>246</v>
      </c>
      <c r="N769" s="165">
        <f t="shared" si="42"/>
        <v>2011.2083333332805</v>
      </c>
      <c r="O769" s="174">
        <v>223.46700000000001</v>
      </c>
      <c r="P769" s="163" t="s">
        <v>241</v>
      </c>
    </row>
    <row r="770" spans="1:16" ht="13.15">
      <c r="A770" s="164">
        <f t="shared" si="43"/>
        <v>2011.2916666666138</v>
      </c>
      <c r="B770" s="164">
        <f t="shared" si="44"/>
        <v>132.39424820876025</v>
      </c>
      <c r="H770" s="165">
        <v>2011.2916666666138</v>
      </c>
      <c r="I770" s="172">
        <v>139.15899999999999</v>
      </c>
      <c r="J770" s="163" t="s">
        <v>246</v>
      </c>
      <c r="N770" s="165">
        <f t="shared" si="42"/>
        <v>2011.2916666666138</v>
      </c>
      <c r="O770" s="174">
        <v>224.90600000000001</v>
      </c>
      <c r="P770" s="163" t="s">
        <v>241</v>
      </c>
    </row>
    <row r="771" spans="1:16" ht="13.15">
      <c r="A771" s="164">
        <f t="shared" si="43"/>
        <v>2011.374999999947</v>
      </c>
      <c r="B771" s="164">
        <f t="shared" si="44"/>
        <v>133.22695333035992</v>
      </c>
      <c r="H771" s="165">
        <v>2011.374999999947</v>
      </c>
      <c r="I771" s="172">
        <v>140.69299999999998</v>
      </c>
      <c r="J771" s="163" t="s">
        <v>246</v>
      </c>
      <c r="N771" s="165">
        <f t="shared" si="42"/>
        <v>2011.374999999947</v>
      </c>
      <c r="O771" s="174">
        <v>225.964</v>
      </c>
      <c r="P771" s="163" t="s">
        <v>241</v>
      </c>
    </row>
    <row r="772" spans="1:16" ht="13.15">
      <c r="A772" s="164">
        <f t="shared" si="43"/>
        <v>2011.4583333332803</v>
      </c>
      <c r="B772" s="164">
        <f t="shared" si="44"/>
        <v>134.55567217262225</v>
      </c>
      <c r="H772" s="165">
        <v>2011.4583333332803</v>
      </c>
      <c r="I772" s="172">
        <v>141.94399999999999</v>
      </c>
      <c r="J772" s="163" t="s">
        <v>246</v>
      </c>
      <c r="N772" s="165">
        <f t="shared" si="42"/>
        <v>2011.4583333332803</v>
      </c>
      <c r="O772" s="174">
        <v>225.72200000000001</v>
      </c>
      <c r="P772" s="163" t="s">
        <v>241</v>
      </c>
    </row>
    <row r="773" spans="1:16" ht="13.15">
      <c r="A773" s="164">
        <f t="shared" si="43"/>
        <v>2011.5416666666135</v>
      </c>
      <c r="B773" s="164">
        <f t="shared" si="44"/>
        <v>134.81350495081924</v>
      </c>
      <c r="H773" s="165">
        <v>2011.5416666666135</v>
      </c>
      <c r="I773" s="172">
        <v>142.34200000000001</v>
      </c>
      <c r="J773" s="163" t="s">
        <v>246</v>
      </c>
      <c r="N773" s="165">
        <f t="shared" si="42"/>
        <v>2011.5416666666135</v>
      </c>
      <c r="O773" s="174">
        <v>225.922</v>
      </c>
      <c r="P773" s="163" t="s">
        <v>241</v>
      </c>
    </row>
    <row r="774" spans="1:16" ht="13.15">
      <c r="A774" s="164">
        <f t="shared" si="43"/>
        <v>2011.6249999999468</v>
      </c>
      <c r="B774" s="164">
        <f t="shared" si="44"/>
        <v>133.9166776410741</v>
      </c>
      <c r="H774" s="165">
        <v>2011.6249999999468</v>
      </c>
      <c r="I774" s="172">
        <v>141.785</v>
      </c>
      <c r="J774" s="163" t="s">
        <v>246</v>
      </c>
      <c r="N774" s="165">
        <f t="shared" si="42"/>
        <v>2011.6249999999468</v>
      </c>
      <c r="O774" s="174">
        <v>226.54499999999999</v>
      </c>
      <c r="P774" s="163" t="s">
        <v>241</v>
      </c>
    </row>
    <row r="775" spans="1:16" ht="13.15">
      <c r="A775" s="164">
        <f t="shared" si="43"/>
        <v>2011.7083333332801</v>
      </c>
      <c r="B775" s="164">
        <f t="shared" si="44"/>
        <v>132.18963219971712</v>
      </c>
      <c r="H775" s="165">
        <v>2011.7083333332801</v>
      </c>
      <c r="I775" s="172">
        <v>140.16899999999998</v>
      </c>
      <c r="J775" s="163" t="s">
        <v>246</v>
      </c>
      <c r="N775" s="165">
        <f t="shared" si="42"/>
        <v>2011.7083333332801</v>
      </c>
      <c r="O775" s="174">
        <v>226.88900000000001</v>
      </c>
      <c r="P775" s="163" t="s">
        <v>241</v>
      </c>
    </row>
    <row r="776" spans="1:16" ht="13.15">
      <c r="A776" s="164">
        <f t="shared" si="43"/>
        <v>2011.7916666666133</v>
      </c>
      <c r="B776" s="164">
        <f t="shared" si="44"/>
        <v>130.80151145965769</v>
      </c>
      <c r="H776" s="165">
        <v>2011.7916666666133</v>
      </c>
      <c r="I776" s="172">
        <v>138.411</v>
      </c>
      <c r="J776" s="163" t="s">
        <v>246</v>
      </c>
      <c r="N776" s="165">
        <f t="shared" si="42"/>
        <v>2011.7916666666133</v>
      </c>
      <c r="O776" s="174">
        <v>226.42099999999999</v>
      </c>
      <c r="P776" s="163" t="s">
        <v>241</v>
      </c>
    </row>
    <row r="777" spans="1:16" ht="13.15">
      <c r="A777" s="164">
        <f t="shared" si="43"/>
        <v>2011.8749999999466</v>
      </c>
      <c r="B777" s="164">
        <f t="shared" si="44"/>
        <v>129.26243298172639</v>
      </c>
      <c r="H777" s="165">
        <v>2011.8749999999466</v>
      </c>
      <c r="I777" s="172">
        <v>136.667</v>
      </c>
      <c r="J777" s="163" t="s">
        <v>246</v>
      </c>
      <c r="N777" s="165">
        <f t="shared" ref="N777:N840" si="45">N776+1/12</f>
        <v>2011.8749999999466</v>
      </c>
      <c r="O777" s="174">
        <v>226.23</v>
      </c>
      <c r="P777" s="163" t="s">
        <v>241</v>
      </c>
    </row>
    <row r="778" spans="1:16" ht="13.15">
      <c r="A778" s="164">
        <f t="shared" si="43"/>
        <v>2011.9583333332798</v>
      </c>
      <c r="B778" s="164">
        <f t="shared" si="44"/>
        <v>128.16170701152654</v>
      </c>
      <c r="H778" s="165">
        <v>2011.9583333332798</v>
      </c>
      <c r="I778" s="172">
        <v>135.16899999999998</v>
      </c>
      <c r="J778" s="163" t="s">
        <v>246</v>
      </c>
      <c r="N778" s="165">
        <f t="shared" si="45"/>
        <v>2011.9583333332798</v>
      </c>
      <c r="O778" s="174">
        <v>225.672</v>
      </c>
      <c r="P778" s="163" t="s">
        <v>241</v>
      </c>
    </row>
    <row r="779" spans="1:16" ht="13.15">
      <c r="A779" s="164">
        <f t="shared" si="43"/>
        <v>2012.0416666666131</v>
      </c>
      <c r="B779" s="164">
        <f t="shared" si="44"/>
        <v>126.65529229775596</v>
      </c>
      <c r="H779" s="165">
        <v>2012.0416666666131</v>
      </c>
      <c r="I779" s="172">
        <v>134.16800000000001</v>
      </c>
      <c r="J779" s="163" t="s">
        <v>246</v>
      </c>
      <c r="N779" s="165">
        <f t="shared" si="45"/>
        <v>2012.0416666666131</v>
      </c>
      <c r="O779" s="174">
        <v>226.66499999999999</v>
      </c>
      <c r="P779" s="163" t="s">
        <v>241</v>
      </c>
    </row>
    <row r="780" spans="1:16" ht="13.15">
      <c r="A780" s="164">
        <f t="shared" si="43"/>
        <v>2012.1249999999463</v>
      </c>
      <c r="B780" s="164">
        <f>100*(I780/O780)/(I$8/O$8)</f>
        <v>125.93841986822257</v>
      </c>
      <c r="H780" s="165">
        <v>2012.1249999999463</v>
      </c>
      <c r="I780" s="172">
        <v>133.99600000000001</v>
      </c>
      <c r="J780" s="163" t="s">
        <v>246</v>
      </c>
      <c r="N780" s="165">
        <f t="shared" si="45"/>
        <v>2012.1249999999463</v>
      </c>
      <c r="O780" s="174">
        <v>227.66300000000001</v>
      </c>
      <c r="P780" s="163" t="s">
        <v>241</v>
      </c>
    </row>
    <row r="781" spans="1:16" ht="13.15">
      <c r="A781" s="164">
        <f t="shared" si="43"/>
        <v>2012.2083333332796</v>
      </c>
      <c r="B781" s="164">
        <f t="shared" si="44"/>
        <v>126.73162071978825</v>
      </c>
      <c r="H781" s="165">
        <v>2012.2083333332796</v>
      </c>
      <c r="I781" s="172">
        <v>135.864</v>
      </c>
      <c r="J781" s="163" t="s">
        <v>246</v>
      </c>
      <c r="N781" s="165">
        <f t="shared" si="45"/>
        <v>2012.2083333332796</v>
      </c>
      <c r="O781" s="174">
        <v>229.392</v>
      </c>
      <c r="P781" s="163" t="s">
        <v>241</v>
      </c>
    </row>
    <row r="782" spans="1:16" ht="13.15">
      <c r="A782" s="164">
        <f t="shared" si="43"/>
        <v>2012.2916666666129</v>
      </c>
      <c r="B782" s="164">
        <f t="shared" si="44"/>
        <v>128.77435470714141</v>
      </c>
      <c r="H782" s="165">
        <v>2012.2916666666129</v>
      </c>
      <c r="I782" s="172">
        <v>138.471</v>
      </c>
      <c r="J782" s="163" t="s">
        <v>246</v>
      </c>
      <c r="N782" s="165">
        <f t="shared" si="45"/>
        <v>2012.2916666666129</v>
      </c>
      <c r="O782" s="174">
        <v>230.08500000000001</v>
      </c>
      <c r="P782" s="163" t="s">
        <v>241</v>
      </c>
    </row>
    <row r="783" spans="1:16" ht="13.15">
      <c r="A783" s="164">
        <f t="shared" si="43"/>
        <v>2012.3749999999461</v>
      </c>
      <c r="B783" s="164">
        <f t="shared" si="44"/>
        <v>131.32500349036772</v>
      </c>
      <c r="H783" s="165">
        <v>2012.3749999999461</v>
      </c>
      <c r="I783" s="172">
        <v>141.048</v>
      </c>
      <c r="J783" s="163" t="s">
        <v>246</v>
      </c>
      <c r="N783" s="165">
        <f t="shared" si="45"/>
        <v>2012.3749999999461</v>
      </c>
      <c r="O783" s="174">
        <v>229.815</v>
      </c>
      <c r="P783" s="163" t="s">
        <v>241</v>
      </c>
    </row>
    <row r="784" spans="1:16" ht="13.15">
      <c r="A784" s="164">
        <f t="shared" si="43"/>
        <v>2012.4583333332794</v>
      </c>
      <c r="B784" s="164">
        <f t="shared" si="44"/>
        <v>133.49648446639134</v>
      </c>
      <c r="H784" s="165">
        <v>2012.4583333332794</v>
      </c>
      <c r="I784" s="172">
        <v>143.16999999999999</v>
      </c>
      <c r="J784" s="163" t="s">
        <v>246</v>
      </c>
      <c r="N784" s="165">
        <f t="shared" si="45"/>
        <v>2012.4583333332794</v>
      </c>
      <c r="O784" s="174">
        <v>229.47800000000001</v>
      </c>
      <c r="P784" s="163" t="s">
        <v>241</v>
      </c>
    </row>
    <row r="785" spans="1:16" ht="13.15">
      <c r="A785" s="164">
        <f t="shared" si="43"/>
        <v>2012.5416666666126</v>
      </c>
      <c r="B785" s="164">
        <f t="shared" si="44"/>
        <v>134.7548367596473</v>
      </c>
      <c r="H785" s="165">
        <v>2012.5416666666126</v>
      </c>
      <c r="I785" s="172">
        <v>144.28399999999999</v>
      </c>
      <c r="J785" s="163" t="s">
        <v>246</v>
      </c>
      <c r="N785" s="165">
        <f t="shared" si="45"/>
        <v>2012.5416666666126</v>
      </c>
      <c r="O785" s="174">
        <v>229.10400000000001</v>
      </c>
      <c r="P785" s="163" t="s">
        <v>241</v>
      </c>
    </row>
    <row r="786" spans="1:16" ht="13.15">
      <c r="A786" s="164">
        <f t="shared" si="43"/>
        <v>2012.6249999999459</v>
      </c>
      <c r="B786" s="164">
        <f t="shared" si="44"/>
        <v>134.40193192916826</v>
      </c>
      <c r="H786" s="165">
        <v>2012.6249999999459</v>
      </c>
      <c r="I786" s="172">
        <v>144.70699999999999</v>
      </c>
      <c r="J786" s="163" t="s">
        <v>246</v>
      </c>
      <c r="N786" s="165">
        <f t="shared" si="45"/>
        <v>2012.6249999999459</v>
      </c>
      <c r="O786" s="174">
        <v>230.37899999999999</v>
      </c>
      <c r="P786" s="163" t="s">
        <v>241</v>
      </c>
    </row>
    <row r="787" spans="1:16" ht="13.15">
      <c r="A787" s="164">
        <f t="shared" si="43"/>
        <v>2012.7083333332791</v>
      </c>
      <c r="B787" s="164">
        <f t="shared" si="44"/>
        <v>133.48308431341354</v>
      </c>
      <c r="H787" s="165">
        <v>2012.7083333332791</v>
      </c>
      <c r="I787" s="172">
        <v>144.35900000000001</v>
      </c>
      <c r="J787" s="163" t="s">
        <v>246</v>
      </c>
      <c r="N787" s="165">
        <f t="shared" si="45"/>
        <v>2012.7083333332791</v>
      </c>
      <c r="O787" s="174">
        <v>231.40700000000001</v>
      </c>
      <c r="P787" s="163" t="s">
        <v>241</v>
      </c>
    </row>
    <row r="788" spans="1:16" ht="13.15">
      <c r="A788" s="164">
        <f t="shared" si="43"/>
        <v>2012.7916666666124</v>
      </c>
      <c r="B788" s="164">
        <f t="shared" si="44"/>
        <v>133.17426148492541</v>
      </c>
      <c r="H788" s="165">
        <v>2012.7916666666124</v>
      </c>
      <c r="I788" s="172">
        <v>143.96899999999999</v>
      </c>
      <c r="J788" s="163" t="s">
        <v>246</v>
      </c>
      <c r="N788" s="165">
        <f t="shared" si="45"/>
        <v>2012.7916666666124</v>
      </c>
      <c r="O788" s="173">
        <v>231.31700000000001</v>
      </c>
      <c r="P788" s="163" t="s">
        <v>241</v>
      </c>
    </row>
    <row r="789" spans="1:16" ht="13.15">
      <c r="A789" s="164">
        <f t="shared" si="43"/>
        <v>2012.8749999999457</v>
      </c>
      <c r="B789" s="164">
        <f t="shared" si="44"/>
        <v>133.80082121250345</v>
      </c>
      <c r="H789" s="165">
        <v>2012.8749999999457</v>
      </c>
      <c r="I789" s="172">
        <v>143.96100000000001</v>
      </c>
      <c r="J789" s="163" t="s">
        <v>246</v>
      </c>
      <c r="N789" s="165">
        <f t="shared" si="45"/>
        <v>2012.8749999999457</v>
      </c>
      <c r="O789" s="173">
        <v>230.221</v>
      </c>
      <c r="P789" s="163" t="s">
        <v>241</v>
      </c>
    </row>
    <row r="790" spans="1:16" ht="13.15">
      <c r="A790" s="164">
        <f t="shared" si="43"/>
        <v>2012.9583333332789</v>
      </c>
      <c r="B790" s="164">
        <f t="shared" si="44"/>
        <v>134.07545862890959</v>
      </c>
      <c r="H790" s="165">
        <v>2012.9583333332789</v>
      </c>
      <c r="I790" s="172">
        <v>143.86799999999999</v>
      </c>
      <c r="J790" s="163" t="s">
        <v>246</v>
      </c>
      <c r="N790" s="165">
        <f t="shared" si="45"/>
        <v>2012.9583333332789</v>
      </c>
      <c r="O790" s="173">
        <v>229.601</v>
      </c>
      <c r="P790" s="163" t="s">
        <v>241</v>
      </c>
    </row>
    <row r="791" spans="1:16" ht="13.15">
      <c r="A791" s="164">
        <f t="shared" si="43"/>
        <v>2013.0416666666122</v>
      </c>
      <c r="B791" s="164">
        <f t="shared" si="44"/>
        <v>134.0926843989439</v>
      </c>
      <c r="H791" s="165">
        <v>2013.0416666666122</v>
      </c>
      <c r="I791" s="172">
        <v>144.31200000000001</v>
      </c>
      <c r="J791" s="163" t="s">
        <v>246</v>
      </c>
      <c r="N791" s="165">
        <f t="shared" si="45"/>
        <v>2013.0416666666122</v>
      </c>
      <c r="O791" s="173">
        <v>230.28</v>
      </c>
      <c r="P791" s="163" t="s">
        <v>241</v>
      </c>
    </row>
    <row r="792" spans="1:16" ht="13.15">
      <c r="A792" s="164">
        <f t="shared" si="43"/>
        <v>2013.1249999999454</v>
      </c>
      <c r="B792" s="164">
        <f t="shared" si="44"/>
        <v>133.78585319156679</v>
      </c>
      <c r="H792" s="165">
        <v>2013.1249999999454</v>
      </c>
      <c r="I792" s="172">
        <v>145.161</v>
      </c>
      <c r="J792" s="163" t="s">
        <v>246</v>
      </c>
      <c r="N792" s="165">
        <f t="shared" si="45"/>
        <v>2013.1249999999454</v>
      </c>
      <c r="O792" s="173">
        <v>232.166</v>
      </c>
      <c r="P792" s="163" t="s">
        <v>241</v>
      </c>
    </row>
    <row r="793" spans="1:16" ht="13.15">
      <c r="A793" s="164">
        <f t="shared" si="43"/>
        <v>2013.2083333332787</v>
      </c>
      <c r="B793" s="164">
        <f t="shared" si="44"/>
        <v>136.00991807377054</v>
      </c>
      <c r="H793" s="165">
        <v>2013.2083333332787</v>
      </c>
      <c r="I793" s="172">
        <v>147.96</v>
      </c>
      <c r="J793" s="163" t="s">
        <v>246</v>
      </c>
      <c r="N793" s="165">
        <f t="shared" si="45"/>
        <v>2013.2083333332787</v>
      </c>
      <c r="O793" s="173">
        <v>232.773</v>
      </c>
      <c r="P793" s="163" t="s">
        <v>241</v>
      </c>
    </row>
    <row r="794" spans="1:16" ht="13.15">
      <c r="A794" s="164">
        <f t="shared" si="43"/>
        <v>2013.2916666666119</v>
      </c>
      <c r="B794" s="164">
        <f t="shared" si="44"/>
        <v>138.91940116631483</v>
      </c>
      <c r="H794" s="165">
        <v>2013.2916666666119</v>
      </c>
      <c r="I794" s="172">
        <v>150.96799999999999</v>
      </c>
      <c r="J794" s="163" t="s">
        <v>246</v>
      </c>
      <c r="N794" s="165">
        <f t="shared" si="45"/>
        <v>2013.2916666666119</v>
      </c>
      <c r="O794" s="174">
        <v>232.53100000000001</v>
      </c>
      <c r="P794" s="163" t="s">
        <v>241</v>
      </c>
    </row>
    <row r="795" spans="1:16" ht="13.15">
      <c r="A795" s="164">
        <f t="shared" si="43"/>
        <v>2013.3749999999452</v>
      </c>
      <c r="B795" s="164">
        <f t="shared" si="44"/>
        <v>141.3280519053049</v>
      </c>
      <c r="H795" s="165">
        <v>2013.3749999999452</v>
      </c>
      <c r="I795" s="172">
        <v>153.85900000000001</v>
      </c>
      <c r="J795" s="163" t="s">
        <v>246</v>
      </c>
      <c r="N795" s="165">
        <f t="shared" si="45"/>
        <v>2013.3749999999452</v>
      </c>
      <c r="O795" s="173">
        <v>232.94499999999999</v>
      </c>
      <c r="P795" s="163" t="s">
        <v>241</v>
      </c>
    </row>
    <row r="796" spans="1:16" ht="13.15">
      <c r="A796" s="164">
        <f t="shared" si="43"/>
        <v>2013.4583333332785</v>
      </c>
      <c r="B796" s="164">
        <f t="shared" si="44"/>
        <v>143.34383797229489</v>
      </c>
      <c r="H796" s="165">
        <v>2013.4583333332785</v>
      </c>
      <c r="I796" s="172">
        <v>156.428</v>
      </c>
      <c r="J796" s="163" t="s">
        <v>246</v>
      </c>
      <c r="N796" s="165">
        <f t="shared" si="45"/>
        <v>2013.4583333332785</v>
      </c>
      <c r="O796" s="173">
        <v>233.50399999999999</v>
      </c>
      <c r="P796" s="163" t="s">
        <v>241</v>
      </c>
    </row>
    <row r="797" spans="1:16" ht="13.15">
      <c r="A797" s="164">
        <f t="shared" si="43"/>
        <v>2013.5416666666117</v>
      </c>
      <c r="B797" s="164">
        <f t="shared" si="44"/>
        <v>144.99205118655976</v>
      </c>
      <c r="H797" s="165">
        <v>2013.5416666666117</v>
      </c>
      <c r="I797" s="172">
        <v>158.28899999999999</v>
      </c>
      <c r="J797" s="163" t="s">
        <v>246</v>
      </c>
      <c r="N797" s="165">
        <f t="shared" si="45"/>
        <v>2013.5416666666117</v>
      </c>
      <c r="O797" s="173">
        <v>233.596</v>
      </c>
      <c r="P797" s="163" t="s">
        <v>241</v>
      </c>
    </row>
    <row r="798" spans="1:16" ht="13.15">
      <c r="A798" s="164">
        <f t="shared" si="43"/>
        <v>2013.624999999945</v>
      </c>
      <c r="B798" s="164">
        <f t="shared" si="44"/>
        <v>145.83154910453254</v>
      </c>
      <c r="H798" s="165">
        <v>2013.624999999945</v>
      </c>
      <c r="I798" s="172">
        <v>159.39700000000002</v>
      </c>
      <c r="J798" s="163" t="s">
        <v>246</v>
      </c>
      <c r="N798" s="165">
        <f t="shared" si="45"/>
        <v>2013.624999999945</v>
      </c>
      <c r="O798" s="173">
        <v>233.87700000000001</v>
      </c>
      <c r="P798" s="163" t="s">
        <v>241</v>
      </c>
    </row>
    <row r="799" spans="1:16" ht="13.15">
      <c r="A799" s="164">
        <f t="shared" si="43"/>
        <v>2013.7083333332782</v>
      </c>
      <c r="B799" s="164">
        <f t="shared" si="44"/>
        <v>145.91618878620079</v>
      </c>
      <c r="H799" s="165">
        <v>2013.7083333332782</v>
      </c>
      <c r="I799" s="172">
        <v>159.67500000000001</v>
      </c>
      <c r="J799" s="163" t="s">
        <v>246</v>
      </c>
      <c r="N799" s="165">
        <f t="shared" si="45"/>
        <v>2013.7083333332782</v>
      </c>
      <c r="O799" s="173">
        <v>234.149</v>
      </c>
      <c r="P799" s="163" t="s">
        <v>241</v>
      </c>
    </row>
    <row r="800" spans="1:16" ht="13.15">
      <c r="A800" s="164">
        <f t="shared" si="43"/>
        <v>2013.7916666666115</v>
      </c>
      <c r="B800" s="164">
        <f t="shared" si="44"/>
        <v>146.18482389257517</v>
      </c>
      <c r="H800" s="165">
        <v>2013.7916666666115</v>
      </c>
      <c r="I800" s="172">
        <v>159.55700000000002</v>
      </c>
      <c r="J800" s="163" t="s">
        <v>246</v>
      </c>
      <c r="N800" s="165">
        <f t="shared" si="45"/>
        <v>2013.7916666666115</v>
      </c>
      <c r="O800" s="173">
        <v>233.54599999999999</v>
      </c>
      <c r="P800" s="163" t="s">
        <v>241</v>
      </c>
    </row>
    <row r="801" spans="1:16" ht="13.15">
      <c r="A801" s="164">
        <f t="shared" si="43"/>
        <v>2013.8749999999447</v>
      </c>
      <c r="B801" s="164">
        <f t="shared" si="44"/>
        <v>146.3059013848073</v>
      </c>
      <c r="H801" s="165">
        <v>2013.8749999999447</v>
      </c>
      <c r="I801" s="172">
        <v>159.363</v>
      </c>
      <c r="J801" s="163" t="s">
        <v>246</v>
      </c>
      <c r="N801" s="165">
        <f t="shared" si="45"/>
        <v>2013.8749999999447</v>
      </c>
      <c r="O801" s="173">
        <v>233.06899999999999</v>
      </c>
      <c r="P801" s="163" t="s">
        <v>241</v>
      </c>
    </row>
    <row r="802" spans="1:16" ht="13.15">
      <c r="A802" s="164">
        <f t="shared" si="43"/>
        <v>2013.958333333278</v>
      </c>
      <c r="B802" s="164">
        <f t="shared" si="44"/>
        <v>146.24225109560251</v>
      </c>
      <c r="H802" s="165">
        <v>2013.958333333278</v>
      </c>
      <c r="I802" s="172">
        <v>159.28</v>
      </c>
      <c r="J802" s="163" t="s">
        <v>246</v>
      </c>
      <c r="N802" s="165">
        <f t="shared" si="45"/>
        <v>2013.958333333278</v>
      </c>
      <c r="O802" s="174">
        <v>233.04900000000001</v>
      </c>
      <c r="P802" s="163" t="s">
        <v>241</v>
      </c>
    </row>
    <row r="803" spans="1:16" ht="13.15">
      <c r="A803" s="164">
        <f t="shared" si="43"/>
        <v>2014.0416666666113</v>
      </c>
      <c r="B803" s="164">
        <f t="shared" si="44"/>
        <v>145.78162232388635</v>
      </c>
      <c r="H803" s="165">
        <v>2014.0416666666113</v>
      </c>
      <c r="I803" s="172">
        <v>159.369</v>
      </c>
      <c r="J803" s="163" t="s">
        <v>246</v>
      </c>
      <c r="N803" s="165">
        <f t="shared" si="45"/>
        <v>2014.0416666666113</v>
      </c>
      <c r="O803" s="174">
        <v>233.916</v>
      </c>
      <c r="P803" s="163" t="s">
        <v>241</v>
      </c>
    </row>
    <row r="804" spans="1:16" ht="13.15">
      <c r="A804" s="164">
        <f t="shared" si="43"/>
        <v>2014.1249999999445</v>
      </c>
      <c r="B804" s="164">
        <f t="shared" si="44"/>
        <v>145.70294171116538</v>
      </c>
      <c r="H804" s="165">
        <v>2014.1249999999445</v>
      </c>
      <c r="I804" s="172">
        <v>159.87200000000001</v>
      </c>
      <c r="J804" s="163" t="s">
        <v>246</v>
      </c>
      <c r="N804" s="165">
        <f t="shared" si="45"/>
        <v>2014.1249999999445</v>
      </c>
      <c r="O804" s="174">
        <v>234.78100000000001</v>
      </c>
      <c r="P804" s="163" t="s">
        <v>241</v>
      </c>
    </row>
    <row r="805" spans="1:16" ht="13.15">
      <c r="A805" s="164">
        <f t="shared" si="43"/>
        <v>2014.2083333332778</v>
      </c>
      <c r="B805" s="164">
        <f t="shared" si="44"/>
        <v>145.96320976051058</v>
      </c>
      <c r="H805" s="165">
        <v>2014.2083333332778</v>
      </c>
      <c r="I805" s="172">
        <v>161.18899999999999</v>
      </c>
      <c r="J805" s="163" t="s">
        <v>246</v>
      </c>
      <c r="N805" s="165">
        <f t="shared" si="45"/>
        <v>2014.2083333332778</v>
      </c>
      <c r="O805" s="174">
        <v>236.29300000000001</v>
      </c>
      <c r="P805" s="163" t="s">
        <v>241</v>
      </c>
    </row>
    <row r="806" spans="1:16" ht="13.15">
      <c r="A806" s="164">
        <f t="shared" si="43"/>
        <v>2014.291666666611</v>
      </c>
      <c r="B806" s="164">
        <f t="shared" si="44"/>
        <v>147.09105476642497</v>
      </c>
      <c r="H806" s="165">
        <v>2014.291666666611</v>
      </c>
      <c r="I806" s="172">
        <v>162.97</v>
      </c>
      <c r="J806" s="163" t="s">
        <v>246</v>
      </c>
      <c r="N806" s="165">
        <f t="shared" si="45"/>
        <v>2014.291666666611</v>
      </c>
      <c r="O806" s="174">
        <v>237.072</v>
      </c>
      <c r="P806" s="163" t="s">
        <v>241</v>
      </c>
    </row>
    <row r="807" spans="1:16" ht="13.15">
      <c r="A807" s="164">
        <f t="shared" si="43"/>
        <v>2014.3749999999443</v>
      </c>
      <c r="B807" s="164">
        <f t="shared" si="44"/>
        <v>148.12162308948064</v>
      </c>
      <c r="H807" s="165">
        <v>2014.3749999999443</v>
      </c>
      <c r="I807" s="172">
        <v>164.685</v>
      </c>
      <c r="J807" s="163" t="s">
        <v>246</v>
      </c>
      <c r="N807" s="165">
        <f t="shared" si="45"/>
        <v>2014.3749999999443</v>
      </c>
      <c r="O807" s="174">
        <v>237.9</v>
      </c>
      <c r="P807" s="163" t="s">
        <v>241</v>
      </c>
    </row>
    <row r="808" spans="1:16" ht="13.15">
      <c r="A808" s="164">
        <f t="shared" si="43"/>
        <v>2014.4583333332776</v>
      </c>
      <c r="B808" s="164">
        <f t="shared" si="44"/>
        <v>149.2198752886265</v>
      </c>
      <c r="H808" s="165">
        <f t="shared" ref="H808:H871" si="46">H807+1/12</f>
        <v>2014.4583333332776</v>
      </c>
      <c r="I808" s="172">
        <v>166.215</v>
      </c>
      <c r="J808" s="163" t="s">
        <v>246</v>
      </c>
      <c r="N808" s="165">
        <f t="shared" si="45"/>
        <v>2014.4583333332776</v>
      </c>
      <c r="O808" s="174">
        <v>238.34299999999999</v>
      </c>
      <c r="P808" s="163" t="s">
        <v>241</v>
      </c>
    </row>
    <row r="809" spans="1:16" ht="13.15">
      <c r="A809" s="164">
        <f t="shared" si="43"/>
        <v>2014.5416666666108</v>
      </c>
      <c r="B809" s="164">
        <f t="shared" si="44"/>
        <v>150.10796950822012</v>
      </c>
      <c r="H809" s="165">
        <f t="shared" si="46"/>
        <v>2014.5416666666108</v>
      </c>
      <c r="I809" s="172">
        <v>167.13900000000001</v>
      </c>
      <c r="J809" s="163" t="s">
        <v>246</v>
      </c>
      <c r="N809" s="165">
        <f t="shared" si="45"/>
        <v>2014.5416666666108</v>
      </c>
      <c r="O809" s="174">
        <v>238.25</v>
      </c>
      <c r="P809" s="163" t="s">
        <v>241</v>
      </c>
    </row>
    <row r="810" spans="1:16" ht="13.15">
      <c r="A810" s="164">
        <f t="shared" si="43"/>
        <v>2014.6249999999441</v>
      </c>
      <c r="B810" s="164">
        <f t="shared" si="44"/>
        <v>150.64252229288468</v>
      </c>
      <c r="H810" s="165">
        <f t="shared" si="46"/>
        <v>2014.6249999999441</v>
      </c>
      <c r="I810" s="172">
        <v>167.45400000000001</v>
      </c>
      <c r="J810" s="163" t="s">
        <v>246</v>
      </c>
      <c r="N810" s="165">
        <f t="shared" si="45"/>
        <v>2014.6249999999441</v>
      </c>
      <c r="O810" s="174">
        <v>237.852</v>
      </c>
      <c r="P810" s="163" t="s">
        <v>241</v>
      </c>
    </row>
    <row r="811" spans="1:16" ht="13.15">
      <c r="A811" s="164">
        <f t="shared" si="43"/>
        <v>2014.7083333332773</v>
      </c>
      <c r="B811" s="164">
        <f t="shared" si="44"/>
        <v>150.34046361338662</v>
      </c>
      <c r="H811" s="165">
        <f t="shared" si="46"/>
        <v>2014.7083333332773</v>
      </c>
      <c r="I811" s="172">
        <v>167.24400000000003</v>
      </c>
      <c r="J811" s="163" t="s">
        <v>246</v>
      </c>
      <c r="N811" s="165">
        <f t="shared" si="45"/>
        <v>2014.7083333332773</v>
      </c>
      <c r="O811" s="174">
        <v>238.03100000000001</v>
      </c>
      <c r="P811" s="163" t="s">
        <v>241</v>
      </c>
    </row>
    <row r="812" spans="1:16" ht="13.15">
      <c r="A812" s="164">
        <f t="shared" si="43"/>
        <v>2014.7916666666106</v>
      </c>
      <c r="B812" s="164">
        <f t="shared" si="44"/>
        <v>150.4208170313091</v>
      </c>
      <c r="H812" s="165">
        <f t="shared" si="46"/>
        <v>2014.7916666666106</v>
      </c>
      <c r="I812" s="172">
        <v>166.91299999999998</v>
      </c>
      <c r="J812" s="163" t="s">
        <v>246</v>
      </c>
      <c r="N812" s="165">
        <f t="shared" si="45"/>
        <v>2014.7916666666106</v>
      </c>
      <c r="O812" s="174">
        <v>237.43299999999999</v>
      </c>
      <c r="P812" s="163" t="s">
        <v>241</v>
      </c>
    </row>
    <row r="813" spans="1:16" ht="13.15">
      <c r="A813" s="164">
        <f t="shared" si="43"/>
        <v>2014.8749999999438</v>
      </c>
      <c r="B813" s="164">
        <f t="shared" si="44"/>
        <v>151.00817144789866</v>
      </c>
      <c r="H813" s="165">
        <f t="shared" si="46"/>
        <v>2014.8749999999438</v>
      </c>
      <c r="I813" s="172">
        <v>166.66</v>
      </c>
      <c r="J813" s="163" t="s">
        <v>246</v>
      </c>
      <c r="N813" s="165">
        <f t="shared" si="45"/>
        <v>2014.8749999999438</v>
      </c>
      <c r="O813" s="174">
        <v>236.15100000000001</v>
      </c>
      <c r="P813" s="163" t="s">
        <v>241</v>
      </c>
    </row>
    <row r="814" spans="1:16" ht="13.15">
      <c r="A814" s="164">
        <f t="shared" si="43"/>
        <v>2014.9583333332771</v>
      </c>
      <c r="B814" s="164">
        <f t="shared" si="44"/>
        <v>151.68885769407294</v>
      </c>
      <c r="H814" s="165">
        <f t="shared" si="46"/>
        <v>2014.9583333332771</v>
      </c>
      <c r="I814" s="172">
        <v>166.46200000000002</v>
      </c>
      <c r="J814" s="163" t="s">
        <v>246</v>
      </c>
      <c r="N814" s="165">
        <f t="shared" si="45"/>
        <v>2014.9583333332771</v>
      </c>
      <c r="O814" s="174">
        <v>234.81200000000001</v>
      </c>
      <c r="P814" s="163" t="s">
        <v>241</v>
      </c>
    </row>
    <row r="815" spans="1:16" ht="13.15">
      <c r="A815" s="164">
        <f t="shared" si="43"/>
        <v>2015.0416666666104</v>
      </c>
      <c r="B815" s="164">
        <f t="shared" si="44"/>
        <v>152.21379648368037</v>
      </c>
      <c r="H815" s="165">
        <f t="shared" si="46"/>
        <v>2015.0416666666104</v>
      </c>
      <c r="I815" s="172">
        <v>166.25200000000001</v>
      </c>
      <c r="J815" s="163" t="s">
        <v>246</v>
      </c>
      <c r="N815" s="165">
        <f t="shared" si="45"/>
        <v>2015.0416666666104</v>
      </c>
      <c r="O815" s="174">
        <v>233.70699999999999</v>
      </c>
      <c r="P815" s="163" t="s">
        <v>241</v>
      </c>
    </row>
    <row r="816" spans="1:16" ht="13.15">
      <c r="A816" s="164">
        <f t="shared" si="43"/>
        <v>2015.1249999999436</v>
      </c>
      <c r="B816" s="164">
        <f t="shared" si="44"/>
        <v>151.90290397205737</v>
      </c>
      <c r="H816" s="165">
        <f t="shared" si="46"/>
        <v>2015.1249999999436</v>
      </c>
      <c r="I816" s="172">
        <v>166.63299999999998</v>
      </c>
      <c r="J816" s="163" t="s">
        <v>246</v>
      </c>
      <c r="N816" s="165">
        <f t="shared" si="45"/>
        <v>2015.1249999999436</v>
      </c>
      <c r="O816" s="174">
        <v>234.72200000000001</v>
      </c>
      <c r="P816" s="163" t="s">
        <v>241</v>
      </c>
    </row>
    <row r="817" spans="1:16" ht="13.15">
      <c r="A817" s="164">
        <f t="shared" si="43"/>
        <v>2015.2083333332769</v>
      </c>
      <c r="B817" s="164">
        <f t="shared" si="44"/>
        <v>152.32451435171782</v>
      </c>
      <c r="H817" s="165">
        <f t="shared" si="46"/>
        <v>2015.2083333332769</v>
      </c>
      <c r="I817" s="172">
        <v>168.09</v>
      </c>
      <c r="J817" s="163" t="s">
        <v>246</v>
      </c>
      <c r="N817" s="165">
        <f t="shared" si="45"/>
        <v>2015.2083333332769</v>
      </c>
      <c r="O817" s="174">
        <v>236.119</v>
      </c>
      <c r="P817" s="163" t="s">
        <v>241</v>
      </c>
    </row>
    <row r="818" spans="1:16" ht="13.15">
      <c r="A818" s="164">
        <f t="shared" si="43"/>
        <v>2015.2916666666101</v>
      </c>
      <c r="B818" s="164">
        <f t="shared" si="44"/>
        <v>153.71570098447103</v>
      </c>
      <c r="H818" s="165">
        <f t="shared" si="46"/>
        <v>2015.2916666666101</v>
      </c>
      <c r="I818" s="172">
        <v>169.97</v>
      </c>
      <c r="J818" s="163" t="s">
        <v>246</v>
      </c>
      <c r="N818" s="165">
        <f t="shared" si="45"/>
        <v>2015.2916666666101</v>
      </c>
      <c r="O818" s="177">
        <v>236.59899999999999</v>
      </c>
      <c r="P818" s="163" t="s">
        <v>241</v>
      </c>
    </row>
    <row r="819" spans="1:16" ht="13.15">
      <c r="A819" s="164">
        <f t="shared" si="43"/>
        <v>2015.3749999999434</v>
      </c>
      <c r="B819" s="164">
        <f t="shared" si="44"/>
        <v>154.62774235292136</v>
      </c>
      <c r="H819" s="165">
        <f t="shared" si="46"/>
        <v>2015.3749999999434</v>
      </c>
      <c r="I819" s="172">
        <v>171.85</v>
      </c>
      <c r="J819" s="163" t="s">
        <v>246</v>
      </c>
      <c r="N819" s="165">
        <f t="shared" si="45"/>
        <v>2015.3749999999434</v>
      </c>
      <c r="O819" s="177">
        <v>237.80500000000001</v>
      </c>
      <c r="P819" s="163" t="s">
        <v>241</v>
      </c>
    </row>
    <row r="820" spans="1:16" ht="13.15">
      <c r="A820" s="164">
        <f t="shared" si="43"/>
        <v>2015.4583333332766</v>
      </c>
      <c r="B820" s="164">
        <f t="shared" si="44"/>
        <v>155.5235165905078</v>
      </c>
      <c r="H820" s="165">
        <f t="shared" si="46"/>
        <v>2015.4583333332766</v>
      </c>
      <c r="I820" s="172">
        <v>173.45099999999999</v>
      </c>
      <c r="J820" s="163" t="s">
        <v>246</v>
      </c>
      <c r="N820" s="165">
        <f t="shared" si="45"/>
        <v>2015.4583333332766</v>
      </c>
      <c r="O820" s="177">
        <v>238.63800000000001</v>
      </c>
      <c r="P820" s="163" t="s">
        <v>241</v>
      </c>
    </row>
    <row r="821" spans="1:16" ht="13.15">
      <c r="A821" s="164">
        <f t="shared" si="43"/>
        <v>2015.5416666666099</v>
      </c>
      <c r="B821" s="164">
        <f t="shared" si="44"/>
        <v>156.45091492536932</v>
      </c>
      <c r="H821" s="165">
        <f t="shared" si="46"/>
        <v>2015.5416666666099</v>
      </c>
      <c r="I821" s="172">
        <v>174.49700000000001</v>
      </c>
      <c r="J821" s="163" t="s">
        <v>246</v>
      </c>
      <c r="N821" s="165">
        <f t="shared" si="45"/>
        <v>2015.5416666666099</v>
      </c>
      <c r="O821" s="177">
        <v>238.654</v>
      </c>
      <c r="P821" s="163" t="s">
        <v>241</v>
      </c>
    </row>
    <row r="822" spans="1:16" ht="13.15">
      <c r="A822" s="164">
        <f t="shared" si="43"/>
        <v>2015.6249999999432</v>
      </c>
      <c r="B822" s="164">
        <f t="shared" si="44"/>
        <v>157.06965831687938</v>
      </c>
      <c r="H822" s="165">
        <f t="shared" si="46"/>
        <v>2015.6249999999432</v>
      </c>
      <c r="I822" s="172">
        <v>174.93900000000002</v>
      </c>
      <c r="J822" s="163" t="s">
        <v>246</v>
      </c>
      <c r="N822" s="165">
        <f t="shared" si="45"/>
        <v>2015.6249999999432</v>
      </c>
      <c r="O822" s="177">
        <v>238.316</v>
      </c>
      <c r="P822" s="163" t="s">
        <v>241</v>
      </c>
    </row>
    <row r="823" spans="1:16" ht="13.15">
      <c r="A823" s="164">
        <f t="shared" ref="A823:A862" si="47">H823</f>
        <v>2015.7083333332764</v>
      </c>
      <c r="B823" s="164">
        <f t="shared" si="44"/>
        <v>157.41077894621105</v>
      </c>
      <c r="H823" s="165">
        <f t="shared" si="46"/>
        <v>2015.7083333332764</v>
      </c>
      <c r="I823" s="172">
        <v>175.04599999999999</v>
      </c>
      <c r="J823" s="163" t="s">
        <v>246</v>
      </c>
      <c r="N823" s="165">
        <f t="shared" si="45"/>
        <v>2015.7083333332764</v>
      </c>
      <c r="O823" s="177">
        <v>237.94499999999999</v>
      </c>
      <c r="P823" s="163" t="s">
        <v>241</v>
      </c>
    </row>
    <row r="824" spans="1:16" ht="13.15">
      <c r="A824" s="164">
        <f t="shared" si="47"/>
        <v>2015.7916666666097</v>
      </c>
      <c r="B824" s="164">
        <f t="shared" si="44"/>
        <v>157.48699381097535</v>
      </c>
      <c r="H824" s="165">
        <f t="shared" si="46"/>
        <v>2015.7916666666097</v>
      </c>
      <c r="I824" s="172">
        <v>175.05200000000002</v>
      </c>
      <c r="J824" s="163" t="s">
        <v>246</v>
      </c>
      <c r="N824" s="165">
        <f t="shared" si="45"/>
        <v>2015.7916666666097</v>
      </c>
      <c r="O824" s="177">
        <v>237.83799999999999</v>
      </c>
      <c r="P824" s="163" t="s">
        <v>241</v>
      </c>
    </row>
    <row r="825" spans="1:16" ht="13.15">
      <c r="A825" s="164">
        <f t="shared" si="47"/>
        <v>2015.8749999999429</v>
      </c>
      <c r="B825" s="164">
        <f t="shared" si="44"/>
        <v>157.90394679998917</v>
      </c>
      <c r="H825" s="165">
        <f t="shared" si="46"/>
        <v>2015.8749999999429</v>
      </c>
      <c r="I825" s="172">
        <v>175.14500000000001</v>
      </c>
      <c r="J825" s="163" t="s">
        <v>246</v>
      </c>
      <c r="N825" s="165">
        <f t="shared" si="45"/>
        <v>2015.8749999999429</v>
      </c>
      <c r="O825" s="177">
        <v>237.33600000000001</v>
      </c>
      <c r="P825" s="163" t="s">
        <v>241</v>
      </c>
    </row>
    <row r="826" spans="1:16" ht="13.15">
      <c r="A826" s="164">
        <f t="shared" si="47"/>
        <v>2015.9583333332762</v>
      </c>
      <c r="B826" s="164">
        <f t="shared" si="44"/>
        <v>158.42184894282576</v>
      </c>
      <c r="H826" s="165">
        <f t="shared" si="46"/>
        <v>2015.9583333332762</v>
      </c>
      <c r="I826" s="172">
        <v>175.11900000000003</v>
      </c>
      <c r="J826" s="163" t="s">
        <v>246</v>
      </c>
      <c r="N826" s="165">
        <f t="shared" si="45"/>
        <v>2015.9583333332762</v>
      </c>
      <c r="O826" s="177">
        <v>236.52500000000001</v>
      </c>
      <c r="P826" s="163" t="s">
        <v>241</v>
      </c>
    </row>
    <row r="827" spans="1:16" ht="13.15">
      <c r="A827" s="164">
        <f t="shared" si="47"/>
        <v>2016.0416666666094</v>
      </c>
      <c r="B827" s="164">
        <f t="shared" si="44"/>
        <v>158.08904404387059</v>
      </c>
      <c r="H827" s="165">
        <f t="shared" si="46"/>
        <v>2016.0416666666094</v>
      </c>
      <c r="I827" s="172">
        <v>175.04</v>
      </c>
      <c r="J827" s="163" t="s">
        <v>246</v>
      </c>
      <c r="N827" s="165">
        <f t="shared" si="45"/>
        <v>2016.0416666666094</v>
      </c>
      <c r="O827" s="177">
        <v>236.916</v>
      </c>
      <c r="P827" s="163" t="s">
        <v>241</v>
      </c>
    </row>
    <row r="828" spans="1:16" ht="13.15">
      <c r="A828" s="164">
        <f t="shared" si="47"/>
        <v>2016.1249999999427</v>
      </c>
      <c r="B828" s="164">
        <f t="shared" ref="B828:B891" si="48">100*(I828/O828)/(I$8/O$8)</f>
        <v>158.18012378065552</v>
      </c>
      <c r="H828" s="165">
        <f t="shared" si="46"/>
        <v>2016.1249999999427</v>
      </c>
      <c r="I828" s="172">
        <v>175.285</v>
      </c>
      <c r="J828" s="163" t="s">
        <v>246</v>
      </c>
      <c r="N828" s="165">
        <f t="shared" si="45"/>
        <v>2016.1249999999427</v>
      </c>
      <c r="O828" s="177">
        <v>237.11099999999999</v>
      </c>
      <c r="P828" s="163" t="s">
        <v>241</v>
      </c>
    </row>
    <row r="829" spans="1:16" ht="13.15">
      <c r="A829" s="164">
        <f t="shared" si="47"/>
        <v>2016.208333333276</v>
      </c>
      <c r="B829" s="164">
        <f t="shared" si="48"/>
        <v>158.68710480612606</v>
      </c>
      <c r="H829" s="165">
        <f t="shared" si="46"/>
        <v>2016.208333333276</v>
      </c>
      <c r="I829" s="172">
        <v>176.60400000000001</v>
      </c>
      <c r="J829" s="163" t="s">
        <v>246</v>
      </c>
      <c r="N829" s="165">
        <f t="shared" si="45"/>
        <v>2016.208333333276</v>
      </c>
      <c r="O829" s="177">
        <v>238.13200000000001</v>
      </c>
      <c r="P829" s="163" t="s">
        <v>241</v>
      </c>
    </row>
    <row r="830" spans="1:16" ht="13.15">
      <c r="A830" s="164">
        <f t="shared" si="47"/>
        <v>2016.2916666666092</v>
      </c>
      <c r="B830" s="164">
        <f t="shared" si="48"/>
        <v>159.63123293375938</v>
      </c>
      <c r="H830" s="165">
        <f t="shared" si="46"/>
        <v>2016.2916666666092</v>
      </c>
      <c r="I830" s="172">
        <v>178.49700000000001</v>
      </c>
      <c r="J830" s="163" t="s">
        <v>246</v>
      </c>
      <c r="N830" s="165">
        <f t="shared" si="45"/>
        <v>2016.2916666666092</v>
      </c>
      <c r="O830" s="174">
        <v>239.261</v>
      </c>
      <c r="P830" s="163" t="s">
        <v>241</v>
      </c>
    </row>
    <row r="831" spans="1:16" ht="13.15">
      <c r="A831" s="164">
        <f t="shared" si="47"/>
        <v>2016.3749999999425</v>
      </c>
      <c r="B831" s="164">
        <f t="shared" si="48"/>
        <v>160.63313109097487</v>
      </c>
      <c r="H831" s="165">
        <f t="shared" si="46"/>
        <v>2016.3749999999425</v>
      </c>
      <c r="I831" s="172">
        <v>180.34400000000002</v>
      </c>
      <c r="J831" s="163" t="s">
        <v>246</v>
      </c>
      <c r="N831" s="165">
        <f t="shared" si="45"/>
        <v>2016.3749999999425</v>
      </c>
      <c r="O831" s="177">
        <v>240.22900000000001</v>
      </c>
      <c r="P831" s="163" t="s">
        <v>241</v>
      </c>
    </row>
    <row r="832" spans="1:16" ht="13.15">
      <c r="A832" s="164">
        <f t="shared" si="47"/>
        <v>2016.4583333332757</v>
      </c>
      <c r="B832" s="164">
        <f t="shared" si="48"/>
        <v>161.50288325101565</v>
      </c>
      <c r="H832" s="165">
        <f t="shared" si="46"/>
        <v>2016.4583333332757</v>
      </c>
      <c r="I832" s="172">
        <v>181.916</v>
      </c>
      <c r="J832" s="163" t="s">
        <v>246</v>
      </c>
      <c r="N832" s="165">
        <f t="shared" si="45"/>
        <v>2016.4583333332757</v>
      </c>
      <c r="O832" s="177">
        <v>241.018</v>
      </c>
      <c r="P832" s="163" t="s">
        <v>241</v>
      </c>
    </row>
    <row r="833" spans="1:16" ht="13.15">
      <c r="A833" s="164">
        <f t="shared" si="47"/>
        <v>2016.541666666609</v>
      </c>
      <c r="B833" s="164">
        <f t="shared" si="48"/>
        <v>162.74634724373752</v>
      </c>
      <c r="H833" s="165">
        <f t="shared" si="46"/>
        <v>2016.541666666609</v>
      </c>
      <c r="I833" s="172">
        <v>183.02</v>
      </c>
      <c r="J833" s="163" t="s">
        <v>246</v>
      </c>
      <c r="N833" s="165">
        <f t="shared" si="45"/>
        <v>2016.541666666609</v>
      </c>
      <c r="O833" s="177">
        <v>240.62799999999999</v>
      </c>
      <c r="P833" s="163" t="s">
        <v>241</v>
      </c>
    </row>
    <row r="834" spans="1:16" ht="13.15">
      <c r="A834" s="164">
        <f t="shared" si="47"/>
        <v>2016.6249999999422</v>
      </c>
      <c r="B834" s="164">
        <f t="shared" si="48"/>
        <v>163.1638195809752</v>
      </c>
      <c r="H834" s="165">
        <f t="shared" si="46"/>
        <v>2016.6249999999422</v>
      </c>
      <c r="I834" s="172">
        <v>183.65799999999999</v>
      </c>
      <c r="J834" s="163" t="s">
        <v>246</v>
      </c>
      <c r="N834" s="165">
        <f t="shared" si="45"/>
        <v>2016.6249999999422</v>
      </c>
      <c r="O834" s="177">
        <v>240.84899999999999</v>
      </c>
      <c r="P834" s="163" t="s">
        <v>241</v>
      </c>
    </row>
    <row r="835" spans="1:16" ht="13.15">
      <c r="A835" s="164">
        <f t="shared" si="47"/>
        <v>2016.7083333332755</v>
      </c>
      <c r="B835" s="164">
        <f t="shared" si="48"/>
        <v>163.02953649019486</v>
      </c>
      <c r="H835" s="165">
        <f t="shared" si="46"/>
        <v>2016.7083333332755</v>
      </c>
      <c r="I835" s="172">
        <v>183.94799999999998</v>
      </c>
      <c r="J835" s="163" t="s">
        <v>246</v>
      </c>
      <c r="N835" s="165">
        <f t="shared" si="45"/>
        <v>2016.7083333332755</v>
      </c>
      <c r="O835" s="177">
        <v>241.428</v>
      </c>
      <c r="P835" s="163" t="s">
        <v>241</v>
      </c>
    </row>
    <row r="836" spans="1:16" ht="13.15">
      <c r="A836" s="164">
        <f t="shared" si="47"/>
        <v>2016.7916666666088</v>
      </c>
      <c r="B836" s="164">
        <f t="shared" si="48"/>
        <v>162.89292102514227</v>
      </c>
      <c r="H836" s="165">
        <f t="shared" si="46"/>
        <v>2016.7916666666088</v>
      </c>
      <c r="I836" s="172">
        <v>184.023</v>
      </c>
      <c r="J836" s="163" t="s">
        <v>246</v>
      </c>
      <c r="N836" s="165">
        <f t="shared" si="45"/>
        <v>2016.7916666666088</v>
      </c>
      <c r="O836" s="177">
        <v>241.72900000000001</v>
      </c>
      <c r="P836" s="163" t="s">
        <v>241</v>
      </c>
    </row>
    <row r="837" spans="1:16" ht="13.15">
      <c r="A837" s="164">
        <f t="shared" si="47"/>
        <v>2016.874999999942</v>
      </c>
      <c r="B837" s="164">
        <f t="shared" si="48"/>
        <v>163.33463918170472</v>
      </c>
      <c r="H837" s="165">
        <f t="shared" si="46"/>
        <v>2016.874999999942</v>
      </c>
      <c r="I837" s="172">
        <v>184.23500000000001</v>
      </c>
      <c r="J837" s="163" t="s">
        <v>246</v>
      </c>
      <c r="N837" s="165">
        <f t="shared" si="45"/>
        <v>2016.874999999942</v>
      </c>
      <c r="O837" s="177">
        <v>241.35300000000001</v>
      </c>
      <c r="P837" s="163" t="s">
        <v>241</v>
      </c>
    </row>
    <row r="838" spans="1:16" ht="13.15">
      <c r="A838" s="164">
        <f t="shared" si="47"/>
        <v>2016.9583333332753</v>
      </c>
      <c r="B838" s="164">
        <f t="shared" si="48"/>
        <v>163.4336314847811</v>
      </c>
      <c r="H838" s="165">
        <f t="shared" si="46"/>
        <v>2016.9583333332753</v>
      </c>
      <c r="I838" s="172">
        <v>184.40700000000001</v>
      </c>
      <c r="J838" s="163" t="s">
        <v>246</v>
      </c>
      <c r="N838" s="165">
        <f t="shared" si="45"/>
        <v>2016.9583333332753</v>
      </c>
      <c r="O838" s="177">
        <v>241.43199999999999</v>
      </c>
      <c r="P838" s="163" t="s">
        <v>241</v>
      </c>
    </row>
    <row r="839" spans="1:16" ht="13.15">
      <c r="A839" s="164">
        <f t="shared" si="47"/>
        <v>2017.0416666666085</v>
      </c>
      <c r="B839" s="164">
        <f t="shared" si="48"/>
        <v>162.70874817592181</v>
      </c>
      <c r="H839" s="165">
        <f t="shared" si="46"/>
        <v>2017.0416666666085</v>
      </c>
      <c r="I839" s="172">
        <v>184.65900000000002</v>
      </c>
      <c r="J839" s="163" t="s">
        <v>246</v>
      </c>
      <c r="N839" s="165">
        <f t="shared" si="45"/>
        <v>2017.0416666666085</v>
      </c>
      <c r="O839" s="177">
        <v>242.839</v>
      </c>
      <c r="P839" s="163" t="s">
        <v>241</v>
      </c>
    </row>
    <row r="840" spans="1:16" ht="13.15">
      <c r="A840" s="164">
        <f t="shared" si="47"/>
        <v>2017.1249999999418</v>
      </c>
      <c r="B840" s="164">
        <f t="shared" si="48"/>
        <v>162.52081365339163</v>
      </c>
      <c r="H840" s="165">
        <f t="shared" si="46"/>
        <v>2017.1249999999418</v>
      </c>
      <c r="I840" s="172">
        <v>185.02599999999998</v>
      </c>
      <c r="J840" s="163" t="s">
        <v>246</v>
      </c>
      <c r="N840" s="165">
        <f t="shared" si="45"/>
        <v>2017.1249999999418</v>
      </c>
      <c r="O840" s="177">
        <v>243.60300000000001</v>
      </c>
      <c r="P840" s="163" t="s">
        <v>241</v>
      </c>
    </row>
    <row r="841" spans="1:16" ht="13.15">
      <c r="A841" s="164">
        <f t="shared" si="47"/>
        <v>2017.208333333275</v>
      </c>
      <c r="B841" s="164">
        <f t="shared" si="48"/>
        <v>163.71320437377989</v>
      </c>
      <c r="H841" s="165">
        <f t="shared" si="46"/>
        <v>2017.208333333275</v>
      </c>
      <c r="I841" s="172">
        <v>186.535</v>
      </c>
      <c r="J841" s="163" t="s">
        <v>246</v>
      </c>
      <c r="N841" s="165">
        <f t="shared" ref="N841:N904" si="49">N840+1/12</f>
        <v>2017.208333333275</v>
      </c>
      <c r="O841" s="177">
        <v>243.80099999999999</v>
      </c>
      <c r="P841" s="163" t="s">
        <v>241</v>
      </c>
    </row>
    <row r="842" spans="1:16" ht="13.15">
      <c r="A842" s="164">
        <f t="shared" si="47"/>
        <v>2017.2916666666083</v>
      </c>
      <c r="B842" s="164">
        <f t="shared" si="48"/>
        <v>164.99238692259593</v>
      </c>
      <c r="H842" s="165">
        <f t="shared" si="46"/>
        <v>2017.2916666666083</v>
      </c>
      <c r="I842" s="172">
        <v>188.55</v>
      </c>
      <c r="J842" s="163" t="s">
        <v>246</v>
      </c>
      <c r="N842" s="165">
        <f t="shared" si="49"/>
        <v>2017.2916666666083</v>
      </c>
      <c r="O842" s="177">
        <v>244.524</v>
      </c>
      <c r="P842" s="163" t="s">
        <v>241</v>
      </c>
    </row>
    <row r="843" spans="1:16" ht="13.15">
      <c r="A843" s="164">
        <f t="shared" si="47"/>
        <v>2017.3749999999416</v>
      </c>
      <c r="B843" s="164">
        <f t="shared" si="48"/>
        <v>166.59835968241805</v>
      </c>
      <c r="H843" s="165">
        <f t="shared" si="46"/>
        <v>2017.3749999999416</v>
      </c>
      <c r="I843" s="172">
        <v>190.548</v>
      </c>
      <c r="J843" s="163" t="s">
        <v>246</v>
      </c>
      <c r="N843" s="165">
        <f t="shared" si="49"/>
        <v>2017.3749999999416</v>
      </c>
      <c r="O843" s="177">
        <v>244.733</v>
      </c>
      <c r="P843" s="163" t="s">
        <v>241</v>
      </c>
    </row>
    <row r="844" spans="1:16" ht="13.15">
      <c r="A844" s="164">
        <f t="shared" si="47"/>
        <v>2017.4583333332748</v>
      </c>
      <c r="B844" s="164">
        <f t="shared" si="48"/>
        <v>167.95681494894549</v>
      </c>
      <c r="H844" s="165">
        <f t="shared" si="46"/>
        <v>2017.4583333332748</v>
      </c>
      <c r="I844" s="172">
        <v>192.27599999999998</v>
      </c>
      <c r="J844" s="163" t="s">
        <v>246</v>
      </c>
      <c r="N844" s="165">
        <f t="shared" si="49"/>
        <v>2017.4583333332748</v>
      </c>
      <c r="O844" s="177">
        <v>244.95500000000001</v>
      </c>
      <c r="P844" s="163" t="s">
        <v>241</v>
      </c>
    </row>
    <row r="845" spans="1:16" ht="13.15">
      <c r="A845" s="164">
        <f t="shared" si="47"/>
        <v>2017.5416666666081</v>
      </c>
      <c r="B845" s="164">
        <f t="shared" si="48"/>
        <v>169.16192875781576</v>
      </c>
      <c r="H845" s="165">
        <f t="shared" si="46"/>
        <v>2017.5416666666081</v>
      </c>
      <c r="I845" s="172">
        <v>193.52200000000002</v>
      </c>
      <c r="J845" s="163" t="s">
        <v>246</v>
      </c>
      <c r="N845" s="165">
        <f t="shared" si="49"/>
        <v>2017.5416666666081</v>
      </c>
      <c r="O845" s="177">
        <v>244.786</v>
      </c>
      <c r="P845" s="163" t="s">
        <v>241</v>
      </c>
    </row>
    <row r="846" spans="1:16" ht="13.15">
      <c r="A846" s="164">
        <f t="shared" si="47"/>
        <v>2017.6249999999413</v>
      </c>
      <c r="B846" s="164">
        <f t="shared" si="48"/>
        <v>169.38460689556371</v>
      </c>
      <c r="H846" s="165">
        <f t="shared" si="46"/>
        <v>2017.6249999999413</v>
      </c>
      <c r="I846" s="172">
        <v>194.357</v>
      </c>
      <c r="J846" s="163" t="s">
        <v>246</v>
      </c>
      <c r="N846" s="165">
        <f t="shared" si="49"/>
        <v>2017.6249999999413</v>
      </c>
      <c r="O846" s="177">
        <v>245.51900000000001</v>
      </c>
      <c r="P846" s="163" t="s">
        <v>241</v>
      </c>
    </row>
    <row r="847" spans="1:16" ht="13.15">
      <c r="A847" s="164">
        <f t="shared" si="47"/>
        <v>2017.7083333332746</v>
      </c>
      <c r="B847" s="164">
        <f t="shared" si="48"/>
        <v>168.89904185132309</v>
      </c>
      <c r="H847" s="165">
        <f t="shared" si="46"/>
        <v>2017.7083333332746</v>
      </c>
      <c r="I847" s="172">
        <v>194.82599999999999</v>
      </c>
      <c r="J847" s="163" t="s">
        <v>246</v>
      </c>
      <c r="N847" s="165">
        <f t="shared" si="49"/>
        <v>2017.7083333332746</v>
      </c>
      <c r="O847" s="177">
        <v>246.81899999999999</v>
      </c>
      <c r="P847" s="163" t="s">
        <v>241</v>
      </c>
    </row>
    <row r="848" spans="1:16" ht="13.15">
      <c r="A848" s="164">
        <f t="shared" si="47"/>
        <v>2017.7916666666079</v>
      </c>
      <c r="B848" s="164">
        <f t="shared" si="48"/>
        <v>169.23660789645788</v>
      </c>
      <c r="H848" s="165">
        <f t="shared" si="46"/>
        <v>2017.7916666666079</v>
      </c>
      <c r="I848" s="172">
        <v>195.09200000000001</v>
      </c>
      <c r="J848" s="163" t="s">
        <v>246</v>
      </c>
      <c r="N848" s="165">
        <f t="shared" si="49"/>
        <v>2017.7916666666079</v>
      </c>
      <c r="O848" s="177">
        <v>246.66300000000001</v>
      </c>
      <c r="P848" s="163" t="s">
        <v>241</v>
      </c>
    </row>
    <row r="849" spans="1:16" ht="13.15">
      <c r="A849" s="164">
        <f t="shared" si="47"/>
        <v>2017.8749999999411</v>
      </c>
      <c r="B849" s="164">
        <f t="shared" si="48"/>
        <v>169.54911049946409</v>
      </c>
      <c r="H849" s="165">
        <f t="shared" si="46"/>
        <v>2017.8749999999411</v>
      </c>
      <c r="I849" s="172">
        <v>195.45699999999999</v>
      </c>
      <c r="J849" s="163" t="s">
        <v>246</v>
      </c>
      <c r="N849" s="165">
        <f t="shared" si="49"/>
        <v>2017.8749999999411</v>
      </c>
      <c r="O849" s="177">
        <v>246.66900000000001</v>
      </c>
      <c r="P849" s="163" t="s">
        <v>241</v>
      </c>
    </row>
    <row r="850" spans="1:16" ht="13.15">
      <c r="A850" s="164">
        <f t="shared" si="47"/>
        <v>2017.9583333332744</v>
      </c>
      <c r="B850" s="164">
        <f t="shared" si="48"/>
        <v>169.99167971602506</v>
      </c>
      <c r="H850" s="165">
        <f t="shared" si="46"/>
        <v>2017.9583333332744</v>
      </c>
      <c r="I850" s="172">
        <v>195.852</v>
      </c>
      <c r="J850" s="163" t="s">
        <v>246</v>
      </c>
      <c r="N850" s="165">
        <f t="shared" si="49"/>
        <v>2017.9583333332744</v>
      </c>
      <c r="O850" s="177">
        <v>246.524</v>
      </c>
      <c r="P850" s="163" t="s">
        <v>241</v>
      </c>
    </row>
    <row r="851" spans="1:16" ht="13.15">
      <c r="A851" s="164">
        <f t="shared" si="47"/>
        <v>2018.0416666666076</v>
      </c>
      <c r="B851" s="164">
        <f t="shared" si="48"/>
        <v>169.30197888005193</v>
      </c>
      <c r="H851" s="165">
        <f t="shared" si="46"/>
        <v>2018.0416666666076</v>
      </c>
      <c r="I851" s="172">
        <v>196.12</v>
      </c>
      <c r="J851" s="163" t="s">
        <v>246</v>
      </c>
      <c r="N851" s="165">
        <f t="shared" si="49"/>
        <v>2018.0416666666076</v>
      </c>
      <c r="O851" s="177">
        <v>247.86699999999999</v>
      </c>
      <c r="P851" s="163" t="s">
        <v>241</v>
      </c>
    </row>
    <row r="852" spans="1:16" ht="13.15">
      <c r="A852" s="164">
        <f t="shared" si="47"/>
        <v>2018.1249999999409</v>
      </c>
      <c r="B852" s="164">
        <f t="shared" si="48"/>
        <v>169.21574776261335</v>
      </c>
      <c r="H852" s="165">
        <f t="shared" si="46"/>
        <v>2018.1249999999409</v>
      </c>
      <c r="I852" s="172">
        <v>196.90900000000002</v>
      </c>
      <c r="J852" s="163" t="s">
        <v>246</v>
      </c>
      <c r="N852" s="165">
        <f t="shared" si="49"/>
        <v>2018.1249999999409</v>
      </c>
      <c r="O852" s="177">
        <v>248.99100000000001</v>
      </c>
      <c r="P852" s="163" t="s">
        <v>241</v>
      </c>
    </row>
    <row r="853" spans="1:16" ht="13.15">
      <c r="A853" s="164">
        <f t="shared" si="47"/>
        <v>2018.2083333332741</v>
      </c>
      <c r="B853" s="164">
        <f t="shared" si="48"/>
        <v>170.26502918478647</v>
      </c>
      <c r="H853" s="165">
        <f t="shared" si="46"/>
        <v>2018.2083333332741</v>
      </c>
      <c r="I853" s="172">
        <v>198.578</v>
      </c>
      <c r="J853" s="163" t="s">
        <v>246</v>
      </c>
      <c r="N853" s="165">
        <f t="shared" si="49"/>
        <v>2018.2083333332741</v>
      </c>
      <c r="O853" s="177">
        <v>249.554</v>
      </c>
      <c r="P853" s="163" t="s">
        <v>241</v>
      </c>
    </row>
    <row r="854" spans="1:16" ht="13.15">
      <c r="A854" s="164">
        <f t="shared" si="47"/>
        <v>2018.2916666666074</v>
      </c>
      <c r="B854" s="164">
        <f t="shared" si="48"/>
        <v>171.33566616875018</v>
      </c>
      <c r="H854" s="165">
        <f t="shared" si="46"/>
        <v>2018.2916666666074</v>
      </c>
      <c r="I854" s="172">
        <v>200.62099999999998</v>
      </c>
      <c r="J854" s="163" t="s">
        <v>246</v>
      </c>
      <c r="N854" s="165">
        <f t="shared" si="49"/>
        <v>2018.2916666666074</v>
      </c>
      <c r="O854" s="177">
        <v>250.54599999999999</v>
      </c>
      <c r="P854" s="163" t="s">
        <v>241</v>
      </c>
    </row>
    <row r="855" spans="1:16" ht="13.15">
      <c r="A855" s="164">
        <f t="shared" si="47"/>
        <v>2018.3749999999407</v>
      </c>
      <c r="B855" s="164">
        <f t="shared" si="48"/>
        <v>172.19009673855885</v>
      </c>
      <c r="H855" s="165">
        <f t="shared" si="46"/>
        <v>2018.3749999999407</v>
      </c>
      <c r="I855" s="172">
        <v>202.46</v>
      </c>
      <c r="J855" s="163" t="s">
        <v>246</v>
      </c>
      <c r="N855" s="165">
        <f t="shared" si="49"/>
        <v>2018.3749999999407</v>
      </c>
      <c r="O855" s="177">
        <v>251.58799999999999</v>
      </c>
      <c r="P855" s="163" t="s">
        <v>241</v>
      </c>
    </row>
    <row r="856" spans="1:16" ht="13.15">
      <c r="A856" s="164">
        <f t="shared" si="47"/>
        <v>2018.4583333332739</v>
      </c>
      <c r="B856" s="164">
        <f t="shared" si="48"/>
        <v>173.2687575910256</v>
      </c>
      <c r="H856" s="165">
        <f t="shared" si="46"/>
        <v>2018.4583333332739</v>
      </c>
      <c r="I856" s="172">
        <v>204.053</v>
      </c>
      <c r="J856" s="163" t="s">
        <v>246</v>
      </c>
      <c r="N856" s="165">
        <f t="shared" si="49"/>
        <v>2018.4583333332739</v>
      </c>
      <c r="O856" s="177">
        <v>251.989</v>
      </c>
      <c r="P856" s="163" t="s">
        <v>241</v>
      </c>
    </row>
    <row r="857" spans="1:16" ht="13.15">
      <c r="A857" s="164">
        <f t="shared" si="47"/>
        <v>2018.5416666666072</v>
      </c>
      <c r="B857" s="164">
        <f t="shared" si="48"/>
        <v>174.02888170073302</v>
      </c>
      <c r="H857" s="165">
        <f t="shared" si="46"/>
        <v>2018.5416666666072</v>
      </c>
      <c r="I857" s="172">
        <v>204.96200000000002</v>
      </c>
      <c r="J857" s="163" t="s">
        <v>246</v>
      </c>
      <c r="N857" s="165">
        <f t="shared" si="49"/>
        <v>2018.5416666666072</v>
      </c>
      <c r="O857" s="177">
        <v>252.006</v>
      </c>
      <c r="P857" s="163" t="s">
        <v>241</v>
      </c>
    </row>
    <row r="858" spans="1:16" ht="13.15">
      <c r="A858" s="164">
        <f t="shared" si="47"/>
        <v>2018.6249999999404</v>
      </c>
      <c r="B858" s="164">
        <f t="shared" si="48"/>
        <v>174.25302854046242</v>
      </c>
      <c r="H858" s="165">
        <f t="shared" si="46"/>
        <v>2018.6249999999404</v>
      </c>
      <c r="I858" s="172">
        <v>205.34</v>
      </c>
      <c r="J858" s="163" t="s">
        <v>246</v>
      </c>
      <c r="N858" s="165">
        <f t="shared" si="49"/>
        <v>2018.6249999999404</v>
      </c>
      <c r="O858" s="177">
        <v>252.14599999999999</v>
      </c>
      <c r="P858" s="163" t="s">
        <v>241</v>
      </c>
    </row>
    <row r="859" spans="1:16" ht="13.15">
      <c r="A859" s="164">
        <f t="shared" si="47"/>
        <v>2018.7083333332737</v>
      </c>
      <c r="B859" s="164">
        <f t="shared" si="48"/>
        <v>174.08976778447717</v>
      </c>
      <c r="H859" s="165">
        <f t="shared" si="46"/>
        <v>2018.7083333332737</v>
      </c>
      <c r="I859" s="172">
        <v>205.386</v>
      </c>
      <c r="J859" s="163" t="s">
        <v>246</v>
      </c>
      <c r="N859" s="165">
        <f t="shared" si="49"/>
        <v>2018.7083333332737</v>
      </c>
      <c r="O859" s="177">
        <v>252.43899999999999</v>
      </c>
      <c r="P859" s="163" t="s">
        <v>241</v>
      </c>
    </row>
    <row r="860" spans="1:16" ht="13.15">
      <c r="A860" s="164">
        <f t="shared" si="47"/>
        <v>2018.7916666666069</v>
      </c>
      <c r="B860" s="164">
        <f t="shared" si="48"/>
        <v>173.77850416209017</v>
      </c>
      <c r="H860" s="165">
        <f t="shared" si="46"/>
        <v>2018.7916666666069</v>
      </c>
      <c r="I860" s="172">
        <v>205.38099999999997</v>
      </c>
      <c r="J860" s="163" t="s">
        <v>246</v>
      </c>
      <c r="N860" s="165">
        <f t="shared" si="49"/>
        <v>2018.7916666666069</v>
      </c>
      <c r="O860" s="177">
        <v>252.88499999999999</v>
      </c>
      <c r="P860" s="163" t="s">
        <v>241</v>
      </c>
    </row>
    <row r="861" spans="1:16" ht="13.15">
      <c r="A861" s="164">
        <f t="shared" si="47"/>
        <v>2018.8749999999402</v>
      </c>
      <c r="B861" s="164">
        <f t="shared" si="48"/>
        <v>174.13922559692253</v>
      </c>
      <c r="H861" s="165">
        <f t="shared" si="46"/>
        <v>2018.8749999999402</v>
      </c>
      <c r="I861" s="172">
        <v>205.11799999999999</v>
      </c>
      <c r="J861" s="163" t="s">
        <v>246</v>
      </c>
      <c r="N861" s="165">
        <f t="shared" si="49"/>
        <v>2018.8749999999402</v>
      </c>
      <c r="O861" s="177">
        <v>252.03800000000001</v>
      </c>
      <c r="P861" s="163" t="s">
        <v>241</v>
      </c>
    </row>
    <row r="862" spans="1:16" ht="13.15">
      <c r="A862" s="164">
        <f t="shared" si="47"/>
        <v>2018.9583333332735</v>
      </c>
      <c r="B862" s="164">
        <f t="shared" si="48"/>
        <v>174.34886025033666</v>
      </c>
      <c r="H862" s="165">
        <f t="shared" si="46"/>
        <v>2018.9583333332735</v>
      </c>
      <c r="I862" s="172">
        <v>204.709</v>
      </c>
      <c r="J862" s="163" t="s">
        <v>246</v>
      </c>
      <c r="N862" s="165">
        <f t="shared" si="49"/>
        <v>2018.9583333332735</v>
      </c>
      <c r="O862" s="177">
        <v>251.233</v>
      </c>
      <c r="P862" s="163" t="s">
        <v>241</v>
      </c>
    </row>
    <row r="863" spans="1:16" ht="13.15">
      <c r="A863" s="164">
        <f>H863</f>
        <v>2019.0416666666067</v>
      </c>
      <c r="B863" s="164">
        <f t="shared" si="48"/>
        <v>173.59714504427973</v>
      </c>
      <c r="H863" s="165">
        <f t="shared" si="46"/>
        <v>2019.0416666666067</v>
      </c>
      <c r="I863" s="172">
        <v>204.215</v>
      </c>
      <c r="J863" s="163" t="s">
        <v>246</v>
      </c>
      <c r="N863" s="165">
        <f t="shared" si="49"/>
        <v>2019.0416666666067</v>
      </c>
      <c r="O863" s="178">
        <v>251.71199999999999</v>
      </c>
      <c r="P863" s="163" t="s">
        <v>241</v>
      </c>
    </row>
    <row r="864" spans="1:16" ht="13.15">
      <c r="A864" s="164">
        <f t="shared" ref="A864:A910" si="50">H864</f>
        <v>2019.12499999994</v>
      </c>
      <c r="B864" s="164">
        <f t="shared" si="48"/>
        <v>173.05942971014079</v>
      </c>
      <c r="H864" s="165">
        <f t="shared" si="46"/>
        <v>2019.12499999994</v>
      </c>
      <c r="I864" s="172">
        <v>204.44299999999998</v>
      </c>
      <c r="J864" s="163" t="s">
        <v>246</v>
      </c>
      <c r="N864" s="165">
        <f t="shared" si="49"/>
        <v>2019.12499999994</v>
      </c>
      <c r="O864" s="178">
        <v>252.77600000000001</v>
      </c>
      <c r="P864" s="163" t="s">
        <v>241</v>
      </c>
    </row>
    <row r="865" spans="1:16" ht="13.15">
      <c r="A865" s="164">
        <f t="shared" si="50"/>
        <v>2019.2083333332732</v>
      </c>
      <c r="B865" s="164">
        <f t="shared" si="48"/>
        <v>173.22244497979761</v>
      </c>
      <c r="H865" s="165">
        <f t="shared" si="46"/>
        <v>2019.2083333332732</v>
      </c>
      <c r="I865" s="172">
        <v>205.79</v>
      </c>
      <c r="J865" s="163" t="s">
        <v>246</v>
      </c>
      <c r="N865" s="165">
        <f t="shared" si="49"/>
        <v>2019.2083333332732</v>
      </c>
      <c r="O865" s="178">
        <v>254.202</v>
      </c>
      <c r="P865" s="163" t="s">
        <v>241</v>
      </c>
    </row>
    <row r="866" spans="1:16" ht="13.15">
      <c r="A866" s="164">
        <f t="shared" si="50"/>
        <v>2019.2916666666065</v>
      </c>
      <c r="B866" s="164">
        <f t="shared" si="48"/>
        <v>173.91099999195862</v>
      </c>
      <c r="H866" s="165">
        <f t="shared" si="46"/>
        <v>2019.2916666666065</v>
      </c>
      <c r="I866" s="172">
        <v>207.702</v>
      </c>
      <c r="J866" s="163" t="s">
        <v>246</v>
      </c>
      <c r="N866" s="165">
        <f t="shared" si="49"/>
        <v>2019.2916666666065</v>
      </c>
      <c r="O866" s="178">
        <v>255.548</v>
      </c>
      <c r="P866" s="163" t="s">
        <v>241</v>
      </c>
    </row>
    <row r="867" spans="1:16" ht="13.15">
      <c r="A867" s="164">
        <f t="shared" si="50"/>
        <v>2019.3749999999397</v>
      </c>
      <c r="B867" s="164">
        <f t="shared" si="48"/>
        <v>174.93106083089609</v>
      </c>
      <c r="H867" s="165">
        <f t="shared" si="46"/>
        <v>2019.3749999999397</v>
      </c>
      <c r="I867" s="172">
        <v>209.36500000000001</v>
      </c>
      <c r="J867" s="163" t="s">
        <v>246</v>
      </c>
      <c r="N867" s="165">
        <f t="shared" si="49"/>
        <v>2019.3749999999397</v>
      </c>
      <c r="O867" s="178">
        <v>256.09199999999998</v>
      </c>
      <c r="P867" s="163" t="s">
        <v>241</v>
      </c>
    </row>
    <row r="868" spans="1:16" ht="13.15">
      <c r="A868" s="164">
        <f t="shared" si="50"/>
        <v>2019.458333333273</v>
      </c>
      <c r="B868" s="164">
        <f t="shared" si="48"/>
        <v>175.93041283132018</v>
      </c>
      <c r="H868" s="165">
        <f t="shared" si="46"/>
        <v>2019.458333333273</v>
      </c>
      <c r="I868" s="172">
        <v>210.60299999999998</v>
      </c>
      <c r="J868" s="163" t="s">
        <v>246</v>
      </c>
      <c r="N868" s="165">
        <f t="shared" si="49"/>
        <v>2019.458333333273</v>
      </c>
      <c r="O868" s="178">
        <v>256.14299999999997</v>
      </c>
      <c r="P868" s="163" t="s">
        <v>241</v>
      </c>
    </row>
    <row r="869" spans="1:16" ht="13.15">
      <c r="A869" s="164">
        <f t="shared" si="50"/>
        <v>2019.5416666666063</v>
      </c>
      <c r="B869" s="164">
        <f t="shared" si="48"/>
        <v>176.26491442914659</v>
      </c>
      <c r="H869" s="165">
        <f t="shared" si="46"/>
        <v>2019.5416666666063</v>
      </c>
      <c r="I869" s="172">
        <v>211.35599999999999</v>
      </c>
      <c r="J869" s="163" t="s">
        <v>246</v>
      </c>
      <c r="N869" s="165">
        <f t="shared" si="49"/>
        <v>2019.5416666666063</v>
      </c>
      <c r="O869" s="178">
        <v>256.57100000000003</v>
      </c>
      <c r="P869" s="163" t="s">
        <v>241</v>
      </c>
    </row>
    <row r="870" spans="1:16" ht="13.15">
      <c r="A870" s="164">
        <f t="shared" si="50"/>
        <v>2019.6249999999395</v>
      </c>
      <c r="B870" s="164">
        <f t="shared" si="48"/>
        <v>176.57325691099223</v>
      </c>
      <c r="H870" s="165">
        <f t="shared" si="46"/>
        <v>2019.6249999999395</v>
      </c>
      <c r="I870" s="172">
        <v>211.715</v>
      </c>
      <c r="J870" s="163" t="s">
        <v>246</v>
      </c>
      <c r="N870" s="165">
        <f t="shared" si="49"/>
        <v>2019.6249999999395</v>
      </c>
      <c r="O870" s="178">
        <v>256.55799999999999</v>
      </c>
      <c r="P870" s="163" t="s">
        <v>241</v>
      </c>
    </row>
    <row r="871" spans="1:16" ht="13.15">
      <c r="A871" s="164">
        <f t="shared" si="50"/>
        <v>2019.7083333332728</v>
      </c>
      <c r="B871" s="164">
        <f t="shared" si="48"/>
        <v>176.58253403969283</v>
      </c>
      <c r="H871" s="165">
        <f t="shared" si="46"/>
        <v>2019.7083333332728</v>
      </c>
      <c r="I871" s="172">
        <v>211.892</v>
      </c>
      <c r="J871" s="163" t="s">
        <v>246</v>
      </c>
      <c r="N871" s="165">
        <f t="shared" si="49"/>
        <v>2019.7083333332728</v>
      </c>
      <c r="O871" s="178">
        <v>256.75900000000001</v>
      </c>
      <c r="P871" s="163" t="s">
        <v>241</v>
      </c>
    </row>
    <row r="872" spans="1:16" ht="13.15">
      <c r="A872" s="164">
        <f t="shared" si="50"/>
        <v>2019.791666666606</v>
      </c>
      <c r="B872" s="164">
        <f t="shared" si="48"/>
        <v>176.2562478851892</v>
      </c>
      <c r="H872" s="165">
        <f t="shared" ref="H872:H923" si="51">H871+1/12</f>
        <v>2019.791666666606</v>
      </c>
      <c r="I872" s="172">
        <v>211.98400000000001</v>
      </c>
      <c r="J872" s="163" t="s">
        <v>246</v>
      </c>
      <c r="N872" s="165">
        <f t="shared" si="49"/>
        <v>2019.791666666606</v>
      </c>
      <c r="O872" s="178">
        <v>257.346</v>
      </c>
      <c r="P872" s="163" t="s">
        <v>241</v>
      </c>
    </row>
    <row r="873" spans="1:16" ht="13.15">
      <c r="A873" s="164">
        <f t="shared" si="50"/>
        <v>2019.8749999999393</v>
      </c>
      <c r="B873" s="164">
        <f t="shared" si="48"/>
        <v>176.46478593770564</v>
      </c>
      <c r="H873" s="165">
        <f t="shared" si="51"/>
        <v>2019.8749999999393</v>
      </c>
      <c r="I873" s="172">
        <v>212.12099999999998</v>
      </c>
      <c r="J873" s="163" t="s">
        <v>246</v>
      </c>
      <c r="N873" s="165">
        <f t="shared" si="49"/>
        <v>2019.8749999999393</v>
      </c>
      <c r="O873" s="178">
        <v>257.20800000000003</v>
      </c>
      <c r="P873" s="163" t="s">
        <v>241</v>
      </c>
    </row>
    <row r="874" spans="1:16" ht="13.15">
      <c r="A874" s="164">
        <f t="shared" si="50"/>
        <v>2019.9583333332725</v>
      </c>
      <c r="B874" s="164">
        <f t="shared" si="48"/>
        <v>176.73372070352355</v>
      </c>
      <c r="H874" s="165">
        <f t="shared" si="51"/>
        <v>2019.9583333332725</v>
      </c>
      <c r="I874" s="172">
        <v>212.25099999999998</v>
      </c>
      <c r="J874" s="163" t="s">
        <v>246</v>
      </c>
      <c r="N874" s="165">
        <f t="shared" si="49"/>
        <v>2019.9583333332725</v>
      </c>
      <c r="O874" s="178">
        <v>256.97399999999999</v>
      </c>
      <c r="P874" s="163" t="s">
        <v>241</v>
      </c>
    </row>
    <row r="875" spans="1:16" ht="13.15">
      <c r="A875" s="164">
        <f t="shared" si="50"/>
        <v>2020.0416666666058</v>
      </c>
      <c r="B875" s="164">
        <f t="shared" si="48"/>
        <v>176.18505475750393</v>
      </c>
      <c r="H875" s="165">
        <f t="shared" si="51"/>
        <v>2020.0416666666058</v>
      </c>
      <c r="I875" s="172">
        <v>212.41299999999998</v>
      </c>
      <c r="J875" s="163" t="s">
        <v>246</v>
      </c>
      <c r="N875" s="165">
        <f t="shared" si="49"/>
        <v>2020.0416666666058</v>
      </c>
      <c r="O875" s="178">
        <v>257.971</v>
      </c>
      <c r="P875" s="163" t="s">
        <v>241</v>
      </c>
    </row>
    <row r="876" spans="1:16" ht="13.15">
      <c r="A876" s="164">
        <f t="shared" si="50"/>
        <v>2020.1249999999391</v>
      </c>
      <c r="B876" s="164">
        <f t="shared" si="48"/>
        <v>176.38345943632271</v>
      </c>
      <c r="H876" s="165">
        <f t="shared" si="51"/>
        <v>2020.1249999999391</v>
      </c>
      <c r="I876" s="172">
        <v>213.23500000000001</v>
      </c>
      <c r="J876" s="163" t="s">
        <v>246</v>
      </c>
      <c r="N876" s="165">
        <f t="shared" si="49"/>
        <v>2020.1249999999391</v>
      </c>
      <c r="O876" s="178">
        <v>258.678</v>
      </c>
      <c r="P876" s="163" t="s">
        <v>241</v>
      </c>
    </row>
    <row r="877" spans="1:16" ht="13.15">
      <c r="A877" s="164">
        <f t="shared" si="50"/>
        <v>2020.2083333332723</v>
      </c>
      <c r="B877" s="164">
        <f t="shared" si="48"/>
        <v>178.40791508243859</v>
      </c>
      <c r="H877" s="165">
        <f t="shared" si="51"/>
        <v>2020.2083333332723</v>
      </c>
      <c r="I877" s="172">
        <v>215.21299999999999</v>
      </c>
      <c r="J877" s="163" t="s">
        <v>246</v>
      </c>
      <c r="N877" s="165">
        <f t="shared" si="49"/>
        <v>2020.2083333332723</v>
      </c>
      <c r="O877" s="178">
        <v>258.11500000000001</v>
      </c>
      <c r="P877" s="163" t="s">
        <v>241</v>
      </c>
    </row>
    <row r="878" spans="1:16" ht="13.15">
      <c r="A878" s="164">
        <f t="shared" si="50"/>
        <v>2020.2916666666056</v>
      </c>
      <c r="B878" s="164">
        <f t="shared" si="48"/>
        <v>181.31730150673971</v>
      </c>
      <c r="H878" s="165">
        <f t="shared" si="51"/>
        <v>2020.2916666666056</v>
      </c>
      <c r="I878" s="172">
        <v>217.26</v>
      </c>
      <c r="J878" s="163" t="s">
        <v>246</v>
      </c>
      <c r="N878" s="165">
        <f t="shared" si="49"/>
        <v>2020.2916666666056</v>
      </c>
      <c r="O878" s="177">
        <v>256.38900000000001</v>
      </c>
      <c r="P878" s="163" t="s">
        <v>241</v>
      </c>
    </row>
    <row r="879" spans="1:16" ht="13.15">
      <c r="A879" s="164">
        <f t="shared" si="50"/>
        <v>2020.3749999999388</v>
      </c>
      <c r="B879" s="164">
        <f t="shared" si="48"/>
        <v>182.35611528324571</v>
      </c>
      <c r="H879" s="165">
        <f t="shared" si="51"/>
        <v>2020.3749999999388</v>
      </c>
      <c r="I879" s="172">
        <v>218.50900000000001</v>
      </c>
      <c r="J879" s="163" t="s">
        <v>246</v>
      </c>
      <c r="N879" s="165">
        <f t="shared" si="49"/>
        <v>2020.3749999999388</v>
      </c>
      <c r="O879" s="178">
        <v>256.39400000000001</v>
      </c>
      <c r="P879" s="163" t="s">
        <v>241</v>
      </c>
    </row>
    <row r="880" spans="1:16" ht="13.15">
      <c r="A880" s="164">
        <f t="shared" si="50"/>
        <v>2020.4583333332721</v>
      </c>
      <c r="B880" s="164">
        <f t="shared" si="48"/>
        <v>182.46427206085227</v>
      </c>
      <c r="H880" s="165">
        <f t="shared" si="51"/>
        <v>2020.4583333332721</v>
      </c>
      <c r="I880" s="172">
        <v>219.83500000000001</v>
      </c>
      <c r="J880" s="163" t="s">
        <v>246</v>
      </c>
      <c r="N880" s="165">
        <f t="shared" si="49"/>
        <v>2020.4583333332721</v>
      </c>
      <c r="O880" s="178">
        <v>257.79700000000003</v>
      </c>
      <c r="P880" s="163" t="s">
        <v>241</v>
      </c>
    </row>
    <row r="881" spans="1:16" ht="13.15">
      <c r="A881" s="164">
        <f t="shared" si="50"/>
        <v>2020.5416666666054</v>
      </c>
      <c r="B881" s="164">
        <f t="shared" si="48"/>
        <v>182.99529704476916</v>
      </c>
      <c r="H881" s="165">
        <f t="shared" si="51"/>
        <v>2020.5416666666054</v>
      </c>
      <c r="I881" s="172">
        <v>221.59</v>
      </c>
      <c r="J881" s="163" t="s">
        <v>246</v>
      </c>
      <c r="N881" s="165">
        <f t="shared" si="49"/>
        <v>2020.5416666666054</v>
      </c>
      <c r="O881" s="179">
        <v>259.101</v>
      </c>
      <c r="P881" s="163" t="s">
        <v>241</v>
      </c>
    </row>
    <row r="882" spans="1:16" ht="13.15">
      <c r="A882" s="164">
        <f t="shared" si="50"/>
        <v>2020.6249999999386</v>
      </c>
      <c r="B882" s="164">
        <f t="shared" si="48"/>
        <v>184.46170468556662</v>
      </c>
      <c r="H882" s="165">
        <f t="shared" si="51"/>
        <v>2020.6249999999386</v>
      </c>
      <c r="I882" s="172">
        <v>224.07</v>
      </c>
      <c r="J882" s="163" t="s">
        <v>246</v>
      </c>
      <c r="N882" s="165">
        <f t="shared" si="49"/>
        <v>2020.6249999999386</v>
      </c>
      <c r="O882" s="179">
        <v>259.91800000000001</v>
      </c>
      <c r="P882" s="163" t="s">
        <v>241</v>
      </c>
    </row>
    <row r="883" spans="1:16" ht="13.15">
      <c r="A883" s="164">
        <f t="shared" si="50"/>
        <v>2020.7083333332719</v>
      </c>
      <c r="B883" s="164">
        <f t="shared" si="48"/>
        <v>186.4700046745028</v>
      </c>
      <c r="H883" s="165">
        <f t="shared" si="51"/>
        <v>2020.7083333332719</v>
      </c>
      <c r="I883" s="172">
        <v>226.82499999999999</v>
      </c>
      <c r="J883" s="163" t="s">
        <v>246</v>
      </c>
      <c r="N883" s="165">
        <f t="shared" si="49"/>
        <v>2020.7083333332719</v>
      </c>
      <c r="O883" s="179">
        <v>260.27999999999997</v>
      </c>
      <c r="P883" s="163" t="s">
        <v>241</v>
      </c>
    </row>
    <row r="884" spans="1:16" ht="13.15">
      <c r="A884" s="164">
        <f t="shared" si="50"/>
        <v>2020.7916666666051</v>
      </c>
      <c r="B884" s="164">
        <f t="shared" si="48"/>
        <v>188.87105094337252</v>
      </c>
      <c r="H884" s="165">
        <f t="shared" si="51"/>
        <v>2020.7916666666051</v>
      </c>
      <c r="I884" s="172">
        <v>229.84099999999998</v>
      </c>
      <c r="J884" s="163" t="s">
        <v>246</v>
      </c>
      <c r="N884" s="165">
        <f t="shared" si="49"/>
        <v>2020.7916666666051</v>
      </c>
      <c r="O884" s="179">
        <v>260.38799999999998</v>
      </c>
      <c r="P884" s="163" t="s">
        <v>241</v>
      </c>
    </row>
    <row r="885" spans="1:16" ht="13.15">
      <c r="A885" s="164">
        <f t="shared" si="50"/>
        <v>2020.8749999999384</v>
      </c>
      <c r="B885" s="164">
        <f t="shared" si="48"/>
        <v>191.05029531759334</v>
      </c>
      <c r="H885" s="165">
        <f t="shared" si="51"/>
        <v>2020.8749999999384</v>
      </c>
      <c r="I885" s="172">
        <v>232.351</v>
      </c>
      <c r="J885" s="163" t="s">
        <v>246</v>
      </c>
      <c r="N885" s="165">
        <f t="shared" si="49"/>
        <v>2020.8749999999384</v>
      </c>
      <c r="O885" s="179">
        <v>260.22899999999998</v>
      </c>
      <c r="P885" s="163" t="s">
        <v>241</v>
      </c>
    </row>
    <row r="886" spans="1:16" ht="13.15">
      <c r="A886" s="164">
        <f t="shared" si="50"/>
        <v>2020.9583333332716</v>
      </c>
      <c r="B886" s="164">
        <f t="shared" si="48"/>
        <v>192.55790491684962</v>
      </c>
      <c r="H886" s="165">
        <f t="shared" si="51"/>
        <v>2020.9583333332716</v>
      </c>
      <c r="I886" s="172">
        <v>234.405</v>
      </c>
      <c r="J886" s="163" t="s">
        <v>246</v>
      </c>
      <c r="N886" s="165">
        <f t="shared" si="49"/>
        <v>2020.9583333332716</v>
      </c>
      <c r="O886" s="179">
        <v>260.47399999999999</v>
      </c>
      <c r="P886" s="163" t="s">
        <v>241</v>
      </c>
    </row>
    <row r="887" spans="1:16" ht="13.15">
      <c r="A887" s="164">
        <f t="shared" si="50"/>
        <v>2021.0416666666049</v>
      </c>
      <c r="B887" s="164">
        <f t="shared" si="48"/>
        <v>193.4412517990996</v>
      </c>
      <c r="H887" s="165">
        <f t="shared" si="51"/>
        <v>2021.0416666666049</v>
      </c>
      <c r="I887" s="172">
        <v>236.482</v>
      </c>
      <c r="J887" s="163" t="s">
        <v>246</v>
      </c>
      <c r="N887" s="165">
        <f t="shared" si="49"/>
        <v>2021.0416666666049</v>
      </c>
      <c r="O887" s="179">
        <v>261.58199999999999</v>
      </c>
      <c r="P887" s="163" t="s">
        <v>241</v>
      </c>
    </row>
    <row r="888" spans="1:16" ht="13.15">
      <c r="A888" s="164">
        <f t="shared" si="50"/>
        <v>2021.1249999999382</v>
      </c>
      <c r="B888" s="164">
        <f t="shared" si="48"/>
        <v>194.64155740939617</v>
      </c>
      <c r="H888" s="165">
        <f t="shared" si="51"/>
        <v>2021.1249999999382</v>
      </c>
      <c r="I888" s="172">
        <v>239.25200000000001</v>
      </c>
      <c r="J888" s="163" t="s">
        <v>246</v>
      </c>
      <c r="N888" s="165">
        <f t="shared" si="49"/>
        <v>2021.1249999999382</v>
      </c>
      <c r="O888" s="179">
        <v>263.01400000000001</v>
      </c>
      <c r="P888" s="163" t="s">
        <v>241</v>
      </c>
    </row>
    <row r="889" spans="1:16" ht="13.15">
      <c r="A889" s="164">
        <f t="shared" si="50"/>
        <v>2021.2083333332714</v>
      </c>
      <c r="B889" s="164">
        <f t="shared" si="48"/>
        <v>197.3084239256672</v>
      </c>
      <c r="H889" s="165">
        <f t="shared" si="51"/>
        <v>2021.2083333332714</v>
      </c>
      <c r="I889" s="172">
        <v>244.24799999999999</v>
      </c>
      <c r="J889" s="163" t="s">
        <v>246</v>
      </c>
      <c r="N889" s="165">
        <f t="shared" si="49"/>
        <v>2021.2083333332714</v>
      </c>
      <c r="O889" s="179">
        <v>264.87700000000001</v>
      </c>
      <c r="P889" s="163" t="s">
        <v>241</v>
      </c>
    </row>
    <row r="890" spans="1:16" ht="13.15">
      <c r="A890" s="164">
        <f t="shared" si="50"/>
        <v>2021.2916666666047</v>
      </c>
      <c r="B890" s="164">
        <f t="shared" si="48"/>
        <v>200.18369316204877</v>
      </c>
      <c r="H890" s="165">
        <f t="shared" si="51"/>
        <v>2021.2916666666047</v>
      </c>
      <c r="I890" s="172">
        <v>249.84400000000002</v>
      </c>
      <c r="J890" s="163" t="s">
        <v>246</v>
      </c>
      <c r="N890" s="165">
        <f t="shared" si="49"/>
        <v>2021.2916666666047</v>
      </c>
      <c r="O890" s="179">
        <v>267.05399999999997</v>
      </c>
      <c r="P890" s="163" t="s">
        <v>241</v>
      </c>
    </row>
    <row r="891" spans="1:16" ht="13.15">
      <c r="A891" s="164">
        <f t="shared" si="50"/>
        <v>2021.3749999999379</v>
      </c>
      <c r="B891" s="164">
        <f t="shared" si="48"/>
        <v>203.06027927620099</v>
      </c>
      <c r="H891" s="165">
        <f t="shared" si="51"/>
        <v>2021.3749999999379</v>
      </c>
      <c r="I891" s="172">
        <v>255.46599999999998</v>
      </c>
      <c r="J891" s="163" t="s">
        <v>246</v>
      </c>
      <c r="N891" s="165">
        <f t="shared" si="49"/>
        <v>2021.3749999999379</v>
      </c>
      <c r="O891" s="179">
        <v>269.19499999999999</v>
      </c>
      <c r="P891" s="163" t="s">
        <v>241</v>
      </c>
    </row>
    <row r="892" spans="1:16" ht="13.15">
      <c r="A892" s="164">
        <f t="shared" si="50"/>
        <v>2021.4583333332712</v>
      </c>
      <c r="B892" s="164">
        <f t="shared" ref="B892:B911" si="52">100*(I892/O892)/(I$8/O$8)</f>
        <v>205.69899080594271</v>
      </c>
      <c r="H892" s="165">
        <f t="shared" si="51"/>
        <v>2021.4583333332712</v>
      </c>
      <c r="I892" s="172">
        <v>261.19</v>
      </c>
      <c r="J892" s="163" t="s">
        <v>246</v>
      </c>
      <c r="N892" s="165">
        <f t="shared" si="49"/>
        <v>2021.4583333332712</v>
      </c>
      <c r="O892" s="179">
        <v>271.69600000000003</v>
      </c>
      <c r="P892" s="163" t="s">
        <v>241</v>
      </c>
    </row>
    <row r="893" spans="1:16" ht="13.15">
      <c r="A893" s="164">
        <f t="shared" si="50"/>
        <v>2021.5416666666044</v>
      </c>
      <c r="B893" s="164">
        <f t="shared" si="52"/>
        <v>208.11030563190124</v>
      </c>
      <c r="H893" s="165">
        <f t="shared" si="51"/>
        <v>2021.5416666666044</v>
      </c>
      <c r="I893" s="172">
        <v>265.52299999999997</v>
      </c>
      <c r="J893" s="163" t="s">
        <v>246</v>
      </c>
      <c r="N893" s="165">
        <f t="shared" si="49"/>
        <v>2021.5416666666044</v>
      </c>
      <c r="O893" s="179">
        <v>273.00299999999999</v>
      </c>
      <c r="P893" s="163" t="s">
        <v>241</v>
      </c>
    </row>
    <row r="894" spans="1:16" ht="13.15">
      <c r="A894" s="164">
        <f t="shared" si="50"/>
        <v>2021.6249999999377</v>
      </c>
      <c r="B894" s="164">
        <f t="shared" si="52"/>
        <v>210.24282591485769</v>
      </c>
      <c r="H894" s="165">
        <f t="shared" si="51"/>
        <v>2021.6249999999377</v>
      </c>
      <c r="I894" s="172">
        <v>268.798</v>
      </c>
      <c r="J894" s="163" t="s">
        <v>246</v>
      </c>
      <c r="N894" s="165">
        <f t="shared" si="49"/>
        <v>2021.6249999999377</v>
      </c>
      <c r="O894" s="179">
        <v>273.56700000000001</v>
      </c>
      <c r="P894" s="163" t="s">
        <v>241</v>
      </c>
    </row>
    <row r="895" spans="1:16" ht="13.15">
      <c r="A895" s="164">
        <f t="shared" si="50"/>
        <v>2021.708333333271</v>
      </c>
      <c r="B895" s="164">
        <f t="shared" si="52"/>
        <v>211.74514707411439</v>
      </c>
      <c r="H895" s="165">
        <f t="shared" si="51"/>
        <v>2021.708333333271</v>
      </c>
      <c r="I895" s="172">
        <v>271.45400000000001</v>
      </c>
      <c r="J895" s="163" t="s">
        <v>246</v>
      </c>
      <c r="N895" s="165">
        <f t="shared" si="49"/>
        <v>2021.708333333271</v>
      </c>
      <c r="O895" s="179">
        <v>274.31</v>
      </c>
      <c r="P895" s="163" t="s">
        <v>241</v>
      </c>
    </row>
    <row r="896" spans="1:16">
      <c r="A896" s="164">
        <f t="shared" si="50"/>
        <v>2021.7916666666042</v>
      </c>
      <c r="B896" s="164">
        <f t="shared" si="52"/>
        <v>211.71476572022243</v>
      </c>
      <c r="H896" s="165">
        <f t="shared" si="51"/>
        <v>2021.7916666666042</v>
      </c>
      <c r="I896" s="172">
        <v>273.67</v>
      </c>
      <c r="J896" s="163" t="s">
        <v>246</v>
      </c>
      <c r="N896" s="165">
        <f t="shared" si="49"/>
        <v>2021.7916666666042</v>
      </c>
      <c r="O896" s="170">
        <v>276.589</v>
      </c>
      <c r="P896" s="163" t="s">
        <v>241</v>
      </c>
    </row>
    <row r="897" spans="1:16">
      <c r="A897" s="164">
        <f t="shared" si="50"/>
        <v>2021.8749999999375</v>
      </c>
      <c r="B897" s="164">
        <f t="shared" si="52"/>
        <v>212.51026448998252</v>
      </c>
      <c r="H897" s="165">
        <f t="shared" si="51"/>
        <v>2021.8749999999375</v>
      </c>
      <c r="I897" s="172">
        <v>276.048</v>
      </c>
      <c r="J897" s="163" t="s">
        <v>246</v>
      </c>
      <c r="N897" s="165">
        <f t="shared" si="49"/>
        <v>2021.8749999999375</v>
      </c>
      <c r="O897" s="170">
        <v>277.94799999999998</v>
      </c>
      <c r="P897" s="163" t="s">
        <v>241</v>
      </c>
    </row>
    <row r="898" spans="1:16">
      <c r="A898" s="164">
        <f t="shared" si="50"/>
        <v>2021.9583333332707</v>
      </c>
      <c r="B898" s="164">
        <f t="shared" si="52"/>
        <v>213.83940282938124</v>
      </c>
      <c r="H898" s="165">
        <f t="shared" si="51"/>
        <v>2021.9583333332707</v>
      </c>
      <c r="I898" s="172">
        <v>278.62799999999999</v>
      </c>
      <c r="J898" s="163" t="s">
        <v>246</v>
      </c>
      <c r="N898" s="165">
        <f t="shared" si="49"/>
        <v>2021.9583333332707</v>
      </c>
      <c r="O898" s="170">
        <v>278.80200000000002</v>
      </c>
      <c r="P898" s="163" t="s">
        <v>241</v>
      </c>
    </row>
    <row r="899" spans="1:16" ht="13.15">
      <c r="A899" s="164">
        <f t="shared" si="50"/>
        <v>2022.041666666604</v>
      </c>
      <c r="B899" s="164">
        <f t="shared" si="52"/>
        <v>214.62822324266503</v>
      </c>
      <c r="H899" s="165">
        <f t="shared" si="51"/>
        <v>2022.041666666604</v>
      </c>
      <c r="I899" s="172">
        <v>282.00900000000001</v>
      </c>
      <c r="J899" s="163" t="s">
        <v>246</v>
      </c>
      <c r="N899" s="165">
        <f t="shared" si="49"/>
        <v>2022.041666666604</v>
      </c>
      <c r="O899" s="180">
        <v>281.14800000000002</v>
      </c>
      <c r="P899" s="163" t="s">
        <v>241</v>
      </c>
    </row>
    <row r="900" spans="1:16" ht="13.15">
      <c r="A900" s="164">
        <f t="shared" si="50"/>
        <v>2022.1249999999372</v>
      </c>
      <c r="B900" s="164">
        <f t="shared" si="52"/>
        <v>216.63896951850887</v>
      </c>
      <c r="H900" s="165">
        <f t="shared" si="51"/>
        <v>2022.1249999999372</v>
      </c>
      <c r="I900" s="172">
        <v>287.25099999999998</v>
      </c>
      <c r="J900" s="163" t="s">
        <v>246</v>
      </c>
      <c r="N900" s="165">
        <f t="shared" si="49"/>
        <v>2022.1249999999372</v>
      </c>
      <c r="O900" s="180">
        <v>283.71600000000001</v>
      </c>
      <c r="P900" s="163" t="s">
        <v>241</v>
      </c>
    </row>
    <row r="901" spans="1:16" ht="13.15">
      <c r="A901" s="164">
        <f t="shared" si="50"/>
        <v>2022.2083333332705</v>
      </c>
      <c r="B901" s="164">
        <f t="shared" si="52"/>
        <v>219.61728473662842</v>
      </c>
      <c r="H901" s="165">
        <f t="shared" si="51"/>
        <v>2022.2083333332705</v>
      </c>
      <c r="I901" s="172">
        <v>295.08799999999997</v>
      </c>
      <c r="J901" s="163" t="s">
        <v>246</v>
      </c>
      <c r="N901" s="165">
        <f t="shared" si="49"/>
        <v>2022.2083333332705</v>
      </c>
      <c r="O901" s="180">
        <v>287.50400000000002</v>
      </c>
      <c r="P901" s="163" t="s">
        <v>241</v>
      </c>
    </row>
    <row r="902" spans="1:16" ht="13.15">
      <c r="A902" s="164">
        <f t="shared" si="50"/>
        <v>2022.2916666666038</v>
      </c>
      <c r="B902" s="164">
        <f t="shared" si="52"/>
        <v>223.33905620024632</v>
      </c>
      <c r="H902" s="165">
        <f t="shared" si="51"/>
        <v>2022.2916666666038</v>
      </c>
      <c r="I902" s="172">
        <v>301.76400000000001</v>
      </c>
      <c r="J902" s="163" t="s">
        <v>246</v>
      </c>
      <c r="N902" s="165">
        <f t="shared" si="49"/>
        <v>2022.2916666666038</v>
      </c>
      <c r="O902" s="180">
        <v>289.10899999999998</v>
      </c>
      <c r="P902" s="163" t="s">
        <v>241</v>
      </c>
    </row>
    <row r="903" spans="1:16" ht="13.15">
      <c r="A903" s="164">
        <f t="shared" si="50"/>
        <v>2022.374999999937</v>
      </c>
      <c r="B903" s="164">
        <f t="shared" si="52"/>
        <v>224.40527337289123</v>
      </c>
      <c r="H903" s="165">
        <f t="shared" si="51"/>
        <v>2022.374999999937</v>
      </c>
      <c r="I903" s="172">
        <v>306.54700000000003</v>
      </c>
      <c r="J903" s="163" t="s">
        <v>246</v>
      </c>
      <c r="N903" s="165">
        <f t="shared" si="49"/>
        <v>2022.374999999937</v>
      </c>
      <c r="O903" s="180">
        <v>292.29599999999999</v>
      </c>
      <c r="P903" s="163" t="s">
        <v>241</v>
      </c>
    </row>
    <row r="904" spans="1:16" ht="13.15">
      <c r="A904" s="164">
        <f t="shared" si="50"/>
        <v>2022.4583333332703</v>
      </c>
      <c r="B904" s="164">
        <f t="shared" si="52"/>
        <v>222.64708273649214</v>
      </c>
      <c r="H904" s="165">
        <f t="shared" si="51"/>
        <v>2022.4583333332703</v>
      </c>
      <c r="I904" s="172">
        <v>308.32299999999998</v>
      </c>
      <c r="J904" s="163" t="s">
        <v>246</v>
      </c>
      <c r="N904" s="165">
        <f t="shared" si="49"/>
        <v>2022.4583333332703</v>
      </c>
      <c r="O904" s="180">
        <v>296.31099999999998</v>
      </c>
      <c r="P904" s="163" t="s">
        <v>241</v>
      </c>
    </row>
    <row r="905" spans="1:16" ht="13.15">
      <c r="A905" s="164">
        <f t="shared" si="50"/>
        <v>2022.5416666666035</v>
      </c>
      <c r="B905" s="164">
        <f t="shared" si="52"/>
        <v>221.8096237724134</v>
      </c>
      <c r="H905" s="165">
        <f t="shared" si="51"/>
        <v>2022.5416666666035</v>
      </c>
      <c r="I905" s="172">
        <v>307.12700000000001</v>
      </c>
      <c r="J905" s="163" t="s">
        <v>246</v>
      </c>
      <c r="N905" s="165">
        <f>N904+1/12</f>
        <v>2022.5416666666035</v>
      </c>
      <c r="O905" s="180">
        <v>296.27600000000001</v>
      </c>
      <c r="P905" s="163" t="s">
        <v>241</v>
      </c>
    </row>
    <row r="906" spans="1:16">
      <c r="A906" s="164">
        <f t="shared" si="50"/>
        <v>2022.6249999999368</v>
      </c>
      <c r="B906" s="164">
        <f t="shared" si="52"/>
        <v>219.37480787714185</v>
      </c>
      <c r="H906" s="165">
        <f t="shared" si="51"/>
        <v>2022.6249999999368</v>
      </c>
      <c r="I906" s="172">
        <v>303.64799999999997</v>
      </c>
      <c r="J906" s="163" t="s">
        <v>246</v>
      </c>
      <c r="N906" s="165">
        <f>N905+1/12</f>
        <v>2022.6249999999368</v>
      </c>
      <c r="O906" s="170">
        <v>296.17099999999999</v>
      </c>
      <c r="P906" s="163" t="s">
        <v>241</v>
      </c>
    </row>
    <row r="907" spans="1:16">
      <c r="A907" s="164">
        <f t="shared" si="50"/>
        <v>2022.70833333327</v>
      </c>
      <c r="B907" s="164">
        <f t="shared" si="52"/>
        <v>216.5977897456672</v>
      </c>
      <c r="H907" s="165">
        <f t="shared" si="51"/>
        <v>2022.70833333327</v>
      </c>
      <c r="I907" s="172">
        <v>300.44900000000001</v>
      </c>
      <c r="J907" s="163" t="s">
        <v>246</v>
      </c>
      <c r="N907" s="165">
        <f t="shared" ref="N907:N923" si="53">N906+1/12</f>
        <v>2022.70833333327</v>
      </c>
      <c r="O907" s="170">
        <v>296.80799999999999</v>
      </c>
      <c r="P907" s="163" t="s">
        <v>241</v>
      </c>
    </row>
    <row r="908" spans="1:16">
      <c r="A908" s="164">
        <f t="shared" si="50"/>
        <v>2022.7916666666033</v>
      </c>
      <c r="B908" s="164">
        <f t="shared" si="52"/>
        <v>214.44969582007144</v>
      </c>
      <c r="H908" s="165">
        <f t="shared" si="51"/>
        <v>2022.7916666666033</v>
      </c>
      <c r="I908" s="172">
        <v>298.67599999999999</v>
      </c>
      <c r="J908" s="163" t="s">
        <v>246</v>
      </c>
      <c r="N908" s="165">
        <f t="shared" si="53"/>
        <v>2022.7916666666033</v>
      </c>
      <c r="O908" s="170">
        <v>298.012</v>
      </c>
      <c r="P908" s="163" t="s">
        <v>241</v>
      </c>
    </row>
    <row r="909" spans="1:16">
      <c r="A909" s="164">
        <f t="shared" si="50"/>
        <v>2022.8749999999366</v>
      </c>
      <c r="B909" s="164">
        <f t="shared" si="52"/>
        <v>213.3375883959792</v>
      </c>
      <c r="H909" s="165">
        <f t="shared" si="51"/>
        <v>2022.8749999999366</v>
      </c>
      <c r="I909" s="172">
        <v>296.827</v>
      </c>
      <c r="J909" s="163" t="s">
        <v>246</v>
      </c>
      <c r="N909" s="165">
        <f t="shared" si="53"/>
        <v>2022.8749999999366</v>
      </c>
      <c r="O909" s="170">
        <v>297.71100000000001</v>
      </c>
      <c r="P909" s="163" t="s">
        <v>241</v>
      </c>
    </row>
    <row r="910" spans="1:16">
      <c r="A910" s="164">
        <f t="shared" si="50"/>
        <v>2022.9583333332698</v>
      </c>
      <c r="B910" s="164">
        <f t="shared" si="52"/>
        <v>212.18717376060243</v>
      </c>
      <c r="H910" s="165">
        <f t="shared" si="51"/>
        <v>2022.9583333332698</v>
      </c>
      <c r="I910" s="172">
        <v>294.32</v>
      </c>
      <c r="J910" s="163" t="s">
        <v>246</v>
      </c>
      <c r="N910" s="165">
        <f t="shared" si="53"/>
        <v>2022.9583333332698</v>
      </c>
      <c r="O910" s="170">
        <v>296.79700000000003</v>
      </c>
      <c r="P910" s="163" t="s">
        <v>241</v>
      </c>
    </row>
    <row r="911" spans="1:16">
      <c r="A911" s="164">
        <f t="shared" ref="A911:A923" si="54">A910+1/12</f>
        <v>2023.0416666666031</v>
      </c>
      <c r="B911" s="164">
        <f t="shared" si="52"/>
        <v>209.4312838720079</v>
      </c>
      <c r="H911" s="165">
        <f t="shared" si="51"/>
        <v>2023.0416666666031</v>
      </c>
      <c r="I911" s="172">
        <v>292.82</v>
      </c>
      <c r="J911" s="163" t="s">
        <v>246</v>
      </c>
      <c r="N911" s="165">
        <f t="shared" si="53"/>
        <v>2023.0416666666031</v>
      </c>
      <c r="O911" s="170">
        <v>299.17</v>
      </c>
      <c r="P911" s="163" t="s">
        <v>241</v>
      </c>
    </row>
    <row r="912" spans="1:16">
      <c r="A912" s="164">
        <f t="shared" si="54"/>
        <v>2023.1249999999363</v>
      </c>
      <c r="B912" s="164">
        <f t="shared" ref="B912:B920" si="55">100*(I912/O912)/(I$8/O$8)</f>
        <v>208.7061247041276</v>
      </c>
      <c r="H912" s="165">
        <f t="shared" si="51"/>
        <v>2023.1249999999363</v>
      </c>
      <c r="I912" s="163">
        <v>293.435</v>
      </c>
      <c r="J912" s="163" t="s">
        <v>246</v>
      </c>
      <c r="N912" s="165">
        <f t="shared" si="53"/>
        <v>2023.1249999999363</v>
      </c>
      <c r="O912" s="170">
        <v>300.83999999999997</v>
      </c>
      <c r="P912" s="163" t="s">
        <v>241</v>
      </c>
    </row>
    <row r="913" spans="1:16">
      <c r="A913" s="164">
        <f t="shared" si="54"/>
        <v>2023.2083333332696</v>
      </c>
      <c r="B913" s="164">
        <f t="shared" si="55"/>
        <v>210.87763216511661</v>
      </c>
      <c r="H913" s="165">
        <f t="shared" si="51"/>
        <v>2023.2083333332696</v>
      </c>
      <c r="I913" s="163">
        <v>297.31099999999998</v>
      </c>
      <c r="J913" s="163" t="s">
        <v>246</v>
      </c>
      <c r="N913" s="165">
        <f t="shared" si="53"/>
        <v>2023.2083333332696</v>
      </c>
      <c r="O913" s="170">
        <v>301.67499999999995</v>
      </c>
      <c r="P913" s="163" t="s">
        <v>241</v>
      </c>
    </row>
    <row r="914" spans="1:16">
      <c r="A914" s="164">
        <f t="shared" si="54"/>
        <v>2023.2916666666029</v>
      </c>
      <c r="B914" s="164">
        <f t="shared" si="55"/>
        <v>212.65184815745494</v>
      </c>
      <c r="H914" s="165">
        <f t="shared" si="51"/>
        <v>2023.2916666666029</v>
      </c>
      <c r="I914" s="163">
        <v>301.49</v>
      </c>
      <c r="J914" s="163" t="s">
        <v>246</v>
      </c>
      <c r="N914" s="165">
        <f t="shared" si="53"/>
        <v>2023.2916666666029</v>
      </c>
      <c r="O914" s="170">
        <v>303.363</v>
      </c>
      <c r="P914" s="163" t="s">
        <v>241</v>
      </c>
    </row>
    <row r="915" spans="1:16">
      <c r="A915" s="164">
        <f t="shared" si="54"/>
        <v>2023.3749999999361</v>
      </c>
      <c r="B915" s="164">
        <f t="shared" si="55"/>
        <v>214.84395587063531</v>
      </c>
      <c r="H915" s="165">
        <f t="shared" si="51"/>
        <v>2023.3749999999361</v>
      </c>
      <c r="I915" s="163">
        <v>305.36500000000001</v>
      </c>
      <c r="J915" s="163" t="s">
        <v>246</v>
      </c>
      <c r="N915" s="165">
        <f t="shared" si="53"/>
        <v>2023.3749999999361</v>
      </c>
      <c r="O915" s="170">
        <v>304.12700000000001</v>
      </c>
      <c r="P915" s="163" t="s">
        <v>241</v>
      </c>
    </row>
    <row r="916" spans="1:16">
      <c r="A916" s="164">
        <f t="shared" si="54"/>
        <v>2023.4583333332694</v>
      </c>
      <c r="B916" s="164">
        <f t="shared" si="55"/>
        <v>216.20027190576238</v>
      </c>
      <c r="H916" s="165">
        <f t="shared" si="51"/>
        <v>2023.4583333332694</v>
      </c>
      <c r="I916" s="163">
        <v>308.28500000000003</v>
      </c>
      <c r="J916" s="163" t="s">
        <v>246</v>
      </c>
      <c r="N916" s="165">
        <f t="shared" si="53"/>
        <v>2023.4583333332694</v>
      </c>
      <c r="O916" s="170">
        <v>305.10899999999998</v>
      </c>
      <c r="P916" s="163" t="s">
        <v>241</v>
      </c>
    </row>
    <row r="917" spans="1:16">
      <c r="A917" s="164">
        <f t="shared" si="54"/>
        <v>2023.5416666666026</v>
      </c>
      <c r="B917" s="164">
        <f t="shared" si="55"/>
        <v>217.09128632504104</v>
      </c>
      <c r="H917" s="165">
        <f t="shared" si="51"/>
        <v>2023.5416666666026</v>
      </c>
      <c r="I917" s="163">
        <v>310.14599999999996</v>
      </c>
      <c r="J917" s="163" t="s">
        <v>246</v>
      </c>
      <c r="N917" s="165">
        <f t="shared" si="53"/>
        <v>2023.5416666666026</v>
      </c>
      <c r="O917" s="170">
        <v>305.69099999999997</v>
      </c>
      <c r="P917" s="163" t="s">
        <v>241</v>
      </c>
    </row>
    <row r="918" spans="1:16">
      <c r="A918" s="164">
        <f t="shared" si="54"/>
        <v>2023.6249999999359</v>
      </c>
      <c r="B918" s="164">
        <f>100*(I918/O918)/(I$8/O$8)</f>
        <v>217.10421025858543</v>
      </c>
      <c r="H918" s="165">
        <f t="shared" si="51"/>
        <v>2023.6249999999359</v>
      </c>
      <c r="I918" s="163">
        <v>311.51900000000001</v>
      </c>
      <c r="J918" s="163" t="s">
        <v>246</v>
      </c>
      <c r="N918" s="165">
        <f t="shared" si="53"/>
        <v>2023.6249999999359</v>
      </c>
      <c r="O918" s="170">
        <v>307.02600000000001</v>
      </c>
      <c r="P918" s="163" t="s">
        <v>241</v>
      </c>
    </row>
    <row r="919" spans="1:16">
      <c r="A919" s="164">
        <f t="shared" si="54"/>
        <v>2023.7083333332691</v>
      </c>
      <c r="B919" s="164">
        <f t="shared" si="55"/>
        <v>217.19029907419832</v>
      </c>
      <c r="H919" s="165">
        <f t="shared" si="51"/>
        <v>2023.7083333332691</v>
      </c>
      <c r="I919" s="163">
        <v>312.41700000000003</v>
      </c>
      <c r="J919" s="163" t="s">
        <v>246</v>
      </c>
      <c r="N919" s="165">
        <f t="shared" si="53"/>
        <v>2023.7083333332691</v>
      </c>
      <c r="O919" s="170">
        <v>307.78899999999999</v>
      </c>
      <c r="P919" s="163" t="s">
        <v>241</v>
      </c>
    </row>
    <row r="920" spans="1:16">
      <c r="A920" s="164">
        <f t="shared" si="54"/>
        <v>2023.7916666666024</v>
      </c>
      <c r="B920" s="164">
        <f t="shared" si="55"/>
        <v>217.64636400325458</v>
      </c>
      <c r="H920" s="165">
        <f t="shared" si="51"/>
        <v>2023.7916666666024</v>
      </c>
      <c r="I920" s="163">
        <v>312.95299999999997</v>
      </c>
      <c r="J920" s="163" t="s">
        <v>246</v>
      </c>
      <c r="N920" s="165">
        <f t="shared" si="53"/>
        <v>2023.7916666666024</v>
      </c>
      <c r="O920" s="170">
        <v>307.67099999999999</v>
      </c>
      <c r="P920" s="163" t="s">
        <v>241</v>
      </c>
    </row>
    <row r="921" spans="1:16">
      <c r="A921" s="164">
        <f t="shared" si="54"/>
        <v>2023.8749999999357</v>
      </c>
      <c r="H921" s="165">
        <f t="shared" si="51"/>
        <v>2023.8749999999357</v>
      </c>
      <c r="J921" s="163" t="s">
        <v>246</v>
      </c>
      <c r="N921" s="165">
        <f t="shared" si="53"/>
        <v>2023.8749999999357</v>
      </c>
      <c r="O921" s="170">
        <v>307.05099999999999</v>
      </c>
      <c r="P921" s="163" t="s">
        <v>241</v>
      </c>
    </row>
    <row r="922" spans="1:16">
      <c r="A922" s="164">
        <f t="shared" si="54"/>
        <v>2023.9583333332689</v>
      </c>
      <c r="H922" s="165">
        <f t="shared" si="51"/>
        <v>2023.9583333332689</v>
      </c>
      <c r="J922" s="163" t="s">
        <v>246</v>
      </c>
      <c r="N922" s="165">
        <f t="shared" si="53"/>
        <v>2023.9583333332689</v>
      </c>
      <c r="O922" s="170">
        <v>306.74099999999999</v>
      </c>
      <c r="P922" s="163" t="s">
        <v>241</v>
      </c>
    </row>
    <row r="923" spans="1:16">
      <c r="A923" s="164">
        <f t="shared" si="54"/>
        <v>2024.0416666666022</v>
      </c>
      <c r="H923" s="165">
        <f t="shared" si="51"/>
        <v>2024.0416666666022</v>
      </c>
      <c r="J923" s="163" t="s">
        <v>246</v>
      </c>
      <c r="N923" s="165">
        <f t="shared" si="53"/>
        <v>2024.0416666666022</v>
      </c>
      <c r="O923" s="170">
        <v>306.58600000000001</v>
      </c>
      <c r="P923" s="163" t="s">
        <v>241</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247</v>
      </c>
      <c r="B2" s="182"/>
      <c r="C2" s="183"/>
      <c r="D2" s="182"/>
      <c r="E2" s="182"/>
      <c r="F2" s="183"/>
      <c r="G2" s="184"/>
      <c r="H2" s="183"/>
      <c r="I2" s="183"/>
      <c r="J2" s="185"/>
      <c r="K2" s="183"/>
      <c r="L2" s="185"/>
      <c r="M2" s="194" t="s">
        <v>248</v>
      </c>
      <c r="N2" s="186"/>
      <c r="O2" s="195" t="s">
        <v>249</v>
      </c>
      <c r="P2" s="195"/>
    </row>
    <row r="3" spans="1:25">
      <c r="A3" s="193" t="s">
        <v>250</v>
      </c>
      <c r="B3" s="182"/>
      <c r="C3" s="183"/>
      <c r="D3" s="182"/>
      <c r="E3" s="182"/>
      <c r="F3" s="183"/>
      <c r="H3" s="183"/>
      <c r="I3" s="183"/>
      <c r="J3" s="185"/>
      <c r="K3" s="183"/>
      <c r="L3" s="185"/>
      <c r="M3" s="197" t="s">
        <v>251</v>
      </c>
      <c r="N3" s="186"/>
      <c r="O3" s="195" t="s">
        <v>251</v>
      </c>
      <c r="P3" s="195"/>
    </row>
    <row r="4" spans="1:25">
      <c r="A4" s="198"/>
      <c r="B4" s="182"/>
      <c r="C4" s="182"/>
      <c r="D4" s="182"/>
      <c r="E4" s="182"/>
      <c r="F4" s="182"/>
      <c r="G4" s="184"/>
      <c r="H4" s="182"/>
      <c r="I4" s="199"/>
      <c r="J4" s="200"/>
      <c r="K4" s="182"/>
      <c r="L4" s="200"/>
      <c r="M4" s="197" t="s">
        <v>224</v>
      </c>
      <c r="N4" s="186"/>
      <c r="O4" s="195" t="s">
        <v>252</v>
      </c>
      <c r="P4" s="195"/>
    </row>
    <row r="5" spans="1:25">
      <c r="A5" s="198"/>
      <c r="B5" s="182"/>
      <c r="C5" s="182"/>
      <c r="D5" s="182"/>
      <c r="E5" s="182" t="s">
        <v>253</v>
      </c>
      <c r="F5" s="182"/>
      <c r="G5" s="184"/>
      <c r="H5" s="182"/>
      <c r="I5" s="182"/>
      <c r="J5" s="200" t="s">
        <v>117</v>
      </c>
      <c r="K5" s="182"/>
      <c r="L5" s="200" t="s">
        <v>117</v>
      </c>
      <c r="M5" s="197" t="s">
        <v>254</v>
      </c>
      <c r="N5" s="186"/>
      <c r="O5" s="195" t="s">
        <v>254</v>
      </c>
      <c r="P5" s="195"/>
      <c r="Q5" s="201"/>
      <c r="R5" s="202" t="s">
        <v>255</v>
      </c>
      <c r="S5" s="202" t="s">
        <v>117</v>
      </c>
      <c r="T5" s="202"/>
      <c r="U5" s="202"/>
      <c r="V5" s="202"/>
      <c r="W5" s="202"/>
    </row>
    <row r="6" spans="1:25">
      <c r="A6" s="198"/>
      <c r="B6" s="182" t="s">
        <v>256</v>
      </c>
      <c r="C6" s="182"/>
      <c r="D6" s="182"/>
      <c r="E6" s="182" t="s">
        <v>224</v>
      </c>
      <c r="F6" s="182"/>
      <c r="G6" s="184" t="s">
        <v>257</v>
      </c>
      <c r="H6" s="182"/>
      <c r="I6" s="182"/>
      <c r="J6" s="200" t="s">
        <v>258</v>
      </c>
      <c r="K6" s="182"/>
      <c r="L6" s="200" t="s">
        <v>259</v>
      </c>
      <c r="M6" s="197" t="s">
        <v>260</v>
      </c>
      <c r="N6" s="186"/>
      <c r="O6" s="195" t="s">
        <v>260</v>
      </c>
      <c r="P6" s="195"/>
      <c r="Q6" s="201" t="s">
        <v>261</v>
      </c>
      <c r="R6" s="202" t="s">
        <v>258</v>
      </c>
      <c r="S6" s="202" t="s">
        <v>258</v>
      </c>
      <c r="T6" s="202" t="s">
        <v>262</v>
      </c>
      <c r="U6" s="202" t="s">
        <v>262</v>
      </c>
      <c r="V6" s="202" t="s">
        <v>263</v>
      </c>
      <c r="W6" s="201"/>
    </row>
    <row r="7" spans="1:25">
      <c r="A7" s="198"/>
      <c r="B7" s="182" t="s">
        <v>264</v>
      </c>
      <c r="C7" s="182" t="s">
        <v>265</v>
      </c>
      <c r="D7" s="182" t="s">
        <v>254</v>
      </c>
      <c r="E7" s="182" t="s">
        <v>230</v>
      </c>
      <c r="F7" s="182" t="s">
        <v>266</v>
      </c>
      <c r="G7" s="184" t="s">
        <v>267</v>
      </c>
      <c r="H7" s="182" t="s">
        <v>117</v>
      </c>
      <c r="I7" s="182" t="s">
        <v>117</v>
      </c>
      <c r="J7" s="200" t="s">
        <v>268</v>
      </c>
      <c r="K7" s="182" t="s">
        <v>117</v>
      </c>
      <c r="L7" s="200" t="s">
        <v>269</v>
      </c>
      <c r="M7" s="197" t="s">
        <v>270</v>
      </c>
      <c r="N7" s="186"/>
      <c r="O7" s="195" t="s">
        <v>271</v>
      </c>
      <c r="P7" s="195"/>
      <c r="Q7" s="201" t="s">
        <v>272</v>
      </c>
      <c r="R7" s="202" t="s">
        <v>273</v>
      </c>
      <c r="S7" s="202" t="s">
        <v>273</v>
      </c>
      <c r="T7" s="202" t="s">
        <v>274</v>
      </c>
      <c r="U7" s="202" t="s">
        <v>275</v>
      </c>
      <c r="V7" s="202" t="s">
        <v>276</v>
      </c>
      <c r="W7" s="201"/>
    </row>
    <row r="8" spans="1:25" ht="14.65" thickBot="1">
      <c r="A8" s="198" t="s">
        <v>133</v>
      </c>
      <c r="B8" s="182" t="s">
        <v>277</v>
      </c>
      <c r="C8" s="182" t="s">
        <v>278</v>
      </c>
      <c r="D8" s="182" t="s">
        <v>279</v>
      </c>
      <c r="E8" s="182" t="s">
        <v>234</v>
      </c>
      <c r="F8" s="182" t="s">
        <v>280</v>
      </c>
      <c r="G8" s="184" t="s">
        <v>281</v>
      </c>
      <c r="H8" s="182" t="s">
        <v>224</v>
      </c>
      <c r="I8" s="182" t="s">
        <v>265</v>
      </c>
      <c r="J8" s="200" t="s">
        <v>224</v>
      </c>
      <c r="K8" s="182" t="s">
        <v>254</v>
      </c>
      <c r="L8" s="200" t="s">
        <v>254</v>
      </c>
      <c r="M8" s="203" t="s">
        <v>272</v>
      </c>
      <c r="N8" s="186"/>
      <c r="O8" s="195" t="s">
        <v>282</v>
      </c>
      <c r="P8" s="195"/>
      <c r="Q8" s="201" t="s">
        <v>283</v>
      </c>
      <c r="R8" s="202" t="s">
        <v>284</v>
      </c>
      <c r="S8" s="202" t="s">
        <v>284</v>
      </c>
      <c r="T8" s="202" t="s">
        <v>285</v>
      </c>
      <c r="U8" s="202" t="s">
        <v>285</v>
      </c>
      <c r="V8" s="202" t="s">
        <v>284</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286</v>
      </c>
      <c r="N9" s="186"/>
      <c r="O9" s="187" t="s">
        <v>286</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286</v>
      </c>
      <c r="N10" s="186"/>
      <c r="O10" s="187" t="s">
        <v>286</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286</v>
      </c>
      <c r="N11" s="186"/>
      <c r="O11" s="187" t="s">
        <v>286</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286</v>
      </c>
      <c r="N12" s="186"/>
      <c r="O12" s="187" t="s">
        <v>286</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286</v>
      </c>
      <c r="N13" s="186"/>
      <c r="O13" s="187" t="s">
        <v>286</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286</v>
      </c>
      <c r="N14" s="186"/>
      <c r="O14" s="187" t="s">
        <v>286</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286</v>
      </c>
      <c r="N15" s="186"/>
      <c r="O15" s="187" t="s">
        <v>286</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286</v>
      </c>
      <c r="N16" s="186"/>
      <c r="O16" s="187" t="s">
        <v>286</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286</v>
      </c>
      <c r="N17" s="186"/>
      <c r="O17" s="187" t="s">
        <v>286</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286</v>
      </c>
      <c r="N18" s="186"/>
      <c r="O18" s="187" t="s">
        <v>286</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286</v>
      </c>
      <c r="N19" s="186"/>
      <c r="O19" s="187" t="s">
        <v>286</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286</v>
      </c>
      <c r="N20" s="186"/>
      <c r="O20" s="187" t="s">
        <v>286</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286</v>
      </c>
      <c r="N21" s="186"/>
      <c r="O21" s="187" t="s">
        <v>286</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286</v>
      </c>
      <c r="N22" s="186"/>
      <c r="O22" s="187" t="s">
        <v>286</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286</v>
      </c>
      <c r="N23" s="186"/>
      <c r="O23" s="187" t="s">
        <v>286</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286</v>
      </c>
      <c r="N24" s="186"/>
      <c r="O24" s="187" t="s">
        <v>286</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286</v>
      </c>
      <c r="N25" s="186"/>
      <c r="O25" s="187" t="s">
        <v>286</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286</v>
      </c>
      <c r="N26" s="186"/>
      <c r="O26" s="187" t="s">
        <v>286</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286</v>
      </c>
      <c r="N27" s="186"/>
      <c r="O27" s="187" t="s">
        <v>286</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286</v>
      </c>
      <c r="N28" s="186"/>
      <c r="O28" s="187" t="s">
        <v>286</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286</v>
      </c>
      <c r="N29" s="186"/>
      <c r="O29" s="187" t="s">
        <v>286</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286</v>
      </c>
      <c r="N30" s="186"/>
      <c r="O30" s="187" t="s">
        <v>286</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286</v>
      </c>
      <c r="N31" s="186"/>
      <c r="O31" s="187" t="s">
        <v>286</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286</v>
      </c>
      <c r="N32" s="186"/>
      <c r="O32" s="187" t="s">
        <v>286</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286</v>
      </c>
      <c r="N33" s="186"/>
      <c r="O33" s="187" t="s">
        <v>286</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286</v>
      </c>
      <c r="N34" s="186"/>
      <c r="O34" s="187" t="s">
        <v>286</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286</v>
      </c>
      <c r="N35" s="186"/>
      <c r="O35" s="187" t="s">
        <v>286</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286</v>
      </c>
      <c r="N36" s="186"/>
      <c r="O36" s="187" t="s">
        <v>286</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286</v>
      </c>
      <c r="N37" s="186"/>
      <c r="O37" s="187" t="s">
        <v>286</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286</v>
      </c>
      <c r="N38" s="186"/>
      <c r="O38" s="187" t="s">
        <v>286</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286</v>
      </c>
      <c r="N39" s="186"/>
      <c r="O39" s="187" t="s">
        <v>286</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286</v>
      </c>
      <c r="N40" s="186"/>
      <c r="O40" s="187" t="s">
        <v>286</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286</v>
      </c>
      <c r="N41" s="186"/>
      <c r="O41" s="187" t="s">
        <v>286</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286</v>
      </c>
      <c r="N42" s="186"/>
      <c r="O42" s="187" t="s">
        <v>286</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286</v>
      </c>
      <c r="N43" s="186"/>
      <c r="O43" s="187" t="s">
        <v>286</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286</v>
      </c>
      <c r="N44" s="186"/>
      <c r="O44" s="187" t="s">
        <v>286</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286</v>
      </c>
      <c r="N45" s="186"/>
      <c r="O45" s="187" t="s">
        <v>286</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286</v>
      </c>
      <c r="N46" s="186"/>
      <c r="O46" s="187" t="s">
        <v>286</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286</v>
      </c>
      <c r="N47" s="186"/>
      <c r="O47" s="187" t="s">
        <v>286</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286</v>
      </c>
      <c r="N48" s="186"/>
      <c r="O48" s="187" t="s">
        <v>286</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286</v>
      </c>
      <c r="N49" s="186"/>
      <c r="O49" s="187" t="s">
        <v>286</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286</v>
      </c>
      <c r="N50" s="186"/>
      <c r="O50" s="187" t="s">
        <v>286</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286</v>
      </c>
      <c r="N51" s="186"/>
      <c r="O51" s="187" t="s">
        <v>286</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286</v>
      </c>
      <c r="N52" s="186"/>
      <c r="O52" s="187" t="s">
        <v>286</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286</v>
      </c>
      <c r="N53" s="186"/>
      <c r="O53" s="187" t="s">
        <v>286</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286</v>
      </c>
      <c r="N54" s="186"/>
      <c r="O54" s="187" t="s">
        <v>286</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286</v>
      </c>
      <c r="N55" s="186"/>
      <c r="O55" s="187" t="s">
        <v>286</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286</v>
      </c>
      <c r="N56" s="186"/>
      <c r="O56" s="187" t="s">
        <v>286</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286</v>
      </c>
      <c r="N57" s="186"/>
      <c r="O57" s="187" t="s">
        <v>286</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286</v>
      </c>
      <c r="N58" s="186"/>
      <c r="O58" s="187" t="s">
        <v>286</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286</v>
      </c>
      <c r="N59" s="186"/>
      <c r="O59" s="187" t="s">
        <v>286</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286</v>
      </c>
      <c r="N60" s="186"/>
      <c r="O60" s="187" t="s">
        <v>286</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286</v>
      </c>
      <c r="N61" s="186"/>
      <c r="O61" s="187" t="s">
        <v>286</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286</v>
      </c>
      <c r="N62" s="186"/>
      <c r="O62" s="187" t="s">
        <v>286</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286</v>
      </c>
      <c r="N63" s="186"/>
      <c r="O63" s="187" t="s">
        <v>286</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286</v>
      </c>
      <c r="N64" s="186"/>
      <c r="O64" s="187" t="s">
        <v>286</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286</v>
      </c>
      <c r="N65" s="186"/>
      <c r="O65" s="187" t="s">
        <v>286</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286</v>
      </c>
      <c r="N66" s="186"/>
      <c r="O66" s="187" t="s">
        <v>286</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286</v>
      </c>
      <c r="N67" s="186"/>
      <c r="O67" s="187" t="s">
        <v>286</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286</v>
      </c>
      <c r="N68" s="186"/>
      <c r="O68" s="187" t="s">
        <v>286</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286</v>
      </c>
      <c r="N69" s="186"/>
      <c r="O69" s="187" t="s">
        <v>286</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286</v>
      </c>
      <c r="N70" s="186"/>
      <c r="O70" s="187" t="s">
        <v>286</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286</v>
      </c>
      <c r="N71" s="186"/>
      <c r="O71" s="187" t="s">
        <v>286</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286</v>
      </c>
      <c r="N72" s="186"/>
      <c r="O72" s="187" t="s">
        <v>286</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286</v>
      </c>
      <c r="N73" s="186"/>
      <c r="O73" s="187" t="s">
        <v>286</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286</v>
      </c>
      <c r="N74" s="186"/>
      <c r="O74" s="187" t="s">
        <v>286</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286</v>
      </c>
      <c r="N75" s="186"/>
      <c r="O75" s="187" t="s">
        <v>286</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286</v>
      </c>
      <c r="N76" s="186"/>
      <c r="O76" s="187" t="s">
        <v>286</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286</v>
      </c>
      <c r="N77" s="186"/>
      <c r="O77" s="187" t="s">
        <v>286</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286</v>
      </c>
      <c r="N78" s="186"/>
      <c r="O78" s="187" t="s">
        <v>286</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286</v>
      </c>
      <c r="N79" s="186"/>
      <c r="O79" s="187" t="s">
        <v>286</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286</v>
      </c>
      <c r="N80" s="186"/>
      <c r="O80" s="187" t="s">
        <v>286</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286</v>
      </c>
      <c r="N81" s="186"/>
      <c r="O81" s="187" t="s">
        <v>286</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286</v>
      </c>
      <c r="N82" s="186"/>
      <c r="O82" s="187" t="s">
        <v>286</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286</v>
      </c>
      <c r="N83" s="186"/>
      <c r="O83" s="187" t="s">
        <v>286</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286</v>
      </c>
      <c r="N84" s="186"/>
      <c r="O84" s="187" t="s">
        <v>286</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286</v>
      </c>
      <c r="N85" s="186"/>
      <c r="O85" s="187" t="s">
        <v>286</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286</v>
      </c>
      <c r="N86" s="186"/>
      <c r="O86" s="187" t="s">
        <v>286</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286</v>
      </c>
      <c r="N87" s="186"/>
      <c r="O87" s="187" t="s">
        <v>286</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286</v>
      </c>
      <c r="N88" s="186"/>
      <c r="O88" s="187" t="s">
        <v>286</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286</v>
      </c>
      <c r="N89" s="186"/>
      <c r="O89" s="187" t="s">
        <v>286</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286</v>
      </c>
      <c r="N90" s="186"/>
      <c r="O90" s="187" t="s">
        <v>286</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286</v>
      </c>
      <c r="N91" s="186"/>
      <c r="O91" s="187" t="s">
        <v>286</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286</v>
      </c>
      <c r="N92" s="186"/>
      <c r="O92" s="187" t="s">
        <v>286</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286</v>
      </c>
      <c r="N93" s="186"/>
      <c r="O93" s="187" t="s">
        <v>286</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286</v>
      </c>
      <c r="N94" s="186"/>
      <c r="O94" s="187" t="s">
        <v>286</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286</v>
      </c>
      <c r="N95" s="186"/>
      <c r="O95" s="187" t="s">
        <v>286</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286</v>
      </c>
      <c r="N96" s="186"/>
      <c r="O96" s="187" t="s">
        <v>286</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286</v>
      </c>
      <c r="N97" s="186"/>
      <c r="O97" s="187" t="s">
        <v>286</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286</v>
      </c>
      <c r="N98" s="186"/>
      <c r="O98" s="187" t="s">
        <v>286</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286</v>
      </c>
      <c r="N99" s="186"/>
      <c r="O99" s="187" t="s">
        <v>286</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286</v>
      </c>
      <c r="N100" s="186"/>
      <c r="O100" s="187" t="s">
        <v>286</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286</v>
      </c>
      <c r="N101" s="186"/>
      <c r="O101" s="187" t="s">
        <v>286</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286</v>
      </c>
      <c r="N102" s="186"/>
      <c r="O102" s="187" t="s">
        <v>286</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286</v>
      </c>
      <c r="N103" s="186"/>
      <c r="O103" s="187" t="s">
        <v>286</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286</v>
      </c>
      <c r="N104" s="186"/>
      <c r="O104" s="187" t="s">
        <v>286</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286</v>
      </c>
      <c r="N105" s="186"/>
      <c r="O105" s="187" t="s">
        <v>286</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286</v>
      </c>
      <c r="N106" s="186"/>
      <c r="O106" s="187" t="s">
        <v>286</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286</v>
      </c>
      <c r="N107" s="186"/>
      <c r="O107" s="187" t="s">
        <v>286</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286</v>
      </c>
      <c r="N108" s="186"/>
      <c r="O108" s="187" t="s">
        <v>286</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286</v>
      </c>
      <c r="N109" s="186"/>
      <c r="O109" s="187" t="s">
        <v>286</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286</v>
      </c>
      <c r="N110" s="186"/>
      <c r="O110" s="187" t="s">
        <v>286</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286</v>
      </c>
      <c r="N111" s="186"/>
      <c r="O111" s="187" t="s">
        <v>286</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286</v>
      </c>
      <c r="N112" s="186"/>
      <c r="O112" s="187" t="s">
        <v>286</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286</v>
      </c>
      <c r="N113" s="186"/>
      <c r="O113" s="187" t="s">
        <v>286</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286</v>
      </c>
      <c r="N114" s="186"/>
      <c r="O114" s="187" t="s">
        <v>286</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286</v>
      </c>
      <c r="N115" s="186"/>
      <c r="O115" s="187" t="s">
        <v>286</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286</v>
      </c>
      <c r="N116" s="186"/>
      <c r="O116" s="187" t="s">
        <v>286</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286</v>
      </c>
      <c r="N117" s="186"/>
      <c r="O117" s="187" t="s">
        <v>286</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286</v>
      </c>
      <c r="N118" s="186"/>
      <c r="O118" s="187" t="s">
        <v>286</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286</v>
      </c>
      <c r="N119" s="186"/>
      <c r="O119" s="187" t="s">
        <v>286</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286</v>
      </c>
      <c r="N120" s="186"/>
      <c r="O120" s="187" t="s">
        <v>286</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286</v>
      </c>
      <c r="N121" s="186"/>
      <c r="O121" s="187" t="s">
        <v>286</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286</v>
      </c>
      <c r="N122" s="186"/>
      <c r="O122" s="187" t="s">
        <v>286</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286</v>
      </c>
      <c r="N123" s="186"/>
      <c r="O123" s="187" t="s">
        <v>286</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286</v>
      </c>
      <c r="N124" s="186"/>
      <c r="O124" s="187" t="s">
        <v>286</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286</v>
      </c>
      <c r="N125" s="186"/>
      <c r="O125" s="187" t="s">
        <v>286</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286</v>
      </c>
      <c r="N126" s="186"/>
      <c r="O126" s="187" t="s">
        <v>286</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286</v>
      </c>
      <c r="N127" s="186"/>
      <c r="O127" s="187" t="s">
        <v>286</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286</v>
      </c>
      <c r="N128" s="186"/>
      <c r="O128" s="187" t="s">
        <v>286</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287</v>
      </c>
      <c r="C1853" s="216"/>
      <c r="D1853" s="215"/>
      <c r="E1853" s="215" t="s">
        <v>288</v>
      </c>
      <c r="F1853" s="216"/>
      <c r="G1853" s="215" t="s">
        <v>289</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-437365.49819999997</v>
      </c>
      <c r="C2" s="6">
        <v>-2984.1176999999998</v>
      </c>
      <c r="D2" s="6">
        <v>-440349.61589999998</v>
      </c>
      <c r="E2">
        <v>2586772.6433000001</v>
      </c>
      <c r="F2">
        <v>236705.19870000001</v>
      </c>
      <c r="G2" s="6">
        <v>2823477.8420000002</v>
      </c>
      <c r="H2">
        <v>1814716.365</v>
      </c>
      <c r="I2">
        <v>177373.98430000001</v>
      </c>
      <c r="J2" s="6">
        <v>1992090.3492999999</v>
      </c>
      <c r="K2">
        <v>5357212.1124</v>
      </c>
      <c r="L2">
        <v>475310.66619999998</v>
      </c>
      <c r="M2">
        <v>5832522.7785</v>
      </c>
      <c r="N2">
        <v>144000</v>
      </c>
    </row>
    <row r="3" spans="1:14">
      <c r="A3">
        <v>2</v>
      </c>
      <c r="B3">
        <v>-1641699.2771999999</v>
      </c>
      <c r="C3" s="6">
        <v>-7294.1661000000004</v>
      </c>
      <c r="D3" s="6">
        <v>-1648993.4432999999</v>
      </c>
      <c r="E3">
        <v>1333825.1836999999</v>
      </c>
      <c r="F3">
        <v>128769.397</v>
      </c>
      <c r="G3" s="6">
        <v>1462594.5807</v>
      </c>
      <c r="H3">
        <v>771687.0686</v>
      </c>
      <c r="I3">
        <v>87477.523499999996</v>
      </c>
      <c r="J3" s="6">
        <v>859164.59210000001</v>
      </c>
      <c r="K3">
        <v>4559715.2662000004</v>
      </c>
      <c r="L3">
        <v>407555.50229999999</v>
      </c>
      <c r="M3">
        <v>4967270.7685000002</v>
      </c>
      <c r="N3">
        <v>196965.5172</v>
      </c>
    </row>
    <row r="4" spans="1:14">
      <c r="A4">
        <v>3</v>
      </c>
      <c r="B4">
        <v>-971409.15919999999</v>
      </c>
      <c r="C4" s="6">
        <v>-9708.2266999999993</v>
      </c>
      <c r="D4" s="6">
        <v>-981117.38589999999</v>
      </c>
      <c r="E4">
        <v>2209352.3716000002</v>
      </c>
      <c r="F4">
        <v>204189.25510000001</v>
      </c>
      <c r="G4" s="6">
        <v>2413541.6266999999</v>
      </c>
      <c r="H4">
        <v>1537017.2372000001</v>
      </c>
      <c r="I4">
        <v>153640.55679999999</v>
      </c>
      <c r="J4" s="6">
        <v>1690657.794</v>
      </c>
      <c r="K4">
        <v>5328606.8148999996</v>
      </c>
      <c r="L4">
        <v>472589.02759999997</v>
      </c>
      <c r="M4">
        <v>5801195.8426000001</v>
      </c>
      <c r="N4">
        <v>134068.96549999999</v>
      </c>
    </row>
    <row r="5" spans="1:14">
      <c r="A5">
        <v>4</v>
      </c>
      <c r="B5">
        <v>-1021337.5788</v>
      </c>
      <c r="C5" s="6">
        <v>-5698.2933999999996</v>
      </c>
      <c r="D5" s="6">
        <v>-1027035.8722</v>
      </c>
      <c r="E5">
        <v>2001076.3966000001</v>
      </c>
      <c r="F5">
        <v>186784.10630000001</v>
      </c>
      <c r="G5" s="6">
        <v>2187860.5027999999</v>
      </c>
      <c r="H5">
        <v>625716.61470000003</v>
      </c>
      <c r="I5">
        <v>74646.798999999999</v>
      </c>
      <c r="J5" s="6">
        <v>700363.41370000003</v>
      </c>
      <c r="K5">
        <v>4344877.2176999999</v>
      </c>
      <c r="L5">
        <v>389452.98869999999</v>
      </c>
      <c r="M5">
        <v>4734330.2065000003</v>
      </c>
      <c r="N5">
        <v>8275.8621000000003</v>
      </c>
    </row>
    <row r="6" spans="1:14">
      <c r="A6">
        <v>5</v>
      </c>
      <c r="B6">
        <v>-1056933.3622999999</v>
      </c>
      <c r="C6" s="6">
        <v>-16990.244200000001</v>
      </c>
      <c r="D6" s="6">
        <v>-1073923.6066000001</v>
      </c>
      <c r="E6">
        <v>1953436.1372</v>
      </c>
      <c r="F6">
        <v>187347.1194</v>
      </c>
      <c r="G6" s="6">
        <v>2140783.2566</v>
      </c>
      <c r="H6">
        <v>820547.56599999999</v>
      </c>
      <c r="I6">
        <v>96828.599700000006</v>
      </c>
      <c r="J6" s="6">
        <v>917376.16570000001</v>
      </c>
      <c r="K6">
        <v>4634318.5306000002</v>
      </c>
      <c r="L6">
        <v>418718.64970000001</v>
      </c>
      <c r="M6">
        <v>5053037.1803000001</v>
      </c>
      <c r="N6">
        <v>254896.55170000001</v>
      </c>
    </row>
    <row r="7" spans="1:14">
      <c r="A7">
        <v>6</v>
      </c>
      <c r="B7">
        <v>519356.54249999998</v>
      </c>
      <c r="C7" s="6">
        <v>65203.034599999999</v>
      </c>
      <c r="D7" s="6">
        <v>584559.57709999999</v>
      </c>
      <c r="E7">
        <v>3777607.1697999998</v>
      </c>
      <c r="F7">
        <v>341488.85320000001</v>
      </c>
      <c r="G7" s="6">
        <v>4119096.023</v>
      </c>
      <c r="H7">
        <v>2520601.7886000001</v>
      </c>
      <c r="I7">
        <v>239077.87830000001</v>
      </c>
      <c r="J7" s="6">
        <v>2759679.6669999999</v>
      </c>
      <c r="K7">
        <v>6307393.1842999998</v>
      </c>
      <c r="L7">
        <v>560819.0477</v>
      </c>
      <c r="M7">
        <v>6868212.2320999997</v>
      </c>
      <c r="N7">
        <v>170482.7586</v>
      </c>
    </row>
    <row r="8" spans="1:14">
      <c r="A8">
        <v>7</v>
      </c>
      <c r="B8">
        <v>-232524.36480000001</v>
      </c>
      <c r="C8" s="6">
        <v>-1875.0786000000001</v>
      </c>
      <c r="D8" s="6">
        <v>-234399.44339999999</v>
      </c>
      <c r="E8">
        <v>2883358.2607999998</v>
      </c>
      <c r="F8">
        <v>262384.44459999999</v>
      </c>
      <c r="G8" s="6">
        <v>3145742.7053999999</v>
      </c>
      <c r="H8">
        <v>1613992.9632999999</v>
      </c>
      <c r="I8">
        <v>160269.50640000001</v>
      </c>
      <c r="J8" s="6">
        <v>1774262.4697</v>
      </c>
      <c r="K8">
        <v>5209843.1004999997</v>
      </c>
      <c r="L8">
        <v>462707.27399999998</v>
      </c>
      <c r="M8">
        <v>5672550.3744999999</v>
      </c>
      <c r="N8">
        <v>124137.931</v>
      </c>
    </row>
    <row r="9" spans="1:14">
      <c r="A9">
        <v>8</v>
      </c>
      <c r="B9">
        <v>-1270959.4147999999</v>
      </c>
      <c r="C9" s="6">
        <v>-12496.792799999999</v>
      </c>
      <c r="D9" s="6">
        <v>-1283456.2076000001</v>
      </c>
      <c r="E9">
        <v>1608013.8736</v>
      </c>
      <c r="F9">
        <v>152699.7899</v>
      </c>
      <c r="G9" s="6">
        <v>1760713.6635</v>
      </c>
      <c r="H9">
        <v>610044.23719999997</v>
      </c>
      <c r="I9">
        <v>73240.695900000006</v>
      </c>
      <c r="J9" s="6">
        <v>683284.93310000002</v>
      </c>
      <c r="K9">
        <v>4163957.6710000001</v>
      </c>
      <c r="L9">
        <v>374089.86839999998</v>
      </c>
      <c r="M9">
        <v>4538047.5394000001</v>
      </c>
      <c r="N9">
        <v>41379.310299999997</v>
      </c>
    </row>
    <row r="10" spans="1:14">
      <c r="A10">
        <v>9</v>
      </c>
      <c r="B10">
        <v>265762.76569999999</v>
      </c>
      <c r="C10" s="6">
        <v>43579.963400000001</v>
      </c>
      <c r="D10" s="6">
        <v>309342.7291</v>
      </c>
      <c r="E10">
        <v>3554557.2829</v>
      </c>
      <c r="F10">
        <v>320708.4743</v>
      </c>
      <c r="G10" s="6">
        <v>3875265.7573000002</v>
      </c>
      <c r="H10">
        <v>2351028.1246000002</v>
      </c>
      <c r="I10">
        <v>223888.98180000001</v>
      </c>
      <c r="J10" s="6">
        <v>2574917.1063000001</v>
      </c>
      <c r="K10">
        <v>6101028.3002000004</v>
      </c>
      <c r="L10">
        <v>540814.26199999999</v>
      </c>
      <c r="M10">
        <v>6641842.5620999997</v>
      </c>
      <c r="N10">
        <v>201931.03450000001</v>
      </c>
    </row>
    <row r="11" spans="1:14">
      <c r="A11">
        <v>10</v>
      </c>
      <c r="B11">
        <v>-1225944.2346000001</v>
      </c>
      <c r="C11" s="6">
        <v>-15971.630300000001</v>
      </c>
      <c r="D11" s="6">
        <v>-1241915.8648999999</v>
      </c>
      <c r="E11">
        <v>1673536.2302999999</v>
      </c>
      <c r="F11">
        <v>163260.61540000001</v>
      </c>
      <c r="G11" s="6">
        <v>1836796.8456999999</v>
      </c>
      <c r="H11">
        <v>604636.46569999994</v>
      </c>
      <c r="I11">
        <v>78167.391799999998</v>
      </c>
      <c r="J11" s="6">
        <v>682803.85739999998</v>
      </c>
      <c r="K11">
        <v>4246564.0437000003</v>
      </c>
      <c r="L11">
        <v>385461.97029999999</v>
      </c>
      <c r="M11">
        <v>4632026.0138999997</v>
      </c>
      <c r="N11">
        <v>130758.6207</v>
      </c>
    </row>
    <row r="12" spans="1:14">
      <c r="A12">
        <v>11</v>
      </c>
      <c r="B12">
        <v>-1960719.9243999999</v>
      </c>
      <c r="C12" s="6">
        <v>-14392.9663</v>
      </c>
      <c r="D12" s="6">
        <v>-1975112.8907000001</v>
      </c>
      <c r="E12">
        <v>839068.67700000003</v>
      </c>
      <c r="F12">
        <v>85899.6777</v>
      </c>
      <c r="G12" s="6">
        <v>924968.35470000003</v>
      </c>
      <c r="H12">
        <v>-407395.23450000002</v>
      </c>
      <c r="I12">
        <v>-17936.936300000001</v>
      </c>
      <c r="J12" s="6">
        <v>-425332.17090000003</v>
      </c>
      <c r="K12">
        <v>3386034.1505999998</v>
      </c>
      <c r="L12">
        <v>306556.97460000002</v>
      </c>
      <c r="M12">
        <v>3692591.1252000001</v>
      </c>
      <c r="N12">
        <v>225103.44829999999</v>
      </c>
    </row>
    <row r="13" spans="1:14">
      <c r="A13">
        <v>12</v>
      </c>
      <c r="B13">
        <v>-876415.81429999997</v>
      </c>
      <c r="C13" s="6">
        <v>-782.55560000000003</v>
      </c>
      <c r="D13" s="6">
        <v>-877198.36990000005</v>
      </c>
      <c r="E13">
        <v>2384565.6974999998</v>
      </c>
      <c r="F13">
        <v>224232.98420000001</v>
      </c>
      <c r="G13" s="6">
        <v>2608798.6817000001</v>
      </c>
      <c r="H13">
        <v>660698.32270000002</v>
      </c>
      <c r="I13">
        <v>83137.871599999999</v>
      </c>
      <c r="J13" s="6">
        <v>743836.19429999997</v>
      </c>
      <c r="K13">
        <v>4628044.8863000004</v>
      </c>
      <c r="L13">
        <v>417006.22720000002</v>
      </c>
      <c r="M13">
        <v>5045051.1134000001</v>
      </c>
      <c r="N13">
        <v>144000</v>
      </c>
    </row>
    <row r="14" spans="1:14">
      <c r="A14">
        <v>13</v>
      </c>
      <c r="B14">
        <v>-1767163.3655000001</v>
      </c>
      <c r="C14" s="6">
        <v>-6988.3053</v>
      </c>
      <c r="D14" s="6">
        <v>-1774151.6709</v>
      </c>
      <c r="E14">
        <v>1316575.9186</v>
      </c>
      <c r="F14">
        <v>132334.19690000001</v>
      </c>
      <c r="G14" s="6">
        <v>1448910.1155999999</v>
      </c>
      <c r="H14">
        <v>-244556.5673</v>
      </c>
      <c r="I14">
        <v>1961.0608999999999</v>
      </c>
      <c r="J14" s="6">
        <v>-242595.50640000001</v>
      </c>
      <c r="K14">
        <v>3858380.9901000001</v>
      </c>
      <c r="L14">
        <v>350424.93310000002</v>
      </c>
      <c r="M14">
        <v>4208805.9232000001</v>
      </c>
      <c r="N14">
        <v>249931.03450000001</v>
      </c>
    </row>
    <row r="15" spans="1:14">
      <c r="A15">
        <v>14</v>
      </c>
      <c r="B15">
        <v>-1526750.7404</v>
      </c>
      <c r="C15" s="6">
        <v>-4961.4611999999997</v>
      </c>
      <c r="D15" s="6">
        <v>-1531712.2017000001</v>
      </c>
      <c r="E15">
        <v>1490400.7361999999</v>
      </c>
      <c r="F15">
        <v>147477.00829999999</v>
      </c>
      <c r="G15" s="6">
        <v>1637877.7446000001</v>
      </c>
      <c r="H15">
        <v>-98618.340299999996</v>
      </c>
      <c r="I15">
        <v>17336.466899999999</v>
      </c>
      <c r="J15" s="6">
        <v>-81281.873399999997</v>
      </c>
      <c r="K15">
        <v>3811312.4057</v>
      </c>
      <c r="L15">
        <v>348103.83179999999</v>
      </c>
      <c r="M15">
        <v>4159416.2374999998</v>
      </c>
      <c r="N15">
        <v>220137.93100000001</v>
      </c>
    </row>
    <row r="16" spans="1:14">
      <c r="A16">
        <v>15</v>
      </c>
      <c r="B16">
        <v>-1314658.8095</v>
      </c>
      <c r="C16" s="6">
        <v>-4247.482</v>
      </c>
      <c r="D16" s="6">
        <v>-1318906.2915000001</v>
      </c>
      <c r="E16">
        <v>1216849.8315999999</v>
      </c>
      <c r="F16">
        <v>124145.08470000001</v>
      </c>
      <c r="G16" s="6">
        <v>1340994.9162999999</v>
      </c>
      <c r="H16">
        <v>-86452.744600000005</v>
      </c>
      <c r="I16">
        <v>18099.897199999999</v>
      </c>
      <c r="J16" s="6">
        <v>-68352.847500000003</v>
      </c>
      <c r="K16">
        <v>3037715.9032999999</v>
      </c>
      <c r="L16">
        <v>281901.3322</v>
      </c>
      <c r="M16">
        <v>3319617.2355</v>
      </c>
      <c r="N16">
        <v>145655.17240000001</v>
      </c>
    </row>
    <row r="17" spans="1:14">
      <c r="A17">
        <v>16</v>
      </c>
      <c r="B17">
        <v>-1189433.1135</v>
      </c>
      <c r="C17" s="6">
        <v>-13372.696599999999</v>
      </c>
      <c r="D17" s="6">
        <v>-1202805.8100999999</v>
      </c>
      <c r="E17">
        <v>1844372.9809999999</v>
      </c>
      <c r="F17">
        <v>172914.07680000001</v>
      </c>
      <c r="G17" s="6">
        <v>2017287.0578000001</v>
      </c>
      <c r="H17">
        <v>749698.54240000003</v>
      </c>
      <c r="I17">
        <v>85392.648000000001</v>
      </c>
      <c r="J17" s="6">
        <v>835091.19039999996</v>
      </c>
      <c r="K17">
        <v>4412431.3723999998</v>
      </c>
      <c r="L17">
        <v>395217.35340000002</v>
      </c>
      <c r="M17">
        <v>4807648.7258000001</v>
      </c>
      <c r="N17">
        <v>125793.10340000001</v>
      </c>
    </row>
    <row r="18" spans="1:14">
      <c r="A18">
        <v>17</v>
      </c>
      <c r="B18">
        <v>-1015445.1794</v>
      </c>
      <c r="C18" s="6">
        <v>-13525.870199999999</v>
      </c>
      <c r="D18" s="6">
        <v>-1028971.0496</v>
      </c>
      <c r="E18">
        <v>2014586.0427000001</v>
      </c>
      <c r="F18">
        <v>187588.7114</v>
      </c>
      <c r="G18" s="6">
        <v>2202174.7541</v>
      </c>
      <c r="H18">
        <v>1042060.1882</v>
      </c>
      <c r="I18">
        <v>110891.2745</v>
      </c>
      <c r="J18" s="6">
        <v>1152951.4627</v>
      </c>
      <c r="K18">
        <v>4762638.3223999999</v>
      </c>
      <c r="L18">
        <v>424820.23249999998</v>
      </c>
      <c r="M18">
        <v>5187458.5548999999</v>
      </c>
      <c r="N18">
        <v>157241.3793</v>
      </c>
    </row>
    <row r="19" spans="1:14">
      <c r="A19">
        <v>18</v>
      </c>
      <c r="B19">
        <v>-471991.75559999997</v>
      </c>
      <c r="C19" s="6">
        <v>-19486.6433</v>
      </c>
      <c r="D19" s="6">
        <v>-491478.39889999997</v>
      </c>
      <c r="E19">
        <v>2809122.0635000002</v>
      </c>
      <c r="F19">
        <v>260789.68890000001</v>
      </c>
      <c r="G19" s="6">
        <v>3069911.7524000001</v>
      </c>
      <c r="H19">
        <v>1218791.8844999999</v>
      </c>
      <c r="I19">
        <v>131377.13560000001</v>
      </c>
      <c r="J19" s="6">
        <v>1350169.0201000001</v>
      </c>
      <c r="K19">
        <v>4984395.4698999999</v>
      </c>
      <c r="L19">
        <v>447647.55660000001</v>
      </c>
      <c r="M19">
        <v>5432043.0264999997</v>
      </c>
      <c r="N19">
        <v>160551.72409999999</v>
      </c>
    </row>
    <row r="20" spans="1:14">
      <c r="A20">
        <v>19</v>
      </c>
      <c r="B20">
        <v>-1704852.1244000001</v>
      </c>
      <c r="C20" s="6">
        <v>-16201.440699999999</v>
      </c>
      <c r="D20" s="6">
        <v>-1721053.5651</v>
      </c>
      <c r="E20">
        <v>1189880.2435999999</v>
      </c>
      <c r="F20">
        <v>121521.391</v>
      </c>
      <c r="G20" s="6">
        <v>1311401.6346</v>
      </c>
      <c r="H20">
        <v>-262923.67009999999</v>
      </c>
      <c r="I20">
        <v>3509.6021000000001</v>
      </c>
      <c r="J20" s="6">
        <v>-259414.068</v>
      </c>
      <c r="K20">
        <v>3441306.7524000001</v>
      </c>
      <c r="L20">
        <v>315721.2611</v>
      </c>
      <c r="M20">
        <v>3757028.0134000001</v>
      </c>
      <c r="N20">
        <v>289655.17239999998</v>
      </c>
    </row>
    <row r="21" spans="1:14">
      <c r="A21">
        <v>20</v>
      </c>
      <c r="B21">
        <v>687183.59640000004</v>
      </c>
      <c r="C21" s="6">
        <v>85490.058999999994</v>
      </c>
      <c r="D21" s="6">
        <v>772673.65540000005</v>
      </c>
      <c r="E21">
        <v>3850144.9838</v>
      </c>
      <c r="F21">
        <v>350912.80550000002</v>
      </c>
      <c r="G21" s="6">
        <v>4201057.7893000003</v>
      </c>
      <c r="H21">
        <v>3076931.7034</v>
      </c>
      <c r="I21">
        <v>291570.40789999999</v>
      </c>
      <c r="J21" s="6">
        <v>3368502.1112000002</v>
      </c>
      <c r="K21">
        <v>6836262.648</v>
      </c>
      <c r="L21">
        <v>608385.64859999996</v>
      </c>
      <c r="M21">
        <v>7444648.2966</v>
      </c>
      <c r="N21">
        <v>273103.44829999999</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17</v>
      </c>
      <c r="B1">
        <f ca="1">SUM(B2:INDIRECT("B" &amp; (Sheet2!$B$3+1)))</f>
        <v>0</v>
      </c>
      <c r="C1">
        <f ca="1">SUM(C2:INDIRECT("C" &amp; (Sheet2!$B$3+1)))</f>
        <v>5</v>
      </c>
      <c r="D1">
        <f ca="1">SUM(D2:INDIRECT("D" &amp; (Sheet2!$B$3+1)))</f>
        <v>3</v>
      </c>
      <c r="E1">
        <f ca="1">SUM(E2:INDIRECT("E" &amp; (Sheet2!$B$3+1)))</f>
        <v>20</v>
      </c>
      <c r="F1">
        <f ca="1">SUM(F2:INDIRECT("F" &amp; (Sheet2!$B$3+1)))</f>
        <v>15</v>
      </c>
      <c r="G1">
        <f ca="1">SUM(G2:INDIRECT("G" &amp; (Sheet2!$B$3+1)))</f>
        <v>0</v>
      </c>
      <c r="H1">
        <f ca="1">SUM(H2:INDIRECT("H" &amp; (Sheet2!$B$3+1)))</f>
        <v>20</v>
      </c>
      <c r="I1">
        <f ca="1">(SUM(I2:INDIRECT("I" &amp; (Sheet2!$B$3+1))))/D1</f>
        <v>555525.32053333335</v>
      </c>
      <c r="J1">
        <f ca="1">(SUM(J2:INDIRECT("J" &amp; (Sheet2!$B$3+1))))/$E1</f>
        <v>2326462.7802400002</v>
      </c>
      <c r="K1">
        <f ca="1">(SUM(K2:INDIRECT("K" &amp; (Sheet2!$B$3+1))))/F1</f>
        <v>1472343.3551333332</v>
      </c>
      <c r="L1">
        <f ca="1">(SUM(L2:INDIRECT("L" &amp; (Sheet2!$B$3+1))))/H1</f>
        <v>5089767.1875200002</v>
      </c>
      <c r="M1">
        <f ca="1">(SUM(M2:INDIRECT("M" &amp; (Sheet2!$B$3+1))))/A1</f>
        <v>-1167798.9228352942</v>
      </c>
      <c r="N1" t="e">
        <f ca="1">(SUM(N2:INDIRECT("N" &amp; (Sheet2!$B$3+1))))/$B1</f>
        <v>#DIV/0!</v>
      </c>
      <c r="O1">
        <f ca="1">(SUM(O2:INDIRECT("O" &amp; (Sheet2!$B$3+1))))/C1</f>
        <v>-215395.29324000003</v>
      </c>
      <c r="P1" t="e">
        <f ca="1">(SUM(P2:INDIRECT("P" &amp; (Sheet2!$B$3+1))))/G1</f>
        <v>#DIV/0!</v>
      </c>
      <c r="Q1">
        <f ca="1">(SUM(Q2:INDIRECT("Q" &amp; (Sheet2!$B$3+1))))/$E1</f>
        <v>169903.44826500001</v>
      </c>
      <c r="R1" t="e">
        <f ca="1">(SUM(R2:INDIRECT("R" &amp; (Sheet2!$B$3+1))))/$B1</f>
        <v>#DIV/0!</v>
      </c>
    </row>
    <row r="2" spans="1:18">
      <c r="A2">
        <f>IF(Results!D2&lt;=Input!$C$27, 1, 0)</f>
        <v>1</v>
      </c>
      <c r="B2">
        <f>IF(Results!G2&lt;=Input!$C$27, 1, 0)</f>
        <v>0</v>
      </c>
      <c r="C2">
        <f>IF(Results!J2&lt;=Input!$C$27, 1, 0)</f>
        <v>0</v>
      </c>
      <c r="D2">
        <f>IF(Results!D2&gt;=Input!$F$27, 1, 0)</f>
        <v>0</v>
      </c>
      <c r="E2">
        <f>IF(Results!G2&gt;=Input!$F$27, 1, 0)</f>
        <v>1</v>
      </c>
      <c r="F2">
        <f>IF(Results!J2&gt;=Input!$F$27, 1, 0)</f>
        <v>1</v>
      </c>
      <c r="G2">
        <f>IF(Results!M2&lt;=Input!$C$27, 1, 0)</f>
        <v>0</v>
      </c>
      <c r="H2">
        <f>IF(Results!M2&gt;=Input!$F$27, 1, 0)</f>
        <v>1</v>
      </c>
      <c r="I2">
        <f>IF(D2=1,Results!D2,0)</f>
        <v>0</v>
      </c>
      <c r="J2">
        <f>IF($E2=1,Results!G2,0)</f>
        <v>2823477.8420000002</v>
      </c>
      <c r="K2">
        <f>IF(F2=1,Results!J2,0)</f>
        <v>1992090.3492999999</v>
      </c>
      <c r="L2">
        <f>IF(H2=1,Results!M2,0)</f>
        <v>5832522.7785</v>
      </c>
      <c r="M2">
        <f>IF(A2=1,Results!D2,0)</f>
        <v>-440349.61589999998</v>
      </c>
      <c r="N2">
        <f>IF($B2=1,Results!G2,0)</f>
        <v>0</v>
      </c>
      <c r="O2">
        <f>IF(C2=1,Results!J2,0)</f>
        <v>0</v>
      </c>
      <c r="P2">
        <f>IF(G2=1,Results!M2,0)</f>
        <v>0</v>
      </c>
      <c r="Q2">
        <f>IF($E2=1,Results!N2,0)</f>
        <v>144000</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1462594.5807</v>
      </c>
      <c r="K3">
        <f>IF(F3=1,Results!J3,0)</f>
        <v>859164.59210000001</v>
      </c>
      <c r="L3">
        <f>IF(H3=1,Results!M3,0)</f>
        <v>4967270.7685000002</v>
      </c>
      <c r="M3">
        <f>IF(A3=1,Results!D3,0)</f>
        <v>-1648993.4432999999</v>
      </c>
      <c r="N3">
        <f>IF(B3=1,Results!G3,0)</f>
        <v>0</v>
      </c>
      <c r="O3">
        <f>IF(C3=1,Results!J3,0)</f>
        <v>0</v>
      </c>
      <c r="P3">
        <f>IF(G3=1,Results!M3,0)</f>
        <v>0</v>
      </c>
      <c r="Q3">
        <f>IF($E3=1,Results!N3,0)</f>
        <v>196965.5172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2413541.6266999999</v>
      </c>
      <c r="K4">
        <f>IF(F4=1,Results!J4,0)</f>
        <v>1690657.794</v>
      </c>
      <c r="L4">
        <f>IF(H4=1,Results!M4,0)</f>
        <v>5801195.8426000001</v>
      </c>
      <c r="M4">
        <f>IF(A4=1,Results!D4,0)</f>
        <v>-981117.38589999999</v>
      </c>
      <c r="N4">
        <f>IF(B4=1,Results!G4,0)</f>
        <v>0</v>
      </c>
      <c r="O4">
        <f>IF(C4=1,Results!J4,0)</f>
        <v>0</v>
      </c>
      <c r="P4">
        <f>IF(G4=1,Results!M4,0)</f>
        <v>0</v>
      </c>
      <c r="Q4">
        <f>IF($E4=1,Results!N4,0)</f>
        <v>134068.96549999999</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2187860.5027999999</v>
      </c>
      <c r="K5">
        <f>IF(F5=1,Results!J5,0)</f>
        <v>700363.41370000003</v>
      </c>
      <c r="L5">
        <f>IF(H5=1,Results!M5,0)</f>
        <v>4734330.2065000003</v>
      </c>
      <c r="M5">
        <f>IF(A5=1,Results!D5,0)</f>
        <v>-1027035.8722</v>
      </c>
      <c r="N5">
        <f>IF(B5=1,Results!G5,0)</f>
        <v>0</v>
      </c>
      <c r="O5">
        <f>IF(C5=1,Results!J5,0)</f>
        <v>0</v>
      </c>
      <c r="P5">
        <f>IF(G5=1,Results!M5,0)</f>
        <v>0</v>
      </c>
      <c r="Q5">
        <f>IF($E5=1,Results!N5,0)</f>
        <v>8275.8621000000003</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2140783.2566</v>
      </c>
      <c r="K6">
        <f>IF(F6=1,Results!J6,0)</f>
        <v>917376.16570000001</v>
      </c>
      <c r="L6">
        <f>IF(H6=1,Results!M6,0)</f>
        <v>5053037.1803000001</v>
      </c>
      <c r="M6">
        <f>IF(A6=1,Results!D6,0)</f>
        <v>-1073923.6066000001</v>
      </c>
      <c r="N6">
        <f>IF(B6=1,Results!G6,0)</f>
        <v>0</v>
      </c>
      <c r="O6">
        <f>IF(C6=1,Results!J6,0)</f>
        <v>0</v>
      </c>
      <c r="P6">
        <f>IF(G6=1,Results!M6,0)</f>
        <v>0</v>
      </c>
      <c r="Q6">
        <f>IF($E6=1,Results!N6,0)</f>
        <v>254896.55170000001</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584559.57709999999</v>
      </c>
      <c r="J7">
        <f>IF(E7=1,Results!G7,0)</f>
        <v>4119096.023</v>
      </c>
      <c r="K7">
        <f>IF(F7=1,Results!J7,0)</f>
        <v>2759679.6669999999</v>
      </c>
      <c r="L7">
        <f>IF(H7=1,Results!M7,0)</f>
        <v>6868212.2320999997</v>
      </c>
      <c r="M7">
        <f>IF(A7=1,Results!D7,0)</f>
        <v>0</v>
      </c>
      <c r="N7">
        <f>IF(B7=1,Results!G7,0)</f>
        <v>0</v>
      </c>
      <c r="O7">
        <f>IF(C7=1,Results!J7,0)</f>
        <v>0</v>
      </c>
      <c r="P7">
        <f>IF(G7=1,Results!M7,0)</f>
        <v>0</v>
      </c>
      <c r="Q7">
        <f>IF($E7=1,Results!N7,0)</f>
        <v>170482.7586</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3145742.7053999999</v>
      </c>
      <c r="K8">
        <f>IF(F8=1,Results!J8,0)</f>
        <v>1774262.4697</v>
      </c>
      <c r="L8">
        <f>IF(H8=1,Results!M8,0)</f>
        <v>5672550.3744999999</v>
      </c>
      <c r="M8">
        <f>IF(A8=1,Results!D8,0)</f>
        <v>-234399.44339999999</v>
      </c>
      <c r="N8">
        <f>IF(B8=1,Results!G8,0)</f>
        <v>0</v>
      </c>
      <c r="O8">
        <f>IF(C8=1,Results!J8,0)</f>
        <v>0</v>
      </c>
      <c r="P8">
        <f>IF(G8=1,Results!M8,0)</f>
        <v>0</v>
      </c>
      <c r="Q8">
        <f>IF($E8=1,Results!N8,0)</f>
        <v>124137.931</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1760713.6635</v>
      </c>
      <c r="K9">
        <f>IF(F9=1,Results!J9,0)</f>
        <v>683284.93310000002</v>
      </c>
      <c r="L9">
        <f>IF(H9=1,Results!M9,0)</f>
        <v>4538047.5394000001</v>
      </c>
      <c r="M9">
        <f>IF(A9=1,Results!D9,0)</f>
        <v>-1283456.2076000001</v>
      </c>
      <c r="N9">
        <f>IF(B9=1,Results!G9,0)</f>
        <v>0</v>
      </c>
      <c r="O9">
        <f>IF(C9=1,Results!J9,0)</f>
        <v>0</v>
      </c>
      <c r="P9">
        <f>IF(G9=1,Results!M9,0)</f>
        <v>0</v>
      </c>
      <c r="Q9">
        <f>IF($E9=1,Results!N9,0)</f>
        <v>41379.310299999997</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309342.7291</v>
      </c>
      <c r="J10">
        <f>IF(E10=1,Results!G10,0)</f>
        <v>3875265.7573000002</v>
      </c>
      <c r="K10">
        <f>IF(F10=1,Results!J10,0)</f>
        <v>2574917.1063000001</v>
      </c>
      <c r="L10">
        <f>IF(H10=1,Results!M10,0)</f>
        <v>6641842.5620999997</v>
      </c>
      <c r="M10">
        <f>IF(A10=1,Results!D10,0)</f>
        <v>0</v>
      </c>
      <c r="N10">
        <f>IF(B10=1,Results!G10,0)</f>
        <v>0</v>
      </c>
      <c r="O10">
        <f>IF(C10=1,Results!J10,0)</f>
        <v>0</v>
      </c>
      <c r="P10">
        <f>IF(G10=1,Results!M10,0)</f>
        <v>0</v>
      </c>
      <c r="Q10">
        <f>IF($E10=1,Results!N10,0)</f>
        <v>201931.03450000001</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1836796.8456999999</v>
      </c>
      <c r="K11">
        <f>IF(F11=1,Results!J11,0)</f>
        <v>682803.85739999998</v>
      </c>
      <c r="L11">
        <f>IF(H11=1,Results!M11,0)</f>
        <v>4632026.0138999997</v>
      </c>
      <c r="M11">
        <f>IF(A11=1,Results!D11,0)</f>
        <v>-1241915.8648999999</v>
      </c>
      <c r="N11">
        <f>IF(B11=1,Results!G11,0)</f>
        <v>0</v>
      </c>
      <c r="O11">
        <f>IF(C11=1,Results!J11,0)</f>
        <v>0</v>
      </c>
      <c r="P11">
        <f>IF(G11=1,Results!M11,0)</f>
        <v>0</v>
      </c>
      <c r="Q11">
        <f>IF($E11=1,Results!N11,0)</f>
        <v>130758.6207</v>
      </c>
      <c r="R11">
        <f>IF($B11=1,Results!N11,0)</f>
        <v>0</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924968.35470000003</v>
      </c>
      <c r="K12">
        <f>IF(F12=1,Results!J12,0)</f>
        <v>0</v>
      </c>
      <c r="L12">
        <f>IF(H12=1,Results!M12,0)</f>
        <v>3692591.1252000001</v>
      </c>
      <c r="M12">
        <f>IF(A12=1,Results!D12,0)</f>
        <v>-1975112.8907000001</v>
      </c>
      <c r="N12">
        <f>IF(B12=1,Results!G12,0)</f>
        <v>0</v>
      </c>
      <c r="O12">
        <f>IF(C12=1,Results!J12,0)</f>
        <v>-425332.17090000003</v>
      </c>
      <c r="P12">
        <f>IF(G12=1,Results!M12,0)</f>
        <v>0</v>
      </c>
      <c r="Q12">
        <f>IF($E12=1,Results!N12,0)</f>
        <v>225103.44829999999</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2608798.6817000001</v>
      </c>
      <c r="K13">
        <f>IF(F13=1,Results!J13,0)</f>
        <v>743836.19429999997</v>
      </c>
      <c r="L13">
        <f>IF(H13=1,Results!M13,0)</f>
        <v>5045051.1134000001</v>
      </c>
      <c r="M13">
        <f>IF(A13=1,Results!D13,0)</f>
        <v>-877198.36990000005</v>
      </c>
      <c r="N13">
        <f>IF(B13=1,Results!G13,0)</f>
        <v>0</v>
      </c>
      <c r="O13">
        <f>IF(C13=1,Results!J13,0)</f>
        <v>0</v>
      </c>
      <c r="P13">
        <f>IF(G13=1,Results!M13,0)</f>
        <v>0</v>
      </c>
      <c r="Q13">
        <f>IF($E13=1,Results!N13,0)</f>
        <v>144000</v>
      </c>
      <c r="R13">
        <f>IF($B13=1,Results!N13,0)</f>
        <v>0</v>
      </c>
    </row>
    <row r="14" spans="1:18">
      <c r="A14">
        <f>IF(Results!D14&lt;=Input!$C$27, 1, 0)</f>
        <v>1</v>
      </c>
      <c r="B14">
        <f>IF(Results!G14&lt;=Input!$C$27, 1, 0)</f>
        <v>0</v>
      </c>
      <c r="C14">
        <f>IF(Results!J14&lt;=Input!$C$27, 1, 0)</f>
        <v>1</v>
      </c>
      <c r="D14">
        <f>IF(Results!D14&gt;=Input!$F$27, 1, 0)</f>
        <v>0</v>
      </c>
      <c r="E14">
        <f>IF(Results!G14&gt;=Input!$F$27, 1, 0)</f>
        <v>1</v>
      </c>
      <c r="F14">
        <f>IF(Results!J14&gt;=Input!$F$27, 1, 0)</f>
        <v>0</v>
      </c>
      <c r="G14">
        <f>IF(Results!M14&lt;=Input!$C$27, 1, 0)</f>
        <v>0</v>
      </c>
      <c r="H14">
        <f>IF(Results!M14&gt;=Input!$F$27, 1, 0)</f>
        <v>1</v>
      </c>
      <c r="I14">
        <f>IF(D14=1,Results!D14,0)</f>
        <v>0</v>
      </c>
      <c r="J14">
        <f>IF(E14=1,Results!G14,0)</f>
        <v>1448910.1155999999</v>
      </c>
      <c r="K14">
        <f>IF(F14=1,Results!J14,0)</f>
        <v>0</v>
      </c>
      <c r="L14">
        <f>IF(H14=1,Results!M14,0)</f>
        <v>4208805.9232000001</v>
      </c>
      <c r="M14">
        <f>IF(A14=1,Results!D14,0)</f>
        <v>-1774151.6709</v>
      </c>
      <c r="N14">
        <f>IF(B14=1,Results!G14,0)</f>
        <v>0</v>
      </c>
      <c r="O14">
        <f>IF(C14=1,Results!J14,0)</f>
        <v>-242595.50640000001</v>
      </c>
      <c r="P14">
        <f>IF(G14=1,Results!M14,0)</f>
        <v>0</v>
      </c>
      <c r="Q14">
        <f>IF($E14=1,Results!N14,0)</f>
        <v>249931.03450000001</v>
      </c>
      <c r="R14">
        <f>IF($B14=1,Results!N14,0)</f>
        <v>0</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1637877.7446000001</v>
      </c>
      <c r="K15">
        <f>IF(F15=1,Results!J15,0)</f>
        <v>0</v>
      </c>
      <c r="L15">
        <f>IF(H15=1,Results!M15,0)</f>
        <v>4159416.2374999998</v>
      </c>
      <c r="M15">
        <f>IF(A15=1,Results!D15,0)</f>
        <v>-1531712.2017000001</v>
      </c>
      <c r="N15">
        <f>IF(B15=1,Results!G15,0)</f>
        <v>0</v>
      </c>
      <c r="O15">
        <f>IF(C15=1,Results!J15,0)</f>
        <v>-81281.873399999997</v>
      </c>
      <c r="P15">
        <f>IF(G15=1,Results!M15,0)</f>
        <v>0</v>
      </c>
      <c r="Q15">
        <f>IF($E15=1,Results!N15,0)</f>
        <v>220137.93100000001</v>
      </c>
      <c r="R15">
        <f>IF($B15=1,Results!N15,0)</f>
        <v>0</v>
      </c>
    </row>
    <row r="16" spans="1:18">
      <c r="A16">
        <f>IF(Results!D16&lt;=Input!$C$27, 1, 0)</f>
        <v>1</v>
      </c>
      <c r="B16">
        <f>IF(Results!G16&lt;=Input!$C$27, 1, 0)</f>
        <v>0</v>
      </c>
      <c r="C16">
        <f>IF(Results!J16&lt;=Input!$C$27, 1, 0)</f>
        <v>1</v>
      </c>
      <c r="D16">
        <f>IF(Results!D16&gt;=Input!$F$27, 1, 0)</f>
        <v>0</v>
      </c>
      <c r="E16">
        <f>IF(Results!G16&gt;=Input!$F$27, 1, 0)</f>
        <v>1</v>
      </c>
      <c r="F16">
        <f>IF(Results!J16&gt;=Input!$F$27, 1, 0)</f>
        <v>0</v>
      </c>
      <c r="G16">
        <f>IF(Results!M16&lt;=Input!$C$27, 1, 0)</f>
        <v>0</v>
      </c>
      <c r="H16">
        <f>IF(Results!M16&gt;=Input!$F$27, 1, 0)</f>
        <v>1</v>
      </c>
      <c r="I16">
        <f>IF(D16=1,Results!D16,0)</f>
        <v>0</v>
      </c>
      <c r="J16">
        <f>IF(E16=1,Results!G16,0)</f>
        <v>1340994.9162999999</v>
      </c>
      <c r="K16">
        <f>IF(F16=1,Results!J16,0)</f>
        <v>0</v>
      </c>
      <c r="L16">
        <f>IF(H16=1,Results!M16,0)</f>
        <v>3319617.2355</v>
      </c>
      <c r="M16">
        <f>IF(A16=1,Results!D16,0)</f>
        <v>-1318906.2915000001</v>
      </c>
      <c r="N16">
        <f>IF(B16=1,Results!G16,0)</f>
        <v>0</v>
      </c>
      <c r="O16">
        <f>IF(C16=1,Results!J16,0)</f>
        <v>-68352.847500000003</v>
      </c>
      <c r="P16">
        <f>IF(G16=1,Results!M16,0)</f>
        <v>0</v>
      </c>
      <c r="Q16">
        <f>IF($E16=1,Results!N16,0)</f>
        <v>145655.17240000001</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2017287.0578000001</v>
      </c>
      <c r="K17">
        <f>IF(F17=1,Results!J17,0)</f>
        <v>835091.19039999996</v>
      </c>
      <c r="L17">
        <f>IF(H17=1,Results!M17,0)</f>
        <v>4807648.7258000001</v>
      </c>
      <c r="M17">
        <f>IF(A17=1,Results!D17,0)</f>
        <v>-1202805.8100999999</v>
      </c>
      <c r="N17">
        <f>IF(B17=1,Results!G17,0)</f>
        <v>0</v>
      </c>
      <c r="O17">
        <f>IF(C17=1,Results!J17,0)</f>
        <v>0</v>
      </c>
      <c r="P17">
        <f>IF(G17=1,Results!M17,0)</f>
        <v>0</v>
      </c>
      <c r="Q17">
        <f>IF($E17=1,Results!N17,0)</f>
        <v>125793.10340000001</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2202174.7541</v>
      </c>
      <c r="K18">
        <f>IF(F18=1,Results!J18,0)</f>
        <v>1152951.4627</v>
      </c>
      <c r="L18">
        <f>IF(H18=1,Results!M18,0)</f>
        <v>5187458.5548999999</v>
      </c>
      <c r="M18">
        <f>IF(A18=1,Results!D18,0)</f>
        <v>-1028971.0496</v>
      </c>
      <c r="N18">
        <f>IF(B18=1,Results!G18,0)</f>
        <v>0</v>
      </c>
      <c r="O18">
        <f>IF(C18=1,Results!J18,0)</f>
        <v>0</v>
      </c>
      <c r="P18">
        <f>IF(G18=1,Results!M18,0)</f>
        <v>0</v>
      </c>
      <c r="Q18">
        <f>IF($E18=1,Results!N18,0)</f>
        <v>157241.3793</v>
      </c>
      <c r="R18">
        <f>IF($B18=1,Results!N18,0)</f>
        <v>0</v>
      </c>
    </row>
    <row r="19" spans="1:18">
      <c r="A19">
        <f>IF(Results!D19&lt;=Input!$C$27, 1, 0)</f>
        <v>1</v>
      </c>
      <c r="B19">
        <f>IF(Results!G19&lt;=Input!$C$27, 1, 0)</f>
        <v>0</v>
      </c>
      <c r="C19">
        <f>IF(Results!J19&lt;=Input!$C$27, 1, 0)</f>
        <v>0</v>
      </c>
      <c r="D19">
        <f>IF(Results!D19&gt;=Input!$F$27, 1, 0)</f>
        <v>0</v>
      </c>
      <c r="E19">
        <f>IF(Results!G19&gt;=Input!$F$27, 1, 0)</f>
        <v>1</v>
      </c>
      <c r="F19">
        <f>IF(Results!J19&gt;=Input!$F$27, 1, 0)</f>
        <v>1</v>
      </c>
      <c r="G19">
        <f>IF(Results!M19&lt;=Input!$C$27, 1, 0)</f>
        <v>0</v>
      </c>
      <c r="H19">
        <f>IF(Results!M19&gt;=Input!$F$27, 1, 0)</f>
        <v>1</v>
      </c>
      <c r="I19">
        <f>IF(D19=1,Results!D19,0)</f>
        <v>0</v>
      </c>
      <c r="J19">
        <f>IF(E19=1,Results!G19,0)</f>
        <v>3069911.7524000001</v>
      </c>
      <c r="K19">
        <f>IF(F19=1,Results!J19,0)</f>
        <v>1350169.0201000001</v>
      </c>
      <c r="L19">
        <f>IF(H19=1,Results!M19,0)</f>
        <v>5432043.0264999997</v>
      </c>
      <c r="M19">
        <f>IF(A19=1,Results!D19,0)</f>
        <v>-491478.39889999997</v>
      </c>
      <c r="N19">
        <f>IF(B19=1,Results!G19,0)</f>
        <v>0</v>
      </c>
      <c r="O19">
        <f>IF(C19=1,Results!J19,0)</f>
        <v>0</v>
      </c>
      <c r="P19">
        <f>IF(G19=1,Results!M19,0)</f>
        <v>0</v>
      </c>
      <c r="Q19">
        <f>IF($E19=1,Results!N19,0)</f>
        <v>160551.72409999999</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1311401.6346</v>
      </c>
      <c r="K20">
        <f>IF(F20=1,Results!J20,0)</f>
        <v>0</v>
      </c>
      <c r="L20">
        <f>IF(H20=1,Results!M20,0)</f>
        <v>3757028.0134000001</v>
      </c>
      <c r="M20">
        <f>IF(A20=1,Results!D20,0)</f>
        <v>-1721053.5651</v>
      </c>
      <c r="N20">
        <f>IF(B20=1,Results!G20,0)</f>
        <v>0</v>
      </c>
      <c r="O20">
        <f>IF(C20=1,Results!J20,0)</f>
        <v>-259414.068</v>
      </c>
      <c r="P20">
        <f>IF(G20=1,Results!M20,0)</f>
        <v>0</v>
      </c>
      <c r="Q20">
        <f>IF($E20=1,Results!N20,0)</f>
        <v>289655.17239999998</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772673.65540000005</v>
      </c>
      <c r="J21">
        <f>IF(E21=1,Results!G21,0)</f>
        <v>4201057.7893000003</v>
      </c>
      <c r="K21">
        <f>IF(F21=1,Results!J21,0)</f>
        <v>3368502.1112000002</v>
      </c>
      <c r="L21">
        <f>IF(H21=1,Results!M21,0)</f>
        <v>7444648.2966</v>
      </c>
      <c r="M21">
        <f>IF(A21=1,Results!D21,0)</f>
        <v>0</v>
      </c>
      <c r="N21">
        <f>IF(B21=1,Results!G21,0)</f>
        <v>0</v>
      </c>
      <c r="O21">
        <f>IF(C21=1,Results!J21,0)</f>
        <v>0</v>
      </c>
      <c r="P21">
        <f>IF(G21=1,Results!M21,0)</f>
        <v>0</v>
      </c>
      <c r="Q21">
        <f>IF($E21=1,Results!N21,0)</f>
        <v>273103.44829999999</v>
      </c>
      <c r="R21">
        <f>IF($B21=1,Results!N21,0)</f>
        <v>0</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2026-05-01T20:53:46Z</dcterms:modified>
</cp:coreProperties>
</file>