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jects\SurvivorPoolNLP\trunk\"/>
    </mc:Choice>
  </mc:AlternateContent>
  <bookViews>
    <workbookView xWindow="0" yWindow="0" windowWidth="16170" windowHeight="7425" activeTab="1"/>
  </bookViews>
  <sheets>
    <sheet name="Run Page" sheetId="6" r:id="rId1"/>
    <sheet name="Spreads" sheetId="1" r:id="rId2"/>
    <sheet name="Probs" sheetId="2" r:id="rId3"/>
    <sheet name="Picks" sheetId="5" r:id="rId4"/>
    <sheet name="Prob Table" sheetId="3" r:id="rId5"/>
    <sheet name="Raw Input" sheetId="4" r:id="rId6"/>
  </sheets>
  <definedNames>
    <definedName name="_xlnm._FilterDatabase" localSheetId="1" hidden="1">Spreads!$C$4:$T$23</definedName>
    <definedName name="pick" localSheetId="0">Picks!$C$5:$S$36</definedName>
    <definedName name="pick.badindex" localSheetId="0" hidden="1">1</definedName>
    <definedName name="pick.columnindex" localSheetId="0" hidden="1">'Run Page'!Weeks</definedName>
    <definedName name="pick.columnindex.dirn" localSheetId="0" hidden="1">"column"</definedName>
    <definedName name="pick.firstindex" localSheetId="0" hidden="1">"column"</definedName>
    <definedName name="pick.rowindex" localSheetId="0" hidden="1">'Run Page'!Teams</definedName>
    <definedName name="pick.rowindex.dirn" localSheetId="0" hidden="1">"row"</definedName>
    <definedName name="pickTable">Table3[#All]</definedName>
    <definedName name="probTable">Table2[#All]</definedName>
    <definedName name="ptSpread">OFFSET('Prob Table'!$B$2,0,0,ptSpreadCount,1)</definedName>
    <definedName name="ptSpreadCount">COUNTA('Prob Table'!$B$2+'Prob Table'!$B$2:$B$200)</definedName>
    <definedName name="ptWinProb">OFFSET('Prob Table'!$C$2,0,0,ptSpreadCount,1)</definedName>
    <definedName name="solver_adj" localSheetId="3" hidden="1">Picks!$C$5:$H$36</definedName>
    <definedName name="solver_cvg" localSheetId="3" hidden="1">0.0001</definedName>
    <definedName name="solver_drv" localSheetId="3" hidden="1">2</definedName>
    <definedName name="solver_eng" localSheetId="3" hidden="1">3</definedName>
    <definedName name="solver_est" localSheetId="3" hidden="1">1</definedName>
    <definedName name="solver_itr" localSheetId="3" hidden="1">2147483647</definedName>
    <definedName name="solver_lhs1" localSheetId="3" hidden="1">Picks!$C$38:$S$38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Picks!$D$2</definedName>
    <definedName name="solver_pre" localSheetId="3" hidden="1">0.000001</definedName>
    <definedName name="solver_rbv" localSheetId="3" hidden="1">2</definedName>
    <definedName name="solver_rel1" localSheetId="3" hidden="1">2</definedName>
    <definedName name="solver_rhs1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  <definedName name="spreadTable">Table1[#All]</definedName>
    <definedName name="survivalChances">Picks!$D$2</definedName>
    <definedName name="table">Table3[#All]</definedName>
    <definedName name="Teams" localSheetId="0">Probs!$C$5:$C$36</definedName>
    <definedName name="Teams.dirn" localSheetId="0" hidden="1">"row"</definedName>
    <definedName name="Weeks" localSheetId="0">Probs!$D$4:$T$4</definedName>
    <definedName name="Weeks.dirn" localSheetId="0" hidden="1">"column"</definedName>
    <definedName name="winProb" localSheetId="0">Probs!$D$5:$T$36</definedName>
    <definedName name="winProb.badindex" localSheetId="0" hidden="1">1</definedName>
    <definedName name="winProb.columnindex" localSheetId="0" hidden="1">Probs!$D$4:$T$4</definedName>
    <definedName name="winProb.columnindex.dirn" localSheetId="0" hidden="1">"column"</definedName>
    <definedName name="winProb.firstindex" localSheetId="0" hidden="1">"column"</definedName>
    <definedName name="winProb.rowindex" localSheetId="0" hidden="1">Probs!$C$5:$C$36</definedName>
    <definedName name="winProb.rowindex.dirn" localSheetId="0" hidden="1">"row"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5" i="2"/>
  <c r="F39" i="5" l="1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S38" i="5" l="1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39" i="5" l="1"/>
  <c r="D39" i="5"/>
  <c r="C39" i="5"/>
  <c r="C40" i="5" s="1"/>
  <c r="D40" i="5" l="1"/>
  <c r="E40" i="5" s="1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D2" i="5"/>
</calcChain>
</file>

<file path=xl/sharedStrings.xml><?xml version="1.0" encoding="utf-8"?>
<sst xmlns="http://schemas.openxmlformats.org/spreadsheetml/2006/main" count="314" uniqueCount="114">
  <si>
    <t>Team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</si>
  <si>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</si>
  <si>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</si>
  <si>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</si>
  <si>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</si>
  <si>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</si>
  <si>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</si>
  <si>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</si>
  <si>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</si>
  <si>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</si>
  <si>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</si>
  <si>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</si>
  <si>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</si>
  <si>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</si>
  <si>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</si>
  <si>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</si>
  <si>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</si>
  <si>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</si>
  <si>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ATL</t>
  </si>
  <si>
    <t>NO</t>
  </si>
  <si>
    <t>CAR</t>
  </si>
  <si>
    <t>TB</t>
  </si>
  <si>
    <t>TEN</t>
  </si>
  <si>
    <t>SEA</t>
  </si>
  <si>
    <t>STL</t>
  </si>
  <si>
    <t>NYJ</t>
  </si>
  <si>
    <t>NYG</t>
  </si>
  <si>
    <t>NE</t>
  </si>
  <si>
    <t>SF</t>
  </si>
  <si>
    <t>DAL</t>
  </si>
  <si>
    <t>HOU</t>
  </si>
  <si>
    <t>BUF</t>
  </si>
  <si>
    <t>JAX</t>
  </si>
  <si>
    <t>MIA</t>
  </si>
  <si>
    <t>PIT</t>
  </si>
  <si>
    <t>PHI</t>
  </si>
  <si>
    <t>DET</t>
  </si>
  <si>
    <t>ARI</t>
  </si>
  <si>
    <t>BAL</t>
  </si>
  <si>
    <t>IND</t>
  </si>
  <si>
    <t>CHI</t>
  </si>
  <si>
    <t>GB</t>
  </si>
  <si>
    <t>WSH</t>
  </si>
  <si>
    <t>DEN</t>
  </si>
  <si>
    <t>CIN</t>
  </si>
  <si>
    <t>CLE</t>
  </si>
  <si>
    <t>KC</t>
  </si>
  <si>
    <t>OAK</t>
  </si>
  <si>
    <t>SD</t>
  </si>
  <si>
    <t>MIN</t>
  </si>
  <si>
    <t>Spread</t>
  </si>
  <si>
    <t>Win Prob</t>
  </si>
  <si>
    <t>Broncos</t>
  </si>
  <si>
    <t>at</t>
  </si>
  <si>
    <t>Chiefs</t>
  </si>
  <si>
    <t>(+1)</t>
  </si>
  <si>
    <t>Texans</t>
  </si>
  <si>
    <t>Panthers</t>
  </si>
  <si>
    <t>(-2.5)</t>
  </si>
  <si>
    <t>Buccaneers</t>
  </si>
  <si>
    <t>Saints</t>
  </si>
  <si>
    <t>(-6.5)</t>
  </si>
  <si>
    <t>Dolphins</t>
  </si>
  <si>
    <t>Jaguars</t>
  </si>
  <si>
    <t>(+4)</t>
  </si>
  <si>
    <t>Ravens</t>
  </si>
  <si>
    <t>Raiders</t>
  </si>
  <si>
    <t>(+5)</t>
  </si>
  <si>
    <t>Patriots</t>
  </si>
  <si>
    <t>Bills</t>
  </si>
  <si>
    <t>Chargers</t>
  </si>
  <si>
    <t>Bengals</t>
  </si>
  <si>
    <t>(-3)</t>
  </si>
  <si>
    <t>Titans</t>
  </si>
  <si>
    <t>Browns</t>
  </si>
  <si>
    <t>(-4.5)</t>
  </si>
  <si>
    <t>49ers</t>
  </si>
  <si>
    <t>Steelers</t>
  </si>
  <si>
    <t>Falcons</t>
  </si>
  <si>
    <t>Giants</t>
  </si>
  <si>
    <t>(-3.5)</t>
  </si>
  <si>
    <t>Cowboys</t>
  </si>
  <si>
    <t>Eagles</t>
  </si>
  <si>
    <t>(-2)</t>
  </si>
  <si>
    <t>Rams</t>
  </si>
  <si>
    <t>Redskins</t>
  </si>
  <si>
    <t>(+2)</t>
  </si>
  <si>
    <t>Cardinals</t>
  </si>
  <si>
    <t>Bears</t>
  </si>
  <si>
    <t>Seahawks</t>
  </si>
  <si>
    <t>Packers</t>
  </si>
  <si>
    <t>(-1)</t>
  </si>
  <si>
    <t>Lions</t>
  </si>
  <si>
    <t>Vikings</t>
  </si>
  <si>
    <t>(Pick'em)</t>
  </si>
  <si>
    <t>Jets</t>
  </si>
  <si>
    <t>Colts</t>
  </si>
  <si>
    <t>(-7.5)</t>
  </si>
  <si>
    <t>Pick Made</t>
  </si>
  <si>
    <t>Survival Chances</t>
  </si>
  <si>
    <t>Weekly Prob</t>
  </si>
  <si>
    <t>Current Week</t>
  </si>
  <si>
    <t>Do Not Pick (again)</t>
  </si>
  <si>
    <t>Cum Prob</t>
  </si>
  <si>
    <t>Home</t>
  </si>
  <si>
    <t>Away</t>
  </si>
  <si>
    <t>(+1.5)</t>
  </si>
  <si>
    <t>(-6)</t>
  </si>
  <si>
    <t>(-5)</t>
  </si>
  <si>
    <t>(-8)</t>
  </si>
  <si>
    <t>(-8.5)</t>
  </si>
  <si>
    <t>(+6)</t>
  </si>
  <si>
    <t>(-4)</t>
  </si>
  <si>
    <t>Jagurars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</si>
</sst>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2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3" fillId="0" borderId="0" xfId="0" applyFont="1"/>
    <xf numFmtId="0" fontId="2" fillId="2" borderId="3" xfId="0" applyFont="1" applyFill="1" applyBorder="1"/>
    <xf numFmtId="165" fontId="0" fillId="0" borderId="0" xfId="1" applyNumberFormat="1" applyFont="1"/>
    <xf numFmtId="0" fontId="0" fillId="4" borderId="0" xfId="0" applyFill="1"/>
    <xf numFmtId="0" fontId="4" fillId="0" borderId="0" xfId="0" applyFont="1"/>
  </cellXfs>
  <cellStyles count="2">
    <cellStyle name="Normal" xfId="0" builtinId="0"/>
    <cellStyle name="Percent" xfId="1" builtinId="5"/>
  </cellStyles>
  <dxfs count="5"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Picks!$B$39</c:f>
              <c:strCache>
                <c:ptCount val="1"/>
                <c:pt idx="0">
                  <c:v>Weekly Prob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Picks!$C$39:$S$39</c:f>
              <c:numCache>
                <c:formatCode>General</c:formatCode>
                <c:ptCount val="17"/>
                <c:pt idx="0">
                  <c:v>0.69699999999999995</c:v>
                </c:pt>
                <c:pt idx="1">
                  <c:v>0.74099999999999999</c:v>
                </c:pt>
                <c:pt idx="2">
                  <c:v>0.74099999999999999</c:v>
                </c:pt>
                <c:pt idx="3">
                  <c:v>#N/A</c:v>
                </c:pt>
                <c:pt idx="4">
                  <c:v>#N/A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Picks!$B$40</c:f>
              <c:strCache>
                <c:ptCount val="1"/>
                <c:pt idx="0">
                  <c:v>Cum Prob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Picks!$C$40:$S$40</c:f>
              <c:numCache>
                <c:formatCode>General</c:formatCode>
                <c:ptCount val="17"/>
                <c:pt idx="0">
                  <c:v>0.69699999999999995</c:v>
                </c:pt>
                <c:pt idx="1">
                  <c:v>0.51647699999999996</c:v>
                </c:pt>
                <c:pt idx="2">
                  <c:v>0.38270945699999998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221808"/>
        <c:axId val="269320312"/>
      </c:lineChart>
      <c:catAx>
        <c:axId val="26922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320312"/>
        <c:crosses val="autoZero"/>
        <c:auto val="1"/>
        <c:lblAlgn val="ctr"/>
        <c:lblOffset val="100"/>
        <c:noMultiLvlLbl val="0"/>
      </c:catAx>
      <c:valAx>
        <c:axId val="26932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2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142875</xdr:rowOff>
    </xdr:from>
    <xdr:to>
      <xdr:col>10</xdr:col>
      <xdr:colOff>57150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4:T36" totalsRowShown="0">
  <autoFilter ref="C4:T36"/>
  <tableColumns count="18">
    <tableColumn id="1" name="Team"/>
    <tableColumn id="2" name="Week 1"/>
    <tableColumn id="3" name="Week 2"/>
    <tableColumn id="4" name="Week 3"/>
    <tableColumn id="5" name="Week 4"/>
    <tableColumn id="6" name="Week 5"/>
    <tableColumn id="7" name="Week 6"/>
    <tableColumn id="8" name="Week 7"/>
    <tableColumn id="9" name="Week 8"/>
    <tableColumn id="10" name="Week 9"/>
    <tableColumn id="11" name="Week 10"/>
    <tableColumn id="12" name="Week 11"/>
    <tableColumn id="13" name="Week 12"/>
    <tableColumn id="14" name="Week 13"/>
    <tableColumn id="15" name="Week 14"/>
    <tableColumn id="16" name="Week 15"/>
    <tableColumn id="17" name="Week 16"/>
    <tableColumn id="18" name="Week 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4:T36" totalsRowShown="0">
  <autoFilter ref="C4:T36"/>
  <tableColumns count="18">
    <tableColumn id="1" name="Team"/>
    <tableColumn id="2" name="Week 1" dataCellStyle="Percent">
      <calculatedColumnFormula>INDEX(ptWinProb,MATCH(Table1[[#This Row],[Week 1]],ptSpread,0))</calculatedColumnFormula>
    </tableColumn>
    <tableColumn id="3" name="Week 2" dataCellStyle="Percent">
      <calculatedColumnFormula>INDEX(ptWinProb,MATCH(Table1[[#This Row],[Week 2]],ptSpread,0))</calculatedColumnFormula>
    </tableColumn>
    <tableColumn id="4" name="Week 3" dataCellStyle="Percent">
      <calculatedColumnFormula>INDEX(ptWinProb,MATCH(Table1[[#This Row],[Week 3]],ptSpread,0))</calculatedColumnFormula>
    </tableColumn>
    <tableColumn id="5" name="Week 4" dataCellStyle="Percent"/>
    <tableColumn id="6" name="Week 5" dataCellStyle="Percent"/>
    <tableColumn id="7" name="Week 6" dataCellStyle="Percent"/>
    <tableColumn id="8" name="Week 7" dataCellStyle="Percent"/>
    <tableColumn id="9" name="Week 8" dataCellStyle="Percent"/>
    <tableColumn id="10" name="Week 9" dataCellStyle="Percent"/>
    <tableColumn id="11" name="Week 10" dataCellStyle="Percent"/>
    <tableColumn id="12" name="Week 11" dataCellStyle="Percent"/>
    <tableColumn id="13" name="Week 12" dataCellStyle="Percent"/>
    <tableColumn id="14" name="Week 13" dataCellStyle="Percent"/>
    <tableColumn id="15" name="Week 14" dataCellStyle="Percent"/>
    <tableColumn id="16" name="Week 15" dataCellStyle="Percent"/>
    <tableColumn id="17" name="Week 16" dataCellStyle="Percent"/>
    <tableColumn id="18" name="Week 17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4:S36" totalsRowShown="0" headerRowDxfId="4" headerRowBorderDxfId="3" tableBorderDxfId="2">
  <autoFilter ref="B4:S36"/>
  <tableColumns count="18">
    <tableColumn id="1" name="Team" dataDxfId="1"/>
    <tableColumn id="2" name="Week 1"/>
    <tableColumn id="3" name="Week 2"/>
    <tableColumn id="4" name="Week 3"/>
    <tableColumn id="5" name="Week 4"/>
    <tableColumn id="6" name="Week 5"/>
    <tableColumn id="7" name="Week 6"/>
    <tableColumn id="8" name="Week 7"/>
    <tableColumn id="9" name="Week 8"/>
    <tableColumn id="10" name="Week 9"/>
    <tableColumn id="11" name="Week 10"/>
    <tableColumn id="12" name="Week 11"/>
    <tableColumn id="13" name="Week 12"/>
    <tableColumn id="14" name="Week 13"/>
    <tableColumn id="15" name="Week 14"/>
    <tableColumn id="16" name="Week 15"/>
    <tableColumn id="17" name="Week 16"/>
    <tableColumn id="18" name="Week 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6"/>
  <sheetViews>
    <sheetView workbookViewId="0">
      <selection activeCell="E8" sqref="E8"/>
    </sheetView>
  </sheetViews>
  <sheetFormatPr defaultRowHeight="15" x14ac:dyDescent="0.25"/>
  <cols>
    <col min="2" max="2" width="18" bestFit="1" customWidth="1"/>
  </cols>
  <sheetData>
    <row r="2" spans="2:2" x14ac:dyDescent="0.25">
      <c r="B2" t="s">
        <v>101</v>
      </c>
    </row>
    <row r="6" spans="2:2" x14ac:dyDescent="0.25">
      <c r="B6" t="s">
        <v>102</v>
      </c>
    </row>
  </sheetData>
  <dataValidations disablePrompts="1" count="1">
    <dataValidation type="list" allowBlank="1" showInputMessage="1" showErrorMessage="1" sqref="C2">
      <formula1>INDIRECT("probTable[#Headers]")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Y36"/>
  <sheetViews>
    <sheetView tabSelected="1" zoomScale="70" zoomScaleNormal="70" workbookViewId="0">
      <selection activeCell="A27" sqref="A27"/>
    </sheetView>
  </sheetViews>
  <sheetFormatPr defaultRowHeight="15" x14ac:dyDescent="0.25"/>
  <cols>
    <col min="1" max="1" width="13" bestFit="1" customWidth="1"/>
    <col min="4" max="12" width="9.85546875" customWidth="1"/>
    <col min="13" max="20" width="10.85546875" customWidth="1"/>
    <col min="22" max="22" width="15.42578125" bestFit="1" customWidth="1"/>
    <col min="24" max="24" width="10.140625" bestFit="1" customWidth="1"/>
  </cols>
  <sheetData>
    <row r="3" spans="1:25" x14ac:dyDescent="0.25">
      <c r="V3" t="s">
        <v>7</v>
      </c>
    </row>
    <row r="4" spans="1:25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V4" t="s">
        <v>105</v>
      </c>
      <c r="X4" t="s">
        <v>104</v>
      </c>
      <c r="Y4" t="s">
        <v>50</v>
      </c>
    </row>
    <row r="5" spans="1:25" x14ac:dyDescent="0.25">
      <c r="A5" t="s">
        <v>87</v>
      </c>
      <c r="B5">
        <v>1</v>
      </c>
      <c r="C5" t="s">
        <v>37</v>
      </c>
      <c r="D5">
        <v>-3</v>
      </c>
      <c r="E5">
        <v>-1</v>
      </c>
      <c r="F5">
        <v>-2.5</v>
      </c>
      <c r="G5">
        <v>-3.5</v>
      </c>
      <c r="H5">
        <v>1.5</v>
      </c>
      <c r="I5">
        <v>2.5</v>
      </c>
      <c r="V5" s="10" t="s">
        <v>89</v>
      </c>
      <c r="W5" t="s">
        <v>53</v>
      </c>
      <c r="X5" t="s">
        <v>76</v>
      </c>
      <c r="Y5" t="s">
        <v>106</v>
      </c>
    </row>
    <row r="6" spans="1:25" x14ac:dyDescent="0.25">
      <c r="A6" t="s">
        <v>78</v>
      </c>
      <c r="B6">
        <v>2</v>
      </c>
      <c r="C6" t="s">
        <v>18</v>
      </c>
      <c r="D6">
        <v>1</v>
      </c>
      <c r="E6">
        <v>3.5</v>
      </c>
      <c r="F6">
        <v>5.5</v>
      </c>
      <c r="G6">
        <v>-1</v>
      </c>
      <c r="H6">
        <v>-3.5</v>
      </c>
      <c r="I6">
        <v>3.5</v>
      </c>
      <c r="J6">
        <v>-1</v>
      </c>
      <c r="K6">
        <v>1</v>
      </c>
      <c r="V6" s="10" t="s">
        <v>82</v>
      </c>
      <c r="W6" t="s">
        <v>53</v>
      </c>
      <c r="X6" t="s">
        <v>57</v>
      </c>
      <c r="Y6" t="s">
        <v>94</v>
      </c>
    </row>
    <row r="7" spans="1:25" x14ac:dyDescent="0.25">
      <c r="A7" t="s">
        <v>65</v>
      </c>
      <c r="B7">
        <v>3</v>
      </c>
      <c r="C7" t="s">
        <v>38</v>
      </c>
      <c r="D7">
        <v>4</v>
      </c>
      <c r="E7">
        <v>-5</v>
      </c>
      <c r="F7">
        <v>-3</v>
      </c>
      <c r="G7">
        <v>2.5</v>
      </c>
      <c r="H7">
        <v>-7</v>
      </c>
      <c r="I7">
        <v>2</v>
      </c>
      <c r="V7" s="10" t="s">
        <v>74</v>
      </c>
      <c r="W7" t="s">
        <v>53</v>
      </c>
      <c r="X7" t="s">
        <v>84</v>
      </c>
      <c r="Y7" t="s">
        <v>107</v>
      </c>
    </row>
    <row r="8" spans="1:25" x14ac:dyDescent="0.25">
      <c r="A8" t="s">
        <v>69</v>
      </c>
      <c r="B8">
        <v>4</v>
      </c>
      <c r="C8" t="s">
        <v>31</v>
      </c>
      <c r="D8">
        <v>1.5</v>
      </c>
      <c r="E8">
        <v>1</v>
      </c>
      <c r="F8">
        <v>2</v>
      </c>
      <c r="G8">
        <v>-3</v>
      </c>
      <c r="H8">
        <v>-3</v>
      </c>
      <c r="I8">
        <v>-1</v>
      </c>
      <c r="K8">
        <v>6</v>
      </c>
      <c r="V8" s="10" t="s">
        <v>60</v>
      </c>
      <c r="W8" t="s">
        <v>53</v>
      </c>
      <c r="X8" t="s">
        <v>96</v>
      </c>
      <c r="Y8" t="s">
        <v>108</v>
      </c>
    </row>
    <row r="9" spans="1:25" x14ac:dyDescent="0.25">
      <c r="A9" t="s">
        <v>57</v>
      </c>
      <c r="B9">
        <v>5</v>
      </c>
      <c r="C9" t="s">
        <v>20</v>
      </c>
      <c r="D9">
        <v>-4</v>
      </c>
      <c r="E9">
        <v>-2.5</v>
      </c>
      <c r="F9" s="9">
        <v>99</v>
      </c>
      <c r="G9">
        <v>-2.5</v>
      </c>
      <c r="H9" s="9">
        <v>99</v>
      </c>
      <c r="I9">
        <v>8</v>
      </c>
      <c r="K9">
        <v>-1.5</v>
      </c>
      <c r="V9" s="10" t="s">
        <v>78</v>
      </c>
      <c r="W9" t="s">
        <v>53</v>
      </c>
      <c r="X9" t="s">
        <v>73</v>
      </c>
      <c r="Y9" t="s">
        <v>55</v>
      </c>
    </row>
    <row r="10" spans="1:25" x14ac:dyDescent="0.25">
      <c r="A10" t="s">
        <v>88</v>
      </c>
      <c r="B10">
        <v>6</v>
      </c>
      <c r="C10" t="s">
        <v>40</v>
      </c>
      <c r="D10">
        <v>4</v>
      </c>
      <c r="E10">
        <v>1</v>
      </c>
      <c r="F10">
        <v>9</v>
      </c>
      <c r="G10">
        <v>-6</v>
      </c>
      <c r="H10">
        <v>4</v>
      </c>
      <c r="I10">
        <v>5</v>
      </c>
      <c r="V10" s="10" t="s">
        <v>77</v>
      </c>
      <c r="W10" t="s">
        <v>53</v>
      </c>
      <c r="X10" t="s">
        <v>54</v>
      </c>
      <c r="Y10" t="s">
        <v>91</v>
      </c>
    </row>
    <row r="11" spans="1:25" x14ac:dyDescent="0.25">
      <c r="A11" t="s">
        <v>71</v>
      </c>
      <c r="B11">
        <v>7</v>
      </c>
      <c r="C11" t="s">
        <v>44</v>
      </c>
      <c r="D11">
        <v>-3.5</v>
      </c>
      <c r="E11">
        <v>-3</v>
      </c>
      <c r="F11">
        <v>3</v>
      </c>
      <c r="G11">
        <v>-3</v>
      </c>
      <c r="H11">
        <v>2</v>
      </c>
      <c r="I11">
        <v>1</v>
      </c>
      <c r="V11" s="10" t="s">
        <v>66</v>
      </c>
      <c r="W11" t="s">
        <v>53</v>
      </c>
      <c r="X11" t="s">
        <v>70</v>
      </c>
      <c r="Y11" t="s">
        <v>109</v>
      </c>
    </row>
    <row r="12" spans="1:25" x14ac:dyDescent="0.25">
      <c r="A12" t="s">
        <v>74</v>
      </c>
      <c r="B12">
        <v>8</v>
      </c>
      <c r="C12" t="s">
        <v>45</v>
      </c>
      <c r="D12">
        <v>2</v>
      </c>
      <c r="E12">
        <v>-4.5</v>
      </c>
      <c r="F12">
        <v>-4.5</v>
      </c>
      <c r="G12">
        <v>6</v>
      </c>
      <c r="H12">
        <v>7</v>
      </c>
      <c r="I12">
        <v>4.5</v>
      </c>
      <c r="J12">
        <v>6</v>
      </c>
      <c r="K12">
        <v>-6</v>
      </c>
      <c r="V12" s="10" t="s">
        <v>56</v>
      </c>
      <c r="W12" t="s">
        <v>53</v>
      </c>
      <c r="X12" t="s">
        <v>62</v>
      </c>
      <c r="Y12" t="s">
        <v>72</v>
      </c>
    </row>
    <row r="13" spans="1:25" x14ac:dyDescent="0.25">
      <c r="A13" t="s">
        <v>81</v>
      </c>
      <c r="B13">
        <v>9</v>
      </c>
      <c r="C13" t="s">
        <v>29</v>
      </c>
      <c r="D13">
        <v>-5.5</v>
      </c>
      <c r="E13">
        <v>2</v>
      </c>
      <c r="F13">
        <v>-5.5</v>
      </c>
      <c r="G13">
        <v>0</v>
      </c>
      <c r="H13" s="9">
        <v>99</v>
      </c>
      <c r="I13" s="9">
        <v>99</v>
      </c>
      <c r="V13" s="10" t="s">
        <v>95</v>
      </c>
      <c r="W13" t="s">
        <v>53</v>
      </c>
      <c r="X13" t="s">
        <v>68</v>
      </c>
      <c r="Y13" t="s">
        <v>110</v>
      </c>
    </row>
    <row r="14" spans="1:25" x14ac:dyDescent="0.25">
      <c r="A14" t="s">
        <v>52</v>
      </c>
      <c r="B14">
        <v>10</v>
      </c>
      <c r="C14" t="s">
        <v>43</v>
      </c>
      <c r="D14">
        <v>-4</v>
      </c>
      <c r="E14">
        <v>-1</v>
      </c>
      <c r="F14">
        <v>0</v>
      </c>
      <c r="G14">
        <v>-7</v>
      </c>
      <c r="H14">
        <v>-6.5</v>
      </c>
      <c r="I14">
        <v>-4.5</v>
      </c>
      <c r="V14" s="10" t="s">
        <v>69</v>
      </c>
      <c r="W14" t="s">
        <v>53</v>
      </c>
      <c r="X14" t="s">
        <v>63</v>
      </c>
      <c r="Y14" t="s">
        <v>111</v>
      </c>
    </row>
    <row r="15" spans="1:25" x14ac:dyDescent="0.25">
      <c r="A15" t="s">
        <v>92</v>
      </c>
      <c r="B15">
        <v>11</v>
      </c>
      <c r="C15" t="s">
        <v>36</v>
      </c>
      <c r="D15">
        <v>1.5</v>
      </c>
      <c r="E15">
        <v>0</v>
      </c>
      <c r="F15">
        <v>0</v>
      </c>
      <c r="G15">
        <v>6</v>
      </c>
      <c r="H15">
        <v>-1.5</v>
      </c>
      <c r="I15">
        <v>-5</v>
      </c>
      <c r="V15" s="10" t="s">
        <v>81</v>
      </c>
      <c r="W15" t="s">
        <v>53</v>
      </c>
      <c r="X15" t="s">
        <v>79</v>
      </c>
      <c r="Y15" t="s">
        <v>94</v>
      </c>
    </row>
    <row r="16" spans="1:25" x14ac:dyDescent="0.25">
      <c r="A16" t="s">
        <v>90</v>
      </c>
      <c r="B16">
        <v>12</v>
      </c>
      <c r="C16" t="s">
        <v>41</v>
      </c>
      <c r="D16">
        <v>-4</v>
      </c>
      <c r="E16">
        <v>-1</v>
      </c>
      <c r="F16">
        <v>-5.5</v>
      </c>
      <c r="G16">
        <v>0</v>
      </c>
      <c r="H16">
        <v>-5.5</v>
      </c>
      <c r="I16">
        <v>-5.5</v>
      </c>
      <c r="V16" s="10" t="s">
        <v>59</v>
      </c>
      <c r="W16" t="s">
        <v>53</v>
      </c>
      <c r="X16" t="s">
        <v>85</v>
      </c>
      <c r="Y16" t="s">
        <v>112</v>
      </c>
    </row>
    <row r="17" spans="1:25" x14ac:dyDescent="0.25">
      <c r="A17" t="s">
        <v>56</v>
      </c>
      <c r="B17">
        <v>13</v>
      </c>
      <c r="C17" t="s">
        <v>30</v>
      </c>
      <c r="D17">
        <v>-1</v>
      </c>
      <c r="E17">
        <v>2.5</v>
      </c>
      <c r="F17">
        <v>-6.5</v>
      </c>
      <c r="G17">
        <v>1</v>
      </c>
      <c r="H17">
        <v>0</v>
      </c>
      <c r="I17">
        <v>-3.5</v>
      </c>
      <c r="K17">
        <v>-3</v>
      </c>
      <c r="V17" s="10" t="s">
        <v>93</v>
      </c>
      <c r="W17" t="s">
        <v>53</v>
      </c>
      <c r="X17" t="s">
        <v>92</v>
      </c>
      <c r="Y17" t="s">
        <v>108</v>
      </c>
    </row>
    <row r="18" spans="1:25" x14ac:dyDescent="0.25">
      <c r="A18" t="s">
        <v>96</v>
      </c>
      <c r="B18">
        <v>14</v>
      </c>
      <c r="C18" t="s">
        <v>39</v>
      </c>
      <c r="D18">
        <v>-1.5</v>
      </c>
      <c r="E18">
        <v>-7.5</v>
      </c>
      <c r="F18">
        <v>-5</v>
      </c>
      <c r="G18">
        <v>-10.5</v>
      </c>
      <c r="H18">
        <v>0</v>
      </c>
      <c r="I18">
        <v>-1</v>
      </c>
      <c r="J18">
        <v>-5</v>
      </c>
      <c r="K18">
        <v>5</v>
      </c>
      <c r="V18" s="10" t="s">
        <v>65</v>
      </c>
      <c r="W18" t="s">
        <v>53</v>
      </c>
      <c r="X18" t="s">
        <v>87</v>
      </c>
      <c r="Y18" t="s">
        <v>83</v>
      </c>
    </row>
    <row r="19" spans="1:25" x14ac:dyDescent="0.25">
      <c r="A19" t="s">
        <v>113</v>
      </c>
      <c r="B19">
        <v>15</v>
      </c>
      <c r="C19" t="s">
        <v>32</v>
      </c>
      <c r="D19">
        <v>4</v>
      </c>
      <c r="E19">
        <v>4</v>
      </c>
      <c r="F19">
        <v>11.5</v>
      </c>
      <c r="G19">
        <v>10.5</v>
      </c>
      <c r="H19">
        <v>3.5</v>
      </c>
      <c r="I19">
        <v>3.5</v>
      </c>
    </row>
    <row r="20" spans="1:25" x14ac:dyDescent="0.25">
      <c r="A20" t="s">
        <v>54</v>
      </c>
      <c r="B20">
        <v>16</v>
      </c>
      <c r="C20" t="s">
        <v>46</v>
      </c>
      <c r="D20">
        <v>1</v>
      </c>
      <c r="E20">
        <v>1</v>
      </c>
      <c r="F20">
        <v>5.5</v>
      </c>
      <c r="G20">
        <v>3</v>
      </c>
      <c r="H20">
        <v>-4</v>
      </c>
      <c r="I20">
        <v>1</v>
      </c>
      <c r="J20">
        <v>-1</v>
      </c>
      <c r="K20">
        <v>1</v>
      </c>
    </row>
    <row r="21" spans="1:25" x14ac:dyDescent="0.25">
      <c r="A21" t="s">
        <v>62</v>
      </c>
      <c r="B21">
        <v>17</v>
      </c>
      <c r="C21" t="s">
        <v>33</v>
      </c>
      <c r="D21">
        <v>-2</v>
      </c>
      <c r="E21">
        <v>-4</v>
      </c>
      <c r="F21">
        <v>-2</v>
      </c>
      <c r="G21">
        <v>-3.5</v>
      </c>
      <c r="H21" s="9">
        <v>99</v>
      </c>
      <c r="I21">
        <v>-3</v>
      </c>
      <c r="K21">
        <v>3</v>
      </c>
    </row>
    <row r="22" spans="1:25" x14ac:dyDescent="0.25">
      <c r="A22" t="s">
        <v>93</v>
      </c>
      <c r="B22">
        <v>18</v>
      </c>
      <c r="C22" t="s">
        <v>49</v>
      </c>
      <c r="D22">
        <v>4.5</v>
      </c>
      <c r="E22">
        <v>0</v>
      </c>
      <c r="F22">
        <v>0</v>
      </c>
      <c r="G22">
        <v>7</v>
      </c>
      <c r="H22" s="9">
        <v>99</v>
      </c>
      <c r="I22">
        <v>-1</v>
      </c>
    </row>
    <row r="23" spans="1:25" x14ac:dyDescent="0.25">
      <c r="A23" t="s">
        <v>68</v>
      </c>
      <c r="B23">
        <v>19</v>
      </c>
      <c r="C23" t="s">
        <v>27</v>
      </c>
      <c r="D23">
        <v>-6.5</v>
      </c>
      <c r="E23">
        <v>-1</v>
      </c>
      <c r="F23">
        <v>-11.5</v>
      </c>
      <c r="G23" s="9">
        <v>99</v>
      </c>
      <c r="H23">
        <v>0</v>
      </c>
      <c r="I23">
        <v>1</v>
      </c>
      <c r="K23">
        <v>8.5</v>
      </c>
    </row>
    <row r="24" spans="1:25" x14ac:dyDescent="0.25">
      <c r="A24" t="s">
        <v>60</v>
      </c>
      <c r="B24">
        <v>20</v>
      </c>
      <c r="C24" t="s">
        <v>19</v>
      </c>
      <c r="D24">
        <v>3</v>
      </c>
      <c r="E24">
        <v>-6.5</v>
      </c>
      <c r="F24" s="9">
        <v>99</v>
      </c>
      <c r="G24">
        <v>0</v>
      </c>
      <c r="H24">
        <v>4</v>
      </c>
      <c r="I24">
        <v>-3.5</v>
      </c>
      <c r="J24">
        <v>5</v>
      </c>
      <c r="K24">
        <v>-5</v>
      </c>
    </row>
    <row r="25" spans="1:25" x14ac:dyDescent="0.25">
      <c r="A25" t="s">
        <v>79</v>
      </c>
      <c r="B25">
        <v>21</v>
      </c>
      <c r="C25" t="s">
        <v>26</v>
      </c>
      <c r="D25">
        <v>5.5</v>
      </c>
      <c r="E25">
        <v>-3.5</v>
      </c>
      <c r="F25">
        <v>-2</v>
      </c>
      <c r="G25">
        <v>3</v>
      </c>
      <c r="H25">
        <v>0</v>
      </c>
      <c r="I25">
        <v>4</v>
      </c>
    </row>
    <row r="26" spans="1:25" x14ac:dyDescent="0.25">
      <c r="A26" t="s">
        <v>95</v>
      </c>
      <c r="B26">
        <v>22</v>
      </c>
      <c r="C26" t="s">
        <v>25</v>
      </c>
      <c r="D26">
        <v>-2</v>
      </c>
      <c r="E26">
        <v>7.5</v>
      </c>
      <c r="F26">
        <v>2.5</v>
      </c>
      <c r="G26">
        <v>3.5</v>
      </c>
      <c r="H26" s="9">
        <v>99</v>
      </c>
      <c r="I26">
        <v>-2</v>
      </c>
      <c r="K26">
        <v>-8.5</v>
      </c>
    </row>
    <row r="27" spans="1:25" x14ac:dyDescent="0.25">
      <c r="A27" t="s">
        <v>66</v>
      </c>
      <c r="B27">
        <v>23</v>
      </c>
      <c r="C27" t="s">
        <v>47</v>
      </c>
      <c r="D27">
        <v>3.5</v>
      </c>
      <c r="E27">
        <v>5</v>
      </c>
      <c r="F27">
        <v>4.5</v>
      </c>
      <c r="G27">
        <v>6</v>
      </c>
      <c r="H27">
        <v>6.5</v>
      </c>
      <c r="I27" s="9">
        <v>99</v>
      </c>
      <c r="K27">
        <v>-8</v>
      </c>
    </row>
    <row r="28" spans="1:25" x14ac:dyDescent="0.25">
      <c r="A28" t="s">
        <v>82</v>
      </c>
      <c r="B28">
        <v>24</v>
      </c>
      <c r="C28" t="s">
        <v>35</v>
      </c>
      <c r="D28">
        <v>-1</v>
      </c>
      <c r="E28">
        <v>-2</v>
      </c>
      <c r="F28">
        <v>-2.5</v>
      </c>
      <c r="G28">
        <v>-2.5</v>
      </c>
      <c r="H28">
        <v>1.5</v>
      </c>
      <c r="I28">
        <v>-4</v>
      </c>
      <c r="J28">
        <v>0</v>
      </c>
      <c r="K28">
        <v>1.5</v>
      </c>
    </row>
    <row r="29" spans="1:25" x14ac:dyDescent="0.25">
      <c r="A29" t="s">
        <v>77</v>
      </c>
      <c r="B29">
        <v>25</v>
      </c>
      <c r="C29" t="s">
        <v>34</v>
      </c>
      <c r="D29">
        <v>6.5</v>
      </c>
      <c r="E29">
        <v>-2.5</v>
      </c>
      <c r="F29">
        <v>1</v>
      </c>
      <c r="G29">
        <v>-2.5</v>
      </c>
      <c r="H29">
        <v>1</v>
      </c>
      <c r="I29">
        <v>-2.5</v>
      </c>
      <c r="K29">
        <v>-1</v>
      </c>
    </row>
    <row r="30" spans="1:25" x14ac:dyDescent="0.25">
      <c r="A30" t="s">
        <v>70</v>
      </c>
      <c r="B30">
        <v>26</v>
      </c>
      <c r="C30" t="s">
        <v>48</v>
      </c>
      <c r="D30">
        <v>-1.5</v>
      </c>
      <c r="E30">
        <v>3</v>
      </c>
      <c r="F30">
        <v>0</v>
      </c>
      <c r="G30">
        <v>-6</v>
      </c>
      <c r="H30">
        <v>-1</v>
      </c>
      <c r="I30">
        <v>5.5</v>
      </c>
      <c r="K30">
        <v>8</v>
      </c>
    </row>
    <row r="31" spans="1:25" x14ac:dyDescent="0.25">
      <c r="A31" t="s">
        <v>89</v>
      </c>
      <c r="B31">
        <v>27</v>
      </c>
      <c r="C31" t="s">
        <v>23</v>
      </c>
      <c r="D31">
        <v>-3.5</v>
      </c>
      <c r="E31">
        <v>1</v>
      </c>
      <c r="F31">
        <v>-9</v>
      </c>
      <c r="G31">
        <v>-6</v>
      </c>
      <c r="H31">
        <v>-2</v>
      </c>
      <c r="I31">
        <v>-8</v>
      </c>
      <c r="J31">
        <v>-1.5</v>
      </c>
      <c r="K31">
        <v>1.5</v>
      </c>
    </row>
    <row r="32" spans="1:25" x14ac:dyDescent="0.25">
      <c r="A32" t="s">
        <v>76</v>
      </c>
      <c r="B32">
        <v>28</v>
      </c>
      <c r="C32" t="s">
        <v>28</v>
      </c>
      <c r="D32">
        <v>-4.5</v>
      </c>
      <c r="E32">
        <v>2.5</v>
      </c>
      <c r="F32">
        <v>2.5</v>
      </c>
      <c r="G32">
        <v>0</v>
      </c>
      <c r="H32" s="9">
        <v>99</v>
      </c>
      <c r="I32">
        <v>-2</v>
      </c>
      <c r="J32">
        <v>1.5</v>
      </c>
      <c r="K32">
        <v>-1.5</v>
      </c>
    </row>
    <row r="33" spans="1:11" x14ac:dyDescent="0.25">
      <c r="A33" t="s">
        <v>84</v>
      </c>
      <c r="B33">
        <v>29</v>
      </c>
      <c r="C33" t="s">
        <v>24</v>
      </c>
      <c r="D33">
        <v>3.5</v>
      </c>
      <c r="E33">
        <v>-2</v>
      </c>
      <c r="F33">
        <v>-1</v>
      </c>
      <c r="G33">
        <v>3.5</v>
      </c>
      <c r="H33">
        <v>5.5</v>
      </c>
      <c r="I33" s="9">
        <v>99</v>
      </c>
      <c r="J33">
        <v>-6</v>
      </c>
      <c r="K33">
        <v>6</v>
      </c>
    </row>
    <row r="34" spans="1:11" x14ac:dyDescent="0.25">
      <c r="A34" t="s">
        <v>59</v>
      </c>
      <c r="B34">
        <v>30</v>
      </c>
      <c r="C34" t="s">
        <v>21</v>
      </c>
      <c r="D34">
        <v>-3</v>
      </c>
      <c r="E34">
        <v>6.5</v>
      </c>
      <c r="F34">
        <v>6.5</v>
      </c>
      <c r="G34">
        <v>2.5</v>
      </c>
      <c r="H34">
        <v>-3.5</v>
      </c>
      <c r="I34" s="9">
        <v>99</v>
      </c>
    </row>
    <row r="35" spans="1:11" x14ac:dyDescent="0.25">
      <c r="A35" t="s">
        <v>73</v>
      </c>
      <c r="B35">
        <v>31</v>
      </c>
      <c r="C35" t="s">
        <v>22</v>
      </c>
      <c r="D35">
        <v>3</v>
      </c>
      <c r="E35">
        <v>4.5</v>
      </c>
      <c r="F35">
        <v>5</v>
      </c>
      <c r="G35" s="9">
        <v>99</v>
      </c>
      <c r="H35">
        <v>3</v>
      </c>
      <c r="I35">
        <v>3</v>
      </c>
      <c r="J35">
        <v>1</v>
      </c>
      <c r="K35">
        <v>-1</v>
      </c>
    </row>
    <row r="36" spans="1:11" x14ac:dyDescent="0.25">
      <c r="A36" t="s">
        <v>85</v>
      </c>
      <c r="B36">
        <v>32</v>
      </c>
      <c r="C36" t="s">
        <v>42</v>
      </c>
      <c r="D36">
        <v>2</v>
      </c>
      <c r="E36">
        <v>2</v>
      </c>
      <c r="F36">
        <v>2</v>
      </c>
      <c r="G36">
        <v>-2.5</v>
      </c>
      <c r="H36">
        <v>3.5</v>
      </c>
      <c r="I36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T36"/>
  <sheetViews>
    <sheetView topLeftCell="A4" workbookViewId="0">
      <selection activeCell="F9" sqref="F9"/>
    </sheetView>
  </sheetViews>
  <sheetFormatPr defaultRowHeight="15" x14ac:dyDescent="0.25"/>
  <cols>
    <col min="4" max="12" width="9.85546875" customWidth="1"/>
    <col min="13" max="20" width="10.85546875" customWidth="1"/>
  </cols>
  <sheetData>
    <row r="4" spans="2:20" x14ac:dyDescent="0.2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</row>
    <row r="5" spans="2:20" x14ac:dyDescent="0.25">
      <c r="B5">
        <v>1</v>
      </c>
      <c r="C5" t="s">
        <v>37</v>
      </c>
      <c r="D5" s="1">
        <f ca="1">INDEX(ptWinProb,MATCH(Table1[[#This Row],[Week 1]],ptSpread,0))</f>
        <v>0.54</v>
      </c>
      <c r="E5" s="1">
        <f ca="1">INDEX(ptWinProb,MATCH(Table1[[#This Row],[Week 2]],ptSpread,0))</f>
        <v>0.57099999999999995</v>
      </c>
      <c r="F5" s="1">
        <f ca="1">INDEX(ptWinProb,MATCH(Table1[[#This Row],[Week 3]],ptSpread,0))</f>
        <v>0.51400000000000001</v>
      </c>
      <c r="G5" s="1">
        <v>0.5</v>
      </c>
      <c r="H5" s="1">
        <v>0.5</v>
      </c>
      <c r="I5" s="1">
        <v>0.5</v>
      </c>
      <c r="J5" s="1">
        <v>0.5</v>
      </c>
      <c r="K5" s="1">
        <v>0.5</v>
      </c>
      <c r="L5" s="1">
        <v>0.5</v>
      </c>
      <c r="M5" s="1">
        <v>0.5</v>
      </c>
      <c r="N5" s="1">
        <v>0.5</v>
      </c>
      <c r="O5" s="1">
        <v>0.5</v>
      </c>
      <c r="P5" s="1">
        <v>0.5</v>
      </c>
      <c r="Q5" s="1">
        <v>0.5</v>
      </c>
      <c r="R5" s="1">
        <v>0.5</v>
      </c>
      <c r="S5" s="1">
        <v>0.5</v>
      </c>
      <c r="T5" s="1">
        <v>0.5</v>
      </c>
    </row>
    <row r="6" spans="2:20" x14ac:dyDescent="0.25">
      <c r="B6">
        <v>2</v>
      </c>
      <c r="C6" t="s">
        <v>18</v>
      </c>
      <c r="D6" s="1">
        <f ca="1">INDEX(ptWinProb,MATCH(Table1[[#This Row],[Week 1]],ptSpread,0))</f>
        <v>0.42899999999999999</v>
      </c>
      <c r="E6" s="1">
        <f ca="1">INDEX(ptWinProb,MATCH(Table1[[#This Row],[Week 2]],ptSpread,0))</f>
        <v>0.33800000000000002</v>
      </c>
      <c r="F6" s="1">
        <f ca="1">INDEX(ptWinProb,MATCH(Table1[[#This Row],[Week 3]],ptSpread,0))</f>
        <v>0.30299999999999999</v>
      </c>
      <c r="G6" s="1">
        <v>0.5</v>
      </c>
      <c r="H6" s="1">
        <v>0.5</v>
      </c>
      <c r="I6" s="1">
        <v>0.5</v>
      </c>
      <c r="J6" s="1">
        <v>0.5</v>
      </c>
      <c r="K6" s="1">
        <v>0.5</v>
      </c>
      <c r="L6" s="1">
        <v>0.5</v>
      </c>
      <c r="M6" s="1">
        <v>0.5</v>
      </c>
      <c r="N6" s="1">
        <v>0.5</v>
      </c>
      <c r="O6" s="1">
        <v>0.5</v>
      </c>
      <c r="P6" s="1">
        <v>0.5</v>
      </c>
      <c r="Q6" s="1">
        <v>0.5</v>
      </c>
      <c r="R6" s="1">
        <v>0.5</v>
      </c>
      <c r="S6" s="1">
        <v>0.5</v>
      </c>
      <c r="T6" s="1">
        <v>0.5</v>
      </c>
    </row>
    <row r="7" spans="2:20" x14ac:dyDescent="0.25">
      <c r="B7">
        <v>3</v>
      </c>
      <c r="C7" t="s">
        <v>38</v>
      </c>
      <c r="D7" s="1">
        <f ca="1">INDEX(ptWinProb,MATCH(Table1[[#This Row],[Week 1]],ptSpread,0))</f>
        <v>0.32600000000000001</v>
      </c>
      <c r="E7" s="1">
        <f ca="1">INDEX(ptWinProb,MATCH(Table1[[#This Row],[Week 2]],ptSpread,0))</f>
        <v>0.7</v>
      </c>
      <c r="F7" s="1">
        <f ca="1">INDEX(ptWinProb,MATCH(Table1[[#This Row],[Week 3]],ptSpread,0))</f>
        <v>0.54</v>
      </c>
      <c r="G7" s="1">
        <v>0.5</v>
      </c>
      <c r="H7" s="1">
        <v>0.5</v>
      </c>
      <c r="I7" s="1">
        <v>0.5</v>
      </c>
      <c r="J7" s="1">
        <v>0.5</v>
      </c>
      <c r="K7" s="1">
        <v>0.5</v>
      </c>
      <c r="L7" s="1">
        <v>0.5</v>
      </c>
      <c r="M7" s="1">
        <v>0.5</v>
      </c>
      <c r="N7" s="1">
        <v>0.5</v>
      </c>
      <c r="O7" s="1">
        <v>0.5</v>
      </c>
      <c r="P7" s="1">
        <v>0.5</v>
      </c>
      <c r="Q7" s="1">
        <v>0.5</v>
      </c>
      <c r="R7" s="1">
        <v>0.5</v>
      </c>
      <c r="S7" s="1">
        <v>0.5</v>
      </c>
      <c r="T7" s="1">
        <v>0.5</v>
      </c>
    </row>
    <row r="8" spans="2:20" x14ac:dyDescent="0.25">
      <c r="B8">
        <v>4</v>
      </c>
      <c r="C8" t="s">
        <v>31</v>
      </c>
      <c r="D8" s="1">
        <f ca="1">INDEX(ptWinProb,MATCH(Table1[[#This Row],[Week 1]],ptSpread,0))</f>
        <v>0.44800000000000001</v>
      </c>
      <c r="E8" s="1">
        <f ca="1">INDEX(ptWinProb,MATCH(Table1[[#This Row],[Week 2]],ptSpread,0))</f>
        <v>0.42899999999999999</v>
      </c>
      <c r="F8" s="1">
        <f ca="1">INDEX(ptWinProb,MATCH(Table1[[#This Row],[Week 3]],ptSpread,0))</f>
        <v>0.45</v>
      </c>
      <c r="G8" s="1">
        <v>0.5</v>
      </c>
      <c r="H8" s="1">
        <v>0.5</v>
      </c>
      <c r="I8" s="1">
        <v>0.5</v>
      </c>
      <c r="J8" s="1">
        <v>0.5</v>
      </c>
      <c r="K8" s="1">
        <v>0.5</v>
      </c>
      <c r="L8" s="1">
        <v>0.5</v>
      </c>
      <c r="M8" s="1">
        <v>0.5</v>
      </c>
      <c r="N8" s="1">
        <v>0.5</v>
      </c>
      <c r="O8" s="1">
        <v>0.5</v>
      </c>
      <c r="P8" s="1">
        <v>0.5</v>
      </c>
      <c r="Q8" s="1">
        <v>0.5</v>
      </c>
      <c r="R8" s="1">
        <v>0.5</v>
      </c>
      <c r="S8" s="1">
        <v>0.5</v>
      </c>
      <c r="T8" s="1">
        <v>0.5</v>
      </c>
    </row>
    <row r="9" spans="2:20" x14ac:dyDescent="0.25">
      <c r="B9">
        <v>5</v>
      </c>
      <c r="C9" t="s">
        <v>20</v>
      </c>
      <c r="D9" s="1">
        <f ca="1">INDEX(ptWinProb,MATCH(Table1[[#This Row],[Week 1]],ptSpread,0))</f>
        <v>0.67400000000000004</v>
      </c>
      <c r="E9" s="1">
        <f ca="1">INDEX(ptWinProb,MATCH(Table1[[#This Row],[Week 2]],ptSpread,0))</f>
        <v>0.51400000000000001</v>
      </c>
      <c r="F9" s="1" t="e">
        <f ca="1">INDEX(ptWinProb,MATCH(Table1[[#This Row],[Week 3]],ptSpread,0))</f>
        <v>#N/A</v>
      </c>
      <c r="G9" s="1">
        <v>0.5</v>
      </c>
      <c r="H9" s="1">
        <v>0.5</v>
      </c>
      <c r="I9" s="1">
        <v>0.5</v>
      </c>
      <c r="J9" s="1">
        <v>0.5</v>
      </c>
      <c r="K9" s="1">
        <v>0.5</v>
      </c>
      <c r="L9" s="1">
        <v>0.5</v>
      </c>
      <c r="M9" s="1">
        <v>0.5</v>
      </c>
      <c r="N9" s="1">
        <v>0.5</v>
      </c>
      <c r="O9" s="1">
        <v>0.5</v>
      </c>
      <c r="P9" s="1">
        <v>0.5</v>
      </c>
      <c r="Q9" s="1">
        <v>0.5</v>
      </c>
      <c r="R9" s="1">
        <v>0.5</v>
      </c>
      <c r="S9" s="1">
        <v>0.5</v>
      </c>
      <c r="T9" s="1">
        <v>0.5</v>
      </c>
    </row>
    <row r="10" spans="2:20" x14ac:dyDescent="0.25">
      <c r="B10">
        <v>6</v>
      </c>
      <c r="C10" t="s">
        <v>40</v>
      </c>
      <c r="D10" s="1">
        <f ca="1">INDEX(ptWinProb,MATCH(Table1[[#This Row],[Week 1]],ptSpread,0))</f>
        <v>0.32600000000000001</v>
      </c>
      <c r="E10" s="1">
        <f ca="1">INDEX(ptWinProb,MATCH(Table1[[#This Row],[Week 2]],ptSpread,0))</f>
        <v>0.42899999999999999</v>
      </c>
      <c r="F10" s="1">
        <f ca="1">INDEX(ptWinProb,MATCH(Table1[[#This Row],[Week 3]],ptSpread,0))</f>
        <v>0.24399999999999999</v>
      </c>
      <c r="G10" s="1">
        <v>0.5</v>
      </c>
      <c r="H10" s="1">
        <v>0.5</v>
      </c>
      <c r="I10" s="1">
        <v>0.5</v>
      </c>
      <c r="J10" s="1">
        <v>0.5</v>
      </c>
      <c r="K10" s="1">
        <v>0.5</v>
      </c>
      <c r="L10" s="1">
        <v>0.5</v>
      </c>
      <c r="M10" s="1">
        <v>0.5</v>
      </c>
      <c r="N10" s="1">
        <v>0.5</v>
      </c>
      <c r="O10" s="1">
        <v>0.5</v>
      </c>
      <c r="P10" s="1">
        <v>0.5</v>
      </c>
      <c r="Q10" s="1">
        <v>0.5</v>
      </c>
      <c r="R10" s="1">
        <v>0.5</v>
      </c>
      <c r="S10" s="1">
        <v>0.5</v>
      </c>
      <c r="T10" s="1">
        <v>0.5</v>
      </c>
    </row>
    <row r="11" spans="2:20" x14ac:dyDescent="0.25">
      <c r="B11">
        <v>7</v>
      </c>
      <c r="C11" t="s">
        <v>44</v>
      </c>
      <c r="D11" s="1">
        <f ca="1">INDEX(ptWinProb,MATCH(Table1[[#This Row],[Week 1]],ptSpread,0))</f>
        <v>0.66200000000000003</v>
      </c>
      <c r="E11" s="1">
        <f ca="1">INDEX(ptWinProb,MATCH(Table1[[#This Row],[Week 2]],ptSpread,0))</f>
        <v>0.54</v>
      </c>
      <c r="F11" s="1">
        <f ca="1">INDEX(ptWinProb,MATCH(Table1[[#This Row],[Week 3]],ptSpread,0))</f>
        <v>0.46</v>
      </c>
      <c r="G11" s="1">
        <v>0.5</v>
      </c>
      <c r="H11" s="1">
        <v>0.5</v>
      </c>
      <c r="I11" s="1">
        <v>0.5</v>
      </c>
      <c r="J11" s="1">
        <v>0.5</v>
      </c>
      <c r="K11" s="1">
        <v>0.5</v>
      </c>
      <c r="L11" s="1">
        <v>0.5</v>
      </c>
      <c r="M11" s="1">
        <v>0.5</v>
      </c>
      <c r="N11" s="1">
        <v>0.5</v>
      </c>
      <c r="O11" s="1">
        <v>0.5</v>
      </c>
      <c r="P11" s="1">
        <v>0.5</v>
      </c>
      <c r="Q11" s="1">
        <v>0.5</v>
      </c>
      <c r="R11" s="1">
        <v>0.5</v>
      </c>
      <c r="S11" s="1">
        <v>0.5</v>
      </c>
      <c r="T11" s="1">
        <v>0.5</v>
      </c>
    </row>
    <row r="12" spans="2:20" x14ac:dyDescent="0.25">
      <c r="B12">
        <v>8</v>
      </c>
      <c r="C12" t="s">
        <v>45</v>
      </c>
      <c r="D12" s="1">
        <f ca="1">INDEX(ptWinProb,MATCH(Table1[[#This Row],[Week 1]],ptSpread,0))</f>
        <v>0.45</v>
      </c>
      <c r="E12" s="1">
        <f ca="1">INDEX(ptWinProb,MATCH(Table1[[#This Row],[Week 2]],ptSpread,0))</f>
        <v>0.68400000000000005</v>
      </c>
      <c r="F12" s="1">
        <f ca="1">INDEX(ptWinProb,MATCH(Table1[[#This Row],[Week 3]],ptSpread,0))</f>
        <v>0.68400000000000005</v>
      </c>
      <c r="G12" s="1">
        <v>0.5</v>
      </c>
      <c r="H12" s="1">
        <v>0.5</v>
      </c>
      <c r="I12" s="1">
        <v>0.5</v>
      </c>
      <c r="J12" s="1">
        <v>0.5</v>
      </c>
      <c r="K12" s="1">
        <v>0.5</v>
      </c>
      <c r="L12" s="1">
        <v>0.5</v>
      </c>
      <c r="M12" s="1">
        <v>0.5</v>
      </c>
      <c r="N12" s="1">
        <v>0.5</v>
      </c>
      <c r="O12" s="1">
        <v>0.5</v>
      </c>
      <c r="P12" s="1">
        <v>0.5</v>
      </c>
      <c r="Q12" s="1">
        <v>0.5</v>
      </c>
      <c r="R12" s="1">
        <v>0.5</v>
      </c>
      <c r="S12" s="1">
        <v>0.5</v>
      </c>
      <c r="T12" s="1">
        <v>0.5</v>
      </c>
    </row>
    <row r="13" spans="2:20" x14ac:dyDescent="0.25">
      <c r="B13">
        <v>9</v>
      </c>
      <c r="C13" t="s">
        <v>29</v>
      </c>
      <c r="D13" s="1">
        <f ca="1">INDEX(ptWinProb,MATCH(Table1[[#This Row],[Week 1]],ptSpread,0))</f>
        <v>0.69699999999999995</v>
      </c>
      <c r="E13" s="1">
        <f ca="1">INDEX(ptWinProb,MATCH(Table1[[#This Row],[Week 2]],ptSpread,0))</f>
        <v>0.45</v>
      </c>
      <c r="F13" s="1">
        <f ca="1">INDEX(ptWinProb,MATCH(Table1[[#This Row],[Week 3]],ptSpread,0))</f>
        <v>0.69699999999999995</v>
      </c>
      <c r="G13" s="1">
        <v>0.5</v>
      </c>
      <c r="H13" s="1">
        <v>0.5</v>
      </c>
      <c r="I13" s="1">
        <v>0.5</v>
      </c>
      <c r="J13" s="1">
        <v>0.5</v>
      </c>
      <c r="K13" s="1">
        <v>0.5</v>
      </c>
      <c r="L13" s="1">
        <v>0.5</v>
      </c>
      <c r="M13" s="1">
        <v>0.5</v>
      </c>
      <c r="N13" s="1">
        <v>0.5</v>
      </c>
      <c r="O13" s="1">
        <v>0.5</v>
      </c>
      <c r="P13" s="1">
        <v>0.5</v>
      </c>
      <c r="Q13" s="1">
        <v>0.5</v>
      </c>
      <c r="R13" s="1">
        <v>0.5</v>
      </c>
      <c r="S13" s="1">
        <v>0.5</v>
      </c>
      <c r="T13" s="1">
        <v>0.5</v>
      </c>
    </row>
    <row r="14" spans="2:20" x14ac:dyDescent="0.25">
      <c r="B14">
        <v>10</v>
      </c>
      <c r="C14" t="s">
        <v>43</v>
      </c>
      <c r="D14" s="1">
        <f ca="1">INDEX(ptWinProb,MATCH(Table1[[#This Row],[Week 1]],ptSpread,0))</f>
        <v>0.67400000000000004</v>
      </c>
      <c r="E14" s="1">
        <f ca="1">INDEX(ptWinProb,MATCH(Table1[[#This Row],[Week 2]],ptSpread,0))</f>
        <v>0.57099999999999995</v>
      </c>
      <c r="F14" s="1">
        <f ca="1">INDEX(ptWinProb,MATCH(Table1[[#This Row],[Week 3]],ptSpread,0))</f>
        <v>0.5</v>
      </c>
      <c r="G14" s="1">
        <v>0.5</v>
      </c>
      <c r="H14" s="1">
        <v>0.5</v>
      </c>
      <c r="I14" s="1">
        <v>0.5</v>
      </c>
      <c r="J14" s="1">
        <v>0.5</v>
      </c>
      <c r="K14" s="1">
        <v>0.5</v>
      </c>
      <c r="L14" s="1">
        <v>0.5</v>
      </c>
      <c r="M14" s="1">
        <v>0.5</v>
      </c>
      <c r="N14" s="1">
        <v>0.5</v>
      </c>
      <c r="O14" s="1">
        <v>0.5</v>
      </c>
      <c r="P14" s="1">
        <v>0.5</v>
      </c>
      <c r="Q14" s="1">
        <v>0.5</v>
      </c>
      <c r="R14" s="1">
        <v>0.5</v>
      </c>
      <c r="S14" s="1">
        <v>0.5</v>
      </c>
      <c r="T14" s="1">
        <v>0.5</v>
      </c>
    </row>
    <row r="15" spans="2:20" x14ac:dyDescent="0.25">
      <c r="B15">
        <v>11</v>
      </c>
      <c r="C15" t="s">
        <v>36</v>
      </c>
      <c r="D15" s="1">
        <f ca="1">INDEX(ptWinProb,MATCH(Table1[[#This Row],[Week 1]],ptSpread,0))</f>
        <v>0.44800000000000001</v>
      </c>
      <c r="E15" s="1">
        <f ca="1">INDEX(ptWinProb,MATCH(Table1[[#This Row],[Week 2]],ptSpread,0))</f>
        <v>0.5</v>
      </c>
      <c r="F15" s="1">
        <f ca="1">INDEX(ptWinProb,MATCH(Table1[[#This Row],[Week 3]],ptSpread,0))</f>
        <v>0.5</v>
      </c>
      <c r="G15" s="1">
        <v>0.5</v>
      </c>
      <c r="H15" s="1">
        <v>0.5</v>
      </c>
      <c r="I15" s="1">
        <v>0.5</v>
      </c>
      <c r="J15" s="1">
        <v>0.5</v>
      </c>
      <c r="K15" s="1">
        <v>0.5</v>
      </c>
      <c r="L15" s="1">
        <v>0.5</v>
      </c>
      <c r="M15" s="1">
        <v>0.5</v>
      </c>
      <c r="N15" s="1">
        <v>0.5</v>
      </c>
      <c r="O15" s="1">
        <v>0.5</v>
      </c>
      <c r="P15" s="1">
        <v>0.5</v>
      </c>
      <c r="Q15" s="1">
        <v>0.5</v>
      </c>
      <c r="R15" s="1">
        <v>0.5</v>
      </c>
      <c r="S15" s="1">
        <v>0.5</v>
      </c>
      <c r="T15" s="1">
        <v>0.5</v>
      </c>
    </row>
    <row r="16" spans="2:20" x14ac:dyDescent="0.25">
      <c r="B16">
        <v>12</v>
      </c>
      <c r="C16" t="s">
        <v>41</v>
      </c>
      <c r="D16" s="1">
        <f ca="1">INDEX(ptWinProb,MATCH(Table1[[#This Row],[Week 1]],ptSpread,0))</f>
        <v>0.67400000000000004</v>
      </c>
      <c r="E16" s="1">
        <f ca="1">INDEX(ptWinProb,MATCH(Table1[[#This Row],[Week 2]],ptSpread,0))</f>
        <v>0.57099999999999995</v>
      </c>
      <c r="F16" s="1">
        <f ca="1">INDEX(ptWinProb,MATCH(Table1[[#This Row],[Week 3]],ptSpread,0))</f>
        <v>0.69699999999999995</v>
      </c>
      <c r="G16" s="1">
        <v>0.5</v>
      </c>
      <c r="H16" s="1">
        <v>0.5</v>
      </c>
      <c r="I16" s="1">
        <v>0.5</v>
      </c>
      <c r="J16" s="1">
        <v>0.5</v>
      </c>
      <c r="K16" s="1">
        <v>0.5</v>
      </c>
      <c r="L16" s="1">
        <v>0.5</v>
      </c>
      <c r="M16" s="1">
        <v>0.5</v>
      </c>
      <c r="N16" s="1">
        <v>0.5</v>
      </c>
      <c r="O16" s="1">
        <v>0.5</v>
      </c>
      <c r="P16" s="1">
        <v>0.5</v>
      </c>
      <c r="Q16" s="1">
        <v>0.5</v>
      </c>
      <c r="R16" s="1">
        <v>0.5</v>
      </c>
      <c r="S16" s="1">
        <v>0.5</v>
      </c>
      <c r="T16" s="1">
        <v>0.5</v>
      </c>
    </row>
    <row r="17" spans="2:20" x14ac:dyDescent="0.25">
      <c r="B17">
        <v>13</v>
      </c>
      <c r="C17" t="s">
        <v>30</v>
      </c>
      <c r="D17" s="1">
        <f ca="1">INDEX(ptWinProb,MATCH(Table1[[#This Row],[Week 1]],ptSpread,0))</f>
        <v>0.57099999999999995</v>
      </c>
      <c r="E17" s="1">
        <f ca="1">INDEX(ptWinProb,MATCH(Table1[[#This Row],[Week 2]],ptSpread,0))</f>
        <v>0.48599999999999999</v>
      </c>
      <c r="F17" s="1">
        <f ca="1">INDEX(ptWinProb,MATCH(Table1[[#This Row],[Week 3]],ptSpread,0))</f>
        <v>0.66900000000000004</v>
      </c>
      <c r="G17" s="1">
        <v>0.5</v>
      </c>
      <c r="H17" s="1">
        <v>0.5</v>
      </c>
      <c r="I17" s="1">
        <v>0.5</v>
      </c>
      <c r="J17" s="1">
        <v>0.5</v>
      </c>
      <c r="K17" s="1">
        <v>0.5</v>
      </c>
      <c r="L17" s="1">
        <v>0.5</v>
      </c>
      <c r="M17" s="1">
        <v>0.5</v>
      </c>
      <c r="N17" s="1">
        <v>0.5</v>
      </c>
      <c r="O17" s="1">
        <v>0.5</v>
      </c>
      <c r="P17" s="1">
        <v>0.5</v>
      </c>
      <c r="Q17" s="1">
        <v>0.5</v>
      </c>
      <c r="R17" s="1">
        <v>0.5</v>
      </c>
      <c r="S17" s="1">
        <v>0.5</v>
      </c>
      <c r="T17" s="1">
        <v>0.5</v>
      </c>
    </row>
    <row r="18" spans="2:20" x14ac:dyDescent="0.25">
      <c r="B18">
        <v>14</v>
      </c>
      <c r="C18" t="s">
        <v>39</v>
      </c>
      <c r="D18" s="1">
        <f ca="1">INDEX(ptWinProb,MATCH(Table1[[#This Row],[Week 1]],ptSpread,0))</f>
        <v>0.55200000000000005</v>
      </c>
      <c r="E18" s="1">
        <f ca="1">INDEX(ptWinProb,MATCH(Table1[[#This Row],[Week 2]],ptSpread,0))</f>
        <v>0.74099999999999999</v>
      </c>
      <c r="F18" s="1">
        <f ca="1">INDEX(ptWinProb,MATCH(Table1[[#This Row],[Week 3]],ptSpread,0))</f>
        <v>0.7</v>
      </c>
      <c r="G18" s="1">
        <v>0.5</v>
      </c>
      <c r="H18" s="1">
        <v>0.5</v>
      </c>
      <c r="I18" s="1">
        <v>0.5</v>
      </c>
      <c r="J18" s="1">
        <v>0.5</v>
      </c>
      <c r="K18" s="1">
        <v>0.5</v>
      </c>
      <c r="L18" s="1">
        <v>0.5</v>
      </c>
      <c r="M18" s="1">
        <v>0.5</v>
      </c>
      <c r="N18" s="1">
        <v>0.5</v>
      </c>
      <c r="O18" s="1">
        <v>0.5</v>
      </c>
      <c r="P18" s="1">
        <v>0.5</v>
      </c>
      <c r="Q18" s="1">
        <v>0.5</v>
      </c>
      <c r="R18" s="1">
        <v>0.5</v>
      </c>
      <c r="S18" s="1">
        <v>0.5</v>
      </c>
      <c r="T18" s="1">
        <v>0.5</v>
      </c>
    </row>
    <row r="19" spans="2:20" x14ac:dyDescent="0.25">
      <c r="B19">
        <v>15</v>
      </c>
      <c r="C19" t="s">
        <v>32</v>
      </c>
      <c r="D19" s="1">
        <f ca="1">INDEX(ptWinProb,MATCH(Table1[[#This Row],[Week 1]],ptSpread,0))</f>
        <v>0.32600000000000001</v>
      </c>
      <c r="E19" s="1">
        <f ca="1">INDEX(ptWinProb,MATCH(Table1[[#This Row],[Week 2]],ptSpread,0))</f>
        <v>0.32600000000000001</v>
      </c>
      <c r="F19" s="1">
        <f ca="1">INDEX(ptWinProb,MATCH(Table1[[#This Row],[Week 3]],ptSpread,0))</f>
        <v>0.17399999999999999</v>
      </c>
      <c r="G19" s="1">
        <v>0.5</v>
      </c>
      <c r="H19" s="1">
        <v>0.5</v>
      </c>
      <c r="I19" s="1">
        <v>0.5</v>
      </c>
      <c r="J19" s="1">
        <v>0.5</v>
      </c>
      <c r="K19" s="1">
        <v>0.5</v>
      </c>
      <c r="L19" s="1">
        <v>0.5</v>
      </c>
      <c r="M19" s="1">
        <v>0.5</v>
      </c>
      <c r="N19" s="1">
        <v>0.5</v>
      </c>
      <c r="O19" s="1">
        <v>0.5</v>
      </c>
      <c r="P19" s="1">
        <v>0.5</v>
      </c>
      <c r="Q19" s="1">
        <v>0.5</v>
      </c>
      <c r="R19" s="1">
        <v>0.5</v>
      </c>
      <c r="S19" s="1">
        <v>0.5</v>
      </c>
      <c r="T19" s="1">
        <v>0.5</v>
      </c>
    </row>
    <row r="20" spans="2:20" x14ac:dyDescent="0.25">
      <c r="B20">
        <v>16</v>
      </c>
      <c r="C20" t="s">
        <v>46</v>
      </c>
      <c r="D20" s="1">
        <f ca="1">INDEX(ptWinProb,MATCH(Table1[[#This Row],[Week 1]],ptSpread,0))</f>
        <v>0.42899999999999999</v>
      </c>
      <c r="E20" s="1">
        <f ca="1">INDEX(ptWinProb,MATCH(Table1[[#This Row],[Week 2]],ptSpread,0))</f>
        <v>0.42899999999999999</v>
      </c>
      <c r="F20" s="1">
        <f ca="1">INDEX(ptWinProb,MATCH(Table1[[#This Row],[Week 3]],ptSpread,0))</f>
        <v>0.30299999999999999</v>
      </c>
      <c r="G20" s="1">
        <v>0.5</v>
      </c>
      <c r="H20" s="1">
        <v>0.5</v>
      </c>
      <c r="I20" s="1">
        <v>0.5</v>
      </c>
      <c r="J20" s="1">
        <v>0.5</v>
      </c>
      <c r="K20" s="1">
        <v>0.5</v>
      </c>
      <c r="L20" s="1">
        <v>0.5</v>
      </c>
      <c r="M20" s="1">
        <v>0.5</v>
      </c>
      <c r="N20" s="1">
        <v>0.5</v>
      </c>
      <c r="O20" s="1">
        <v>0.5</v>
      </c>
      <c r="P20" s="1">
        <v>0.5</v>
      </c>
      <c r="Q20" s="1">
        <v>0.5</v>
      </c>
      <c r="R20" s="1">
        <v>0.5</v>
      </c>
      <c r="S20" s="1">
        <v>0.5</v>
      </c>
      <c r="T20" s="1">
        <v>0.5</v>
      </c>
    </row>
    <row r="21" spans="2:20" x14ac:dyDescent="0.25">
      <c r="B21">
        <v>17</v>
      </c>
      <c r="C21" t="s">
        <v>33</v>
      </c>
      <c r="D21" s="1">
        <f ca="1">INDEX(ptWinProb,MATCH(Table1[[#This Row],[Week 1]],ptSpread,0))</f>
        <v>0.55000000000000004</v>
      </c>
      <c r="E21" s="1">
        <f ca="1">INDEX(ptWinProb,MATCH(Table1[[#This Row],[Week 2]],ptSpread,0))</f>
        <v>0.67400000000000004</v>
      </c>
      <c r="F21" s="1">
        <f ca="1">INDEX(ptWinProb,MATCH(Table1[[#This Row],[Week 3]],ptSpread,0))</f>
        <v>0.55000000000000004</v>
      </c>
      <c r="G21" s="1">
        <v>0.5</v>
      </c>
      <c r="H21" s="1">
        <v>0.5</v>
      </c>
      <c r="I21" s="1">
        <v>0.5</v>
      </c>
      <c r="J21" s="1">
        <v>0.5</v>
      </c>
      <c r="K21" s="1">
        <v>0.5</v>
      </c>
      <c r="L21" s="1">
        <v>0.5</v>
      </c>
      <c r="M21" s="1">
        <v>0.5</v>
      </c>
      <c r="N21" s="1">
        <v>0.5</v>
      </c>
      <c r="O21" s="1">
        <v>0.5</v>
      </c>
      <c r="P21" s="1">
        <v>0.5</v>
      </c>
      <c r="Q21" s="1">
        <v>0.5</v>
      </c>
      <c r="R21" s="1">
        <v>0.5</v>
      </c>
      <c r="S21" s="1">
        <v>0.5</v>
      </c>
      <c r="T21" s="1">
        <v>0.5</v>
      </c>
    </row>
    <row r="22" spans="2:20" x14ac:dyDescent="0.25">
      <c r="B22">
        <v>18</v>
      </c>
      <c r="C22" t="s">
        <v>49</v>
      </c>
      <c r="D22" s="1">
        <f ca="1">INDEX(ptWinProb,MATCH(Table1[[#This Row],[Week 1]],ptSpread,0))</f>
        <v>0.316</v>
      </c>
      <c r="E22" s="1">
        <f ca="1">INDEX(ptWinProb,MATCH(Table1[[#This Row],[Week 2]],ptSpread,0))</f>
        <v>0.5</v>
      </c>
      <c r="F22" s="1">
        <f ca="1">INDEX(ptWinProb,MATCH(Table1[[#This Row],[Week 3]],ptSpread,0))</f>
        <v>0.5</v>
      </c>
      <c r="G22" s="1">
        <v>0.5</v>
      </c>
      <c r="H22" s="1">
        <v>0.5</v>
      </c>
      <c r="I22" s="1">
        <v>0.5</v>
      </c>
      <c r="J22" s="1">
        <v>0.5</v>
      </c>
      <c r="K22" s="1">
        <v>0.5</v>
      </c>
      <c r="L22" s="1">
        <v>0.5</v>
      </c>
      <c r="M22" s="1">
        <v>0.5</v>
      </c>
      <c r="N22" s="1">
        <v>0.5</v>
      </c>
      <c r="O22" s="1">
        <v>0.5</v>
      </c>
      <c r="P22" s="1">
        <v>0.5</v>
      </c>
      <c r="Q22" s="1">
        <v>0.5</v>
      </c>
      <c r="R22" s="1">
        <v>0.5</v>
      </c>
      <c r="S22" s="1">
        <v>0.5</v>
      </c>
      <c r="T22" s="1">
        <v>0.5</v>
      </c>
    </row>
    <row r="23" spans="2:20" x14ac:dyDescent="0.25">
      <c r="B23">
        <v>19</v>
      </c>
      <c r="C23" t="s">
        <v>27</v>
      </c>
      <c r="D23" s="1">
        <f ca="1">INDEX(ptWinProb,MATCH(Table1[[#This Row],[Week 1]],ptSpread,0))</f>
        <v>0.66900000000000004</v>
      </c>
      <c r="E23" s="1">
        <f ca="1">INDEX(ptWinProb,MATCH(Table1[[#This Row],[Week 2]],ptSpread,0))</f>
        <v>0.57099999999999995</v>
      </c>
      <c r="F23" s="1">
        <f ca="1">INDEX(ptWinProb,MATCH(Table1[[#This Row],[Week 3]],ptSpread,0))</f>
        <v>0.82599999999999996</v>
      </c>
      <c r="G23" s="1">
        <v>0.5</v>
      </c>
      <c r="H23" s="1">
        <v>0.5</v>
      </c>
      <c r="I23" s="1">
        <v>0.5</v>
      </c>
      <c r="J23" s="1">
        <v>0.5</v>
      </c>
      <c r="K23" s="1">
        <v>0.5</v>
      </c>
      <c r="L23" s="1">
        <v>0.5</v>
      </c>
      <c r="M23" s="1">
        <v>0.5</v>
      </c>
      <c r="N23" s="1">
        <v>0.5</v>
      </c>
      <c r="O23" s="1">
        <v>0.5</v>
      </c>
      <c r="P23" s="1">
        <v>0.5</v>
      </c>
      <c r="Q23" s="1">
        <v>0.5</v>
      </c>
      <c r="R23" s="1">
        <v>0.5</v>
      </c>
      <c r="S23" s="1">
        <v>0.5</v>
      </c>
      <c r="T23" s="1">
        <v>0.5</v>
      </c>
    </row>
    <row r="24" spans="2:20" x14ac:dyDescent="0.25">
      <c r="B24">
        <v>20</v>
      </c>
      <c r="C24" t="s">
        <v>19</v>
      </c>
      <c r="D24" s="1">
        <f ca="1">INDEX(ptWinProb,MATCH(Table1[[#This Row],[Week 1]],ptSpread,0))</f>
        <v>0.46</v>
      </c>
      <c r="E24" s="1">
        <f ca="1">INDEX(ptWinProb,MATCH(Table1[[#This Row],[Week 2]],ptSpread,0))</f>
        <v>0.66900000000000004</v>
      </c>
      <c r="F24" s="1" t="e">
        <f ca="1">INDEX(ptWinProb,MATCH(Table1[[#This Row],[Week 3]],ptSpread,0))</f>
        <v>#N/A</v>
      </c>
      <c r="G24" s="1">
        <v>0.5</v>
      </c>
      <c r="H24" s="1">
        <v>0.5</v>
      </c>
      <c r="I24" s="1">
        <v>0.5</v>
      </c>
      <c r="J24" s="1">
        <v>0.5</v>
      </c>
      <c r="K24" s="1">
        <v>0.5</v>
      </c>
      <c r="L24" s="1">
        <v>0.5</v>
      </c>
      <c r="M24" s="1">
        <v>0.5</v>
      </c>
      <c r="N24" s="1">
        <v>0.5</v>
      </c>
      <c r="O24" s="1">
        <v>0.5</v>
      </c>
      <c r="P24" s="1">
        <v>0.5</v>
      </c>
      <c r="Q24" s="1">
        <v>0.5</v>
      </c>
      <c r="R24" s="1">
        <v>0.5</v>
      </c>
      <c r="S24" s="1">
        <v>0.5</v>
      </c>
      <c r="T24" s="1">
        <v>0.5</v>
      </c>
    </row>
    <row r="25" spans="2:20" x14ac:dyDescent="0.25">
      <c r="B25">
        <v>21</v>
      </c>
      <c r="C25" t="s">
        <v>26</v>
      </c>
      <c r="D25" s="1">
        <f ca="1">INDEX(ptWinProb,MATCH(Table1[[#This Row],[Week 1]],ptSpread,0))</f>
        <v>0.30299999999999999</v>
      </c>
      <c r="E25" s="1">
        <f ca="1">INDEX(ptWinProb,MATCH(Table1[[#This Row],[Week 2]],ptSpread,0))</f>
        <v>0.66200000000000003</v>
      </c>
      <c r="F25" s="1">
        <f ca="1">INDEX(ptWinProb,MATCH(Table1[[#This Row],[Week 3]],ptSpread,0))</f>
        <v>0.55000000000000004</v>
      </c>
      <c r="G25" s="1">
        <v>0.5</v>
      </c>
      <c r="H25" s="1">
        <v>0.5</v>
      </c>
      <c r="I25" s="1">
        <v>0.5</v>
      </c>
      <c r="J25" s="1">
        <v>0.5</v>
      </c>
      <c r="K25" s="1">
        <v>0.5</v>
      </c>
      <c r="L25" s="1">
        <v>0.5</v>
      </c>
      <c r="M25" s="1">
        <v>0.5</v>
      </c>
      <c r="N25" s="1">
        <v>0.5</v>
      </c>
      <c r="O25" s="1">
        <v>0.5</v>
      </c>
      <c r="P25" s="1">
        <v>0.5</v>
      </c>
      <c r="Q25" s="1">
        <v>0.5</v>
      </c>
      <c r="R25" s="1">
        <v>0.5</v>
      </c>
      <c r="S25" s="1">
        <v>0.5</v>
      </c>
      <c r="T25" s="1">
        <v>0.5</v>
      </c>
    </row>
    <row r="26" spans="2:20" x14ac:dyDescent="0.25">
      <c r="B26">
        <v>22</v>
      </c>
      <c r="C26" t="s">
        <v>25</v>
      </c>
      <c r="D26" s="1">
        <f ca="1">INDEX(ptWinProb,MATCH(Table1[[#This Row],[Week 1]],ptSpread,0))</f>
        <v>0.55000000000000004</v>
      </c>
      <c r="E26" s="1">
        <f ca="1">INDEX(ptWinProb,MATCH(Table1[[#This Row],[Week 2]],ptSpread,0))</f>
        <v>0.25900000000000001</v>
      </c>
      <c r="F26" s="1">
        <f ca="1">INDEX(ptWinProb,MATCH(Table1[[#This Row],[Week 3]],ptSpread,0))</f>
        <v>0.48599999999999999</v>
      </c>
      <c r="G26" s="1">
        <v>0.5</v>
      </c>
      <c r="H26" s="1">
        <v>0.5</v>
      </c>
      <c r="I26" s="1">
        <v>0.5</v>
      </c>
      <c r="J26" s="1">
        <v>0.5</v>
      </c>
      <c r="K26" s="1">
        <v>0.5</v>
      </c>
      <c r="L26" s="1">
        <v>0.5</v>
      </c>
      <c r="M26" s="1">
        <v>0.5</v>
      </c>
      <c r="N26" s="1">
        <v>0.5</v>
      </c>
      <c r="O26" s="1">
        <v>0.5</v>
      </c>
      <c r="P26" s="1">
        <v>0.5</v>
      </c>
      <c r="Q26" s="1">
        <v>0.5</v>
      </c>
      <c r="R26" s="1">
        <v>0.5</v>
      </c>
      <c r="S26" s="1">
        <v>0.5</v>
      </c>
      <c r="T26" s="1">
        <v>0.5</v>
      </c>
    </row>
    <row r="27" spans="2:20" x14ac:dyDescent="0.25">
      <c r="B27">
        <v>23</v>
      </c>
      <c r="C27" t="s">
        <v>47</v>
      </c>
      <c r="D27" s="1">
        <f ca="1">INDEX(ptWinProb,MATCH(Table1[[#This Row],[Week 1]],ptSpread,0))</f>
        <v>0.33800000000000002</v>
      </c>
      <c r="E27" s="1">
        <f ca="1">INDEX(ptWinProb,MATCH(Table1[[#This Row],[Week 2]],ptSpread,0))</f>
        <v>0.3</v>
      </c>
      <c r="F27" s="1">
        <f ca="1">INDEX(ptWinProb,MATCH(Table1[[#This Row],[Week 3]],ptSpread,0))</f>
        <v>0.316</v>
      </c>
      <c r="G27" s="1">
        <v>0.5</v>
      </c>
      <c r="H27" s="1">
        <v>0.5</v>
      </c>
      <c r="I27" s="1">
        <v>0.5</v>
      </c>
      <c r="J27" s="1">
        <v>0.5</v>
      </c>
      <c r="K27" s="1">
        <v>0.5</v>
      </c>
      <c r="L27" s="1">
        <v>0.5</v>
      </c>
      <c r="M27" s="1">
        <v>0.5</v>
      </c>
      <c r="N27" s="1">
        <v>0.5</v>
      </c>
      <c r="O27" s="1">
        <v>0.5</v>
      </c>
      <c r="P27" s="1">
        <v>0.5</v>
      </c>
      <c r="Q27" s="1">
        <v>0.5</v>
      </c>
      <c r="R27" s="1">
        <v>0.5</v>
      </c>
      <c r="S27" s="1">
        <v>0.5</v>
      </c>
      <c r="T27" s="1">
        <v>0.5</v>
      </c>
    </row>
    <row r="28" spans="2:20" x14ac:dyDescent="0.25">
      <c r="B28">
        <v>24</v>
      </c>
      <c r="C28" t="s">
        <v>35</v>
      </c>
      <c r="D28" s="1">
        <f ca="1">INDEX(ptWinProb,MATCH(Table1[[#This Row],[Week 1]],ptSpread,0))</f>
        <v>0.57099999999999995</v>
      </c>
      <c r="E28" s="1">
        <f ca="1">INDEX(ptWinProb,MATCH(Table1[[#This Row],[Week 2]],ptSpread,0))</f>
        <v>0.55000000000000004</v>
      </c>
      <c r="F28" s="1">
        <f ca="1">INDEX(ptWinProb,MATCH(Table1[[#This Row],[Week 3]],ptSpread,0))</f>
        <v>0.51400000000000001</v>
      </c>
      <c r="G28" s="1">
        <v>0.5</v>
      </c>
      <c r="H28" s="1">
        <v>0.5</v>
      </c>
      <c r="I28" s="1">
        <v>0.5</v>
      </c>
      <c r="J28" s="1">
        <v>0.5</v>
      </c>
      <c r="K28" s="1">
        <v>0.5</v>
      </c>
      <c r="L28" s="1">
        <v>0.5</v>
      </c>
      <c r="M28" s="1">
        <v>0.5</v>
      </c>
      <c r="N28" s="1">
        <v>0.5</v>
      </c>
      <c r="O28" s="1">
        <v>0.5</v>
      </c>
      <c r="P28" s="1">
        <v>0.5</v>
      </c>
      <c r="Q28" s="1">
        <v>0.5</v>
      </c>
      <c r="R28" s="1">
        <v>0.5</v>
      </c>
      <c r="S28" s="1">
        <v>0.5</v>
      </c>
      <c r="T28" s="1">
        <v>0.5</v>
      </c>
    </row>
    <row r="29" spans="2:20" x14ac:dyDescent="0.25">
      <c r="B29">
        <v>25</v>
      </c>
      <c r="C29" t="s">
        <v>34</v>
      </c>
      <c r="D29" s="1">
        <f ca="1">INDEX(ptWinProb,MATCH(Table1[[#This Row],[Week 1]],ptSpread,0))</f>
        <v>0.33100000000000002</v>
      </c>
      <c r="E29" s="1">
        <f ca="1">INDEX(ptWinProb,MATCH(Table1[[#This Row],[Week 2]],ptSpread,0))</f>
        <v>0.51400000000000001</v>
      </c>
      <c r="F29" s="1">
        <f ca="1">INDEX(ptWinProb,MATCH(Table1[[#This Row],[Week 3]],ptSpread,0))</f>
        <v>0.42899999999999999</v>
      </c>
      <c r="G29" s="1">
        <v>0.5</v>
      </c>
      <c r="H29" s="1">
        <v>0.5</v>
      </c>
      <c r="I29" s="1">
        <v>0.5</v>
      </c>
      <c r="J29" s="1">
        <v>0.5</v>
      </c>
      <c r="K29" s="1">
        <v>0.5</v>
      </c>
      <c r="L29" s="1">
        <v>0.5</v>
      </c>
      <c r="M29" s="1">
        <v>0.5</v>
      </c>
      <c r="N29" s="1">
        <v>0.5</v>
      </c>
      <c r="O29" s="1">
        <v>0.5</v>
      </c>
      <c r="P29" s="1">
        <v>0.5</v>
      </c>
      <c r="Q29" s="1">
        <v>0.5</v>
      </c>
      <c r="R29" s="1">
        <v>0.5</v>
      </c>
      <c r="S29" s="1">
        <v>0.5</v>
      </c>
      <c r="T29" s="1">
        <v>0.5</v>
      </c>
    </row>
    <row r="30" spans="2:20" x14ac:dyDescent="0.25">
      <c r="B30">
        <v>26</v>
      </c>
      <c r="C30" t="s">
        <v>48</v>
      </c>
      <c r="D30" s="1">
        <f ca="1">INDEX(ptWinProb,MATCH(Table1[[#This Row],[Week 1]],ptSpread,0))</f>
        <v>0.55200000000000005</v>
      </c>
      <c r="E30" s="1">
        <f ca="1">INDEX(ptWinProb,MATCH(Table1[[#This Row],[Week 2]],ptSpread,0))</f>
        <v>0.46</v>
      </c>
      <c r="F30" s="1">
        <f ca="1">INDEX(ptWinProb,MATCH(Table1[[#This Row],[Week 3]],ptSpread,0))</f>
        <v>0.5</v>
      </c>
      <c r="G30" s="1">
        <v>0.5</v>
      </c>
      <c r="H30" s="1">
        <v>0.5</v>
      </c>
      <c r="I30" s="1">
        <v>0.5</v>
      </c>
      <c r="J30" s="1">
        <v>0.5</v>
      </c>
      <c r="K30" s="1">
        <v>0.5</v>
      </c>
      <c r="L30" s="1">
        <v>0.5</v>
      </c>
      <c r="M30" s="1">
        <v>0.5</v>
      </c>
      <c r="N30" s="1">
        <v>0.5</v>
      </c>
      <c r="O30" s="1">
        <v>0.5</v>
      </c>
      <c r="P30" s="1">
        <v>0.5</v>
      </c>
      <c r="Q30" s="1">
        <v>0.5</v>
      </c>
      <c r="R30" s="1">
        <v>0.5</v>
      </c>
      <c r="S30" s="1">
        <v>0.5</v>
      </c>
      <c r="T30" s="1">
        <v>0.5</v>
      </c>
    </row>
    <row r="31" spans="2:20" x14ac:dyDescent="0.25">
      <c r="B31">
        <v>27</v>
      </c>
      <c r="C31" t="s">
        <v>23</v>
      </c>
      <c r="D31" s="1">
        <f ca="1">INDEX(ptWinProb,MATCH(Table1[[#This Row],[Week 1]],ptSpread,0))</f>
        <v>0.66200000000000003</v>
      </c>
      <c r="E31" s="1">
        <f ca="1">INDEX(ptWinProb,MATCH(Table1[[#This Row],[Week 2]],ptSpread,0))</f>
        <v>0.42899999999999999</v>
      </c>
      <c r="F31" s="1">
        <f ca="1">INDEX(ptWinProb,MATCH(Table1[[#This Row],[Week 3]],ptSpread,0))</f>
        <v>0.75600000000000001</v>
      </c>
      <c r="G31" s="1">
        <v>0.5</v>
      </c>
      <c r="H31" s="1">
        <v>0.5</v>
      </c>
      <c r="I31" s="1">
        <v>0.5</v>
      </c>
      <c r="J31" s="1">
        <v>0.5</v>
      </c>
      <c r="K31" s="1">
        <v>0.5</v>
      </c>
      <c r="L31" s="1">
        <v>0.5</v>
      </c>
      <c r="M31" s="1">
        <v>0.5</v>
      </c>
      <c r="N31" s="1">
        <v>0.5</v>
      </c>
      <c r="O31" s="1">
        <v>0.5</v>
      </c>
      <c r="P31" s="1">
        <v>0.5</v>
      </c>
      <c r="Q31" s="1">
        <v>0.5</v>
      </c>
      <c r="R31" s="1">
        <v>0.5</v>
      </c>
      <c r="S31" s="1">
        <v>0.5</v>
      </c>
      <c r="T31" s="1">
        <v>0.5</v>
      </c>
    </row>
    <row r="32" spans="2:20" x14ac:dyDescent="0.25">
      <c r="B32">
        <v>28</v>
      </c>
      <c r="C32" t="s">
        <v>28</v>
      </c>
      <c r="D32" s="1">
        <f ca="1">INDEX(ptWinProb,MATCH(Table1[[#This Row],[Week 1]],ptSpread,0))</f>
        <v>0.68400000000000005</v>
      </c>
      <c r="E32" s="1">
        <f ca="1">INDEX(ptWinProb,MATCH(Table1[[#This Row],[Week 2]],ptSpread,0))</f>
        <v>0.48599999999999999</v>
      </c>
      <c r="F32" s="1">
        <f ca="1">INDEX(ptWinProb,MATCH(Table1[[#This Row],[Week 3]],ptSpread,0))</f>
        <v>0.48599999999999999</v>
      </c>
      <c r="G32" s="1">
        <v>0.5</v>
      </c>
      <c r="H32" s="1">
        <v>0.5</v>
      </c>
      <c r="I32" s="1">
        <v>0.5</v>
      </c>
      <c r="J32" s="1">
        <v>0.5</v>
      </c>
      <c r="K32" s="1">
        <v>0.5</v>
      </c>
      <c r="L32" s="1">
        <v>0.5</v>
      </c>
      <c r="M32" s="1">
        <v>0.5</v>
      </c>
      <c r="N32" s="1">
        <v>0.5</v>
      </c>
      <c r="O32" s="1">
        <v>0.5</v>
      </c>
      <c r="P32" s="1">
        <v>0.5</v>
      </c>
      <c r="Q32" s="1">
        <v>0.5</v>
      </c>
      <c r="R32" s="1">
        <v>0.5</v>
      </c>
      <c r="S32" s="1">
        <v>0.5</v>
      </c>
      <c r="T32" s="1">
        <v>0.5</v>
      </c>
    </row>
    <row r="33" spans="2:20" x14ac:dyDescent="0.25">
      <c r="B33">
        <v>29</v>
      </c>
      <c r="C33" t="s">
        <v>24</v>
      </c>
      <c r="D33" s="1">
        <f ca="1">INDEX(ptWinProb,MATCH(Table1[[#This Row],[Week 1]],ptSpread,0))</f>
        <v>0.33800000000000002</v>
      </c>
      <c r="E33" s="1">
        <f ca="1">INDEX(ptWinProb,MATCH(Table1[[#This Row],[Week 2]],ptSpread,0))</f>
        <v>0.55000000000000004</v>
      </c>
      <c r="F33" s="1">
        <f ca="1">INDEX(ptWinProb,MATCH(Table1[[#This Row],[Week 3]],ptSpread,0))</f>
        <v>0.57099999999999995</v>
      </c>
      <c r="G33" s="1">
        <v>0.5</v>
      </c>
      <c r="H33" s="1">
        <v>0.5</v>
      </c>
      <c r="I33" s="1">
        <v>0.5</v>
      </c>
      <c r="J33" s="1">
        <v>0.5</v>
      </c>
      <c r="K33" s="1">
        <v>0.5</v>
      </c>
      <c r="L33" s="1">
        <v>0.5</v>
      </c>
      <c r="M33" s="1">
        <v>0.5</v>
      </c>
      <c r="N33" s="1">
        <v>0.5</v>
      </c>
      <c r="O33" s="1">
        <v>0.5</v>
      </c>
      <c r="P33" s="1">
        <v>0.5</v>
      </c>
      <c r="Q33" s="1">
        <v>0.5</v>
      </c>
      <c r="R33" s="1">
        <v>0.5</v>
      </c>
      <c r="S33" s="1">
        <v>0.5</v>
      </c>
      <c r="T33" s="1">
        <v>0.5</v>
      </c>
    </row>
    <row r="34" spans="2:20" x14ac:dyDescent="0.25">
      <c r="B34">
        <v>30</v>
      </c>
      <c r="C34" t="s">
        <v>21</v>
      </c>
      <c r="D34" s="1">
        <f ca="1">INDEX(ptWinProb,MATCH(Table1[[#This Row],[Week 1]],ptSpread,0))</f>
        <v>0.54</v>
      </c>
      <c r="E34" s="1">
        <f ca="1">INDEX(ptWinProb,MATCH(Table1[[#This Row],[Week 2]],ptSpread,0))</f>
        <v>0.33100000000000002</v>
      </c>
      <c r="F34" s="1">
        <f ca="1">INDEX(ptWinProb,MATCH(Table1[[#This Row],[Week 3]],ptSpread,0))</f>
        <v>0.33100000000000002</v>
      </c>
      <c r="G34" s="1">
        <v>0.5</v>
      </c>
      <c r="H34" s="1">
        <v>0.5</v>
      </c>
      <c r="I34" s="1">
        <v>0.5</v>
      </c>
      <c r="J34" s="1">
        <v>0.5</v>
      </c>
      <c r="K34" s="1">
        <v>0.5</v>
      </c>
      <c r="L34" s="1">
        <v>0.5</v>
      </c>
      <c r="M34" s="1">
        <v>0.5</v>
      </c>
      <c r="N34" s="1">
        <v>0.5</v>
      </c>
      <c r="O34" s="1">
        <v>0.5</v>
      </c>
      <c r="P34" s="1">
        <v>0.5</v>
      </c>
      <c r="Q34" s="1">
        <v>0.5</v>
      </c>
      <c r="R34" s="1">
        <v>0.5</v>
      </c>
      <c r="S34" s="1">
        <v>0.5</v>
      </c>
      <c r="T34" s="1">
        <v>0.5</v>
      </c>
    </row>
    <row r="35" spans="2:20" x14ac:dyDescent="0.25">
      <c r="B35">
        <v>31</v>
      </c>
      <c r="C35" t="s">
        <v>22</v>
      </c>
      <c r="D35" s="1">
        <f ca="1">INDEX(ptWinProb,MATCH(Table1[[#This Row],[Week 1]],ptSpread,0))</f>
        <v>0.46</v>
      </c>
      <c r="E35" s="1">
        <f ca="1">INDEX(ptWinProb,MATCH(Table1[[#This Row],[Week 2]],ptSpread,0))</f>
        <v>0.316</v>
      </c>
      <c r="F35" s="1">
        <f ca="1">INDEX(ptWinProb,MATCH(Table1[[#This Row],[Week 3]],ptSpread,0))</f>
        <v>0.3</v>
      </c>
      <c r="G35" s="1">
        <v>0.5</v>
      </c>
      <c r="H35" s="1">
        <v>0.5</v>
      </c>
      <c r="I35" s="1">
        <v>0.5</v>
      </c>
      <c r="J35" s="1">
        <v>0.5</v>
      </c>
      <c r="K35" s="1">
        <v>0.5</v>
      </c>
      <c r="L35" s="1">
        <v>0.5</v>
      </c>
      <c r="M35" s="1">
        <v>0.5</v>
      </c>
      <c r="N35" s="1">
        <v>0.5</v>
      </c>
      <c r="O35" s="1">
        <v>0.5</v>
      </c>
      <c r="P35" s="1">
        <v>0.5</v>
      </c>
      <c r="Q35" s="1">
        <v>0.5</v>
      </c>
      <c r="R35" s="1">
        <v>0.5</v>
      </c>
      <c r="S35" s="1">
        <v>0.5</v>
      </c>
      <c r="T35" s="1">
        <v>0.5</v>
      </c>
    </row>
    <row r="36" spans="2:20" x14ac:dyDescent="0.25">
      <c r="B36">
        <v>32</v>
      </c>
      <c r="C36" t="s">
        <v>42</v>
      </c>
      <c r="D36" s="1">
        <f ca="1">INDEX(ptWinProb,MATCH(Table1[[#This Row],[Week 1]],ptSpread,0))</f>
        <v>0.45</v>
      </c>
      <c r="E36" s="1">
        <f ca="1">INDEX(ptWinProb,MATCH(Table1[[#This Row],[Week 2]],ptSpread,0))</f>
        <v>0.45</v>
      </c>
      <c r="F36" s="1">
        <f ca="1">INDEX(ptWinProb,MATCH(Table1[[#This Row],[Week 3]],ptSpread,0))</f>
        <v>0.45</v>
      </c>
      <c r="G36" s="1">
        <v>0.5</v>
      </c>
      <c r="H36" s="1">
        <v>0.5</v>
      </c>
      <c r="I36" s="1">
        <v>0.5</v>
      </c>
      <c r="J36" s="1">
        <v>0.5</v>
      </c>
      <c r="K36" s="1">
        <v>0.5</v>
      </c>
      <c r="L36" s="1">
        <v>0.5</v>
      </c>
      <c r="M36" s="1">
        <v>0.5</v>
      </c>
      <c r="N36" s="1">
        <v>0.5</v>
      </c>
      <c r="O36" s="1">
        <v>0.5</v>
      </c>
      <c r="P36" s="1">
        <v>0.5</v>
      </c>
      <c r="Q36" s="1">
        <v>0.5</v>
      </c>
      <c r="R36" s="1">
        <v>0.5</v>
      </c>
      <c r="S36" s="1">
        <v>0.5</v>
      </c>
      <c r="T36" s="1">
        <v>0.5</v>
      </c>
    </row>
  </sheetData>
  <conditionalFormatting sqref="D5:T36">
    <cfRule type="top10" dxfId="0" priority="1" rank="1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S40"/>
  <sheetViews>
    <sheetView workbookViewId="0">
      <selection activeCell="D18" sqref="D18"/>
    </sheetView>
  </sheetViews>
  <sheetFormatPr defaultRowHeight="15" x14ac:dyDescent="0.25"/>
  <cols>
    <col min="3" max="11" width="9.85546875" customWidth="1"/>
    <col min="12" max="18" width="10.85546875" customWidth="1"/>
  </cols>
  <sheetData>
    <row r="2" spans="2:19" x14ac:dyDescent="0.25">
      <c r="B2" t="s">
        <v>99</v>
      </c>
      <c r="D2" s="8" t="e">
        <f ca="1">PRODUCT(C39:S39)</f>
        <v>#N/A</v>
      </c>
    </row>
    <row r="4" spans="2:19" x14ac:dyDescent="0.25"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16</v>
      </c>
      <c r="S4" s="3" t="s">
        <v>17</v>
      </c>
    </row>
    <row r="5" spans="2:19" x14ac:dyDescent="0.25">
      <c r="B5" s="4" t="s">
        <v>37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25">
      <c r="B6" s="5" t="s">
        <v>18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2:19" x14ac:dyDescent="0.25">
      <c r="B7" s="4" t="s">
        <v>38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25">
      <c r="B8" s="5" t="s">
        <v>31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25">
      <c r="B9" s="4" t="s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25">
      <c r="B10" s="5" t="s">
        <v>40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25">
      <c r="B11" s="4" t="s">
        <v>44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25">
      <c r="B12" s="5" t="s">
        <v>45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25">
      <c r="B13" s="4" t="s">
        <v>29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25">
      <c r="B14" s="5" t="s">
        <v>43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25">
      <c r="B15" s="4" t="s">
        <v>36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25">
      <c r="B16" s="5" t="s">
        <v>41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</row>
    <row r="17" spans="2:19" x14ac:dyDescent="0.25">
      <c r="B17" s="4" t="s">
        <v>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</row>
    <row r="18" spans="2:19" x14ac:dyDescent="0.25">
      <c r="B18" s="5" t="s">
        <v>39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25">
      <c r="B19" s="4" t="s">
        <v>32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</row>
    <row r="20" spans="2:19" x14ac:dyDescent="0.25">
      <c r="B20" s="5" t="s">
        <v>46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 x14ac:dyDescent="0.25">
      <c r="B21" s="4" t="s">
        <v>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19" x14ac:dyDescent="0.25">
      <c r="B22" s="5" t="s">
        <v>49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2:19" x14ac:dyDescent="0.25">
      <c r="B23" s="4" t="s">
        <v>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2:19" x14ac:dyDescent="0.25">
      <c r="B24" s="5" t="s">
        <v>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2:19" x14ac:dyDescent="0.25">
      <c r="B25" s="4" t="s">
        <v>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2:19" x14ac:dyDescent="0.25">
      <c r="B26" s="5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2:19" x14ac:dyDescent="0.25">
      <c r="B27" s="4" t="s">
        <v>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2:19" x14ac:dyDescent="0.25">
      <c r="B28" s="5" t="s">
        <v>35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2:19" x14ac:dyDescent="0.25">
      <c r="B29" s="4" t="s">
        <v>34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2:19" x14ac:dyDescent="0.25">
      <c r="B30" s="5" t="s">
        <v>48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2:19" x14ac:dyDescent="0.25">
      <c r="B31" s="4" t="s">
        <v>23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2:19" x14ac:dyDescent="0.25">
      <c r="B32" s="5" t="s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2:19" x14ac:dyDescent="0.25">
      <c r="B33" s="4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2:19" x14ac:dyDescent="0.25">
      <c r="B34" s="5" t="s">
        <v>21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2:19" x14ac:dyDescent="0.25">
      <c r="B35" s="4" t="s">
        <v>22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2:19" x14ac:dyDescent="0.25">
      <c r="B36" s="5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</row>
    <row r="38" spans="2:19" x14ac:dyDescent="0.25">
      <c r="B38" t="s">
        <v>98</v>
      </c>
      <c r="C38">
        <f>SUM(Table3[Week 1])</f>
        <v>1</v>
      </c>
      <c r="D38">
        <f>SUM(Table3[Week 2])</f>
        <v>1</v>
      </c>
      <c r="E38">
        <f>SUM(Table3[Week 3])</f>
        <v>1</v>
      </c>
      <c r="F38">
        <f>SUM(Table3[Week 4])</f>
        <v>1</v>
      </c>
      <c r="G38">
        <f>SUM(Table3[Week 5])</f>
        <v>1</v>
      </c>
      <c r="H38">
        <f>SUM(Table3[Week 6])</f>
        <v>1</v>
      </c>
      <c r="I38">
        <f>SUM(Table3[Week 7])</f>
        <v>1</v>
      </c>
      <c r="J38">
        <f>SUM(Table3[Week 8])</f>
        <v>1</v>
      </c>
      <c r="K38">
        <f>SUM(Table3[Week 9])</f>
        <v>1</v>
      </c>
      <c r="L38">
        <f>SUM(Table3[Week 10])</f>
        <v>1</v>
      </c>
      <c r="M38">
        <f>SUM(Table3[Week 11])</f>
        <v>1</v>
      </c>
      <c r="N38">
        <f>SUM(Table3[Week 12])</f>
        <v>1</v>
      </c>
      <c r="O38">
        <f>SUM(Table3[Week 13])</f>
        <v>1</v>
      </c>
      <c r="P38">
        <f>SUM(Table3[Week 14])</f>
        <v>1</v>
      </c>
      <c r="Q38">
        <f>SUM(Table3[Week 15])</f>
        <v>1</v>
      </c>
      <c r="R38">
        <f>SUM(Table3[Week 16])</f>
        <v>1</v>
      </c>
      <c r="S38">
        <f>SUM(Table3[Week 17])</f>
        <v>1</v>
      </c>
    </row>
    <row r="39" spans="2:19" x14ac:dyDescent="0.25">
      <c r="B39" t="s">
        <v>100</v>
      </c>
      <c r="C39">
        <f ca="1">SUMPRODUCT(Table3[Week 1],Table2[Week 1])</f>
        <v>0.69699999999999995</v>
      </c>
      <c r="D39">
        <f ca="1">SUMPRODUCT(Table3[Week 2],Table2[Week 2])</f>
        <v>0.74099999999999999</v>
      </c>
      <c r="E39">
        <f ca="1">SUMPRODUCT(Table3[Week 2],Table2[Week 2])</f>
        <v>0.74099999999999999</v>
      </c>
      <c r="F39" t="e">
        <f ca="1">SUMPRODUCT(Table3[Week 3],Table2[Week 3])</f>
        <v>#N/A</v>
      </c>
      <c r="G39" t="e">
        <f ca="1">SUMPRODUCT(Table3[Week 3],Table2[Week 3])</f>
        <v>#N/A</v>
      </c>
      <c r="H39">
        <f>SUMPRODUCT(Table3[Week 4],Table2[Week 4])</f>
        <v>0.5</v>
      </c>
      <c r="I39">
        <f>SUMPRODUCT(Table3[Week 4],Table2[Week 4])</f>
        <v>0.5</v>
      </c>
      <c r="J39">
        <f>SUMPRODUCT(Table3[Week 5],Table2[Week 5])</f>
        <v>0.5</v>
      </c>
      <c r="K39">
        <f>SUMPRODUCT(Table3[Week 5],Table2[Week 5])</f>
        <v>0.5</v>
      </c>
      <c r="L39">
        <f>SUMPRODUCT(Table3[Week 6],Table2[Week 6])</f>
        <v>0.5</v>
      </c>
      <c r="M39">
        <f>SUMPRODUCT(Table3[Week 6],Table2[Week 6])</f>
        <v>0.5</v>
      </c>
      <c r="N39">
        <f>SUMPRODUCT(Table3[Week 7],Table2[Week 7])</f>
        <v>0.5</v>
      </c>
      <c r="O39">
        <f>SUMPRODUCT(Table3[Week 7],Table2[Week 7])</f>
        <v>0.5</v>
      </c>
      <c r="P39">
        <f>SUMPRODUCT(Table3[Week 8],Table2[Week 8])</f>
        <v>0.5</v>
      </c>
      <c r="Q39">
        <f>SUMPRODUCT(Table3[Week 8],Table2[Week 8])</f>
        <v>0.5</v>
      </c>
      <c r="R39">
        <f>SUMPRODUCT(Table3[Week 9],Table2[Week 9])</f>
        <v>0.5</v>
      </c>
      <c r="S39">
        <f>SUMPRODUCT(Table3[Week 9],Table2[Week 9])</f>
        <v>0.5</v>
      </c>
    </row>
    <row r="40" spans="2:19" x14ac:dyDescent="0.25">
      <c r="B40" t="s">
        <v>103</v>
      </c>
      <c r="C40">
        <f ca="1">C39</f>
        <v>0.69699999999999995</v>
      </c>
      <c r="D40">
        <f ca="1">C40*D39</f>
        <v>0.51647699999999996</v>
      </c>
      <c r="E40">
        <f t="shared" ref="E40:S40" ca="1" si="0">D40*E39</f>
        <v>0.38270945699999998</v>
      </c>
      <c r="F40" t="e">
        <f t="shared" ca="1" si="0"/>
        <v>#N/A</v>
      </c>
      <c r="G40" t="e">
        <f t="shared" ca="1" si="0"/>
        <v>#N/A</v>
      </c>
      <c r="H40" t="e">
        <f t="shared" ca="1" si="0"/>
        <v>#N/A</v>
      </c>
      <c r="I40" t="e">
        <f t="shared" ca="1" si="0"/>
        <v>#N/A</v>
      </c>
      <c r="J40" t="e">
        <f t="shared" ca="1" si="0"/>
        <v>#N/A</v>
      </c>
      <c r="K40" t="e">
        <f t="shared" ca="1" si="0"/>
        <v>#N/A</v>
      </c>
      <c r="L40" t="e">
        <f t="shared" ca="1" si="0"/>
        <v>#N/A</v>
      </c>
      <c r="M40" t="e">
        <f t="shared" ca="1" si="0"/>
        <v>#N/A</v>
      </c>
      <c r="N40" t="e">
        <f t="shared" ca="1" si="0"/>
        <v>#N/A</v>
      </c>
      <c r="O40" t="e">
        <f t="shared" ca="1" si="0"/>
        <v>#N/A</v>
      </c>
      <c r="P40" t="e">
        <f t="shared" ca="1" si="0"/>
        <v>#N/A</v>
      </c>
      <c r="Q40" t="e">
        <f t="shared" ca="1" si="0"/>
        <v>#N/A</v>
      </c>
      <c r="R40" t="e">
        <f t="shared" ca="1" si="0"/>
        <v>#N/A</v>
      </c>
      <c r="S40" t="e">
        <f t="shared" ca="1" si="0"/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C60"/>
  <sheetViews>
    <sheetView workbookViewId="0">
      <selection activeCell="F10" sqref="F10"/>
    </sheetView>
  </sheetViews>
  <sheetFormatPr defaultRowHeight="15" x14ac:dyDescent="0.25"/>
  <sheetData>
    <row r="1" spans="2:3" x14ac:dyDescent="0.25">
      <c r="B1" t="s">
        <v>50</v>
      </c>
      <c r="C1" t="s">
        <v>51</v>
      </c>
    </row>
    <row r="2" spans="2:3" x14ac:dyDescent="0.25">
      <c r="B2">
        <v>-14.5</v>
      </c>
      <c r="C2" s="2">
        <v>0.88900000000000001</v>
      </c>
    </row>
    <row r="3" spans="2:3" x14ac:dyDescent="0.25">
      <c r="B3">
        <v>-14</v>
      </c>
      <c r="C3" s="2">
        <v>0.91700000000000004</v>
      </c>
    </row>
    <row r="4" spans="2:3" x14ac:dyDescent="0.25">
      <c r="B4">
        <v>-13.5</v>
      </c>
      <c r="C4" s="2">
        <v>0.82699999999999996</v>
      </c>
    </row>
    <row r="5" spans="2:3" x14ac:dyDescent="0.25">
      <c r="B5">
        <v>-13</v>
      </c>
      <c r="C5" s="2">
        <v>0.83799999999999997</v>
      </c>
    </row>
    <row r="6" spans="2:3" x14ac:dyDescent="0.25">
      <c r="B6">
        <v>-12.5</v>
      </c>
      <c r="C6" s="2">
        <v>0.73899999999999999</v>
      </c>
    </row>
    <row r="7" spans="2:3" x14ac:dyDescent="0.25">
      <c r="B7">
        <v>-12</v>
      </c>
      <c r="C7" s="2">
        <v>0.76900000000000002</v>
      </c>
    </row>
    <row r="8" spans="2:3" x14ac:dyDescent="0.25">
      <c r="B8">
        <v>-11.5</v>
      </c>
      <c r="C8" s="2">
        <v>0.82599999999999996</v>
      </c>
    </row>
    <row r="9" spans="2:3" x14ac:dyDescent="0.25">
      <c r="B9">
        <v>-11</v>
      </c>
      <c r="C9" s="2">
        <v>0.95199999999999996</v>
      </c>
    </row>
    <row r="10" spans="2:3" x14ac:dyDescent="0.25">
      <c r="B10">
        <v>-10.5</v>
      </c>
      <c r="C10" s="2">
        <v>0.80900000000000005</v>
      </c>
    </row>
    <row r="11" spans="2:3" x14ac:dyDescent="0.25">
      <c r="B11">
        <v>-10</v>
      </c>
      <c r="C11" s="2">
        <v>0.82099999999999995</v>
      </c>
    </row>
    <row r="12" spans="2:3" x14ac:dyDescent="0.25">
      <c r="B12">
        <v>-9.5</v>
      </c>
      <c r="C12" s="2">
        <v>0.82</v>
      </c>
    </row>
    <row r="13" spans="2:3" x14ac:dyDescent="0.25">
      <c r="B13">
        <v>-9</v>
      </c>
      <c r="C13" s="2">
        <v>0.75600000000000001</v>
      </c>
    </row>
    <row r="14" spans="2:3" x14ac:dyDescent="0.25">
      <c r="B14">
        <v>-8.5</v>
      </c>
      <c r="C14" s="2">
        <v>0.83299999999999996</v>
      </c>
    </row>
    <row r="15" spans="2:3" x14ac:dyDescent="0.25">
      <c r="B15">
        <v>-8</v>
      </c>
      <c r="C15" s="2">
        <v>0.70399999999999996</v>
      </c>
    </row>
    <row r="16" spans="2:3" x14ac:dyDescent="0.25">
      <c r="B16">
        <v>-7.5</v>
      </c>
      <c r="C16" s="2">
        <v>0.74099999999999999</v>
      </c>
    </row>
    <row r="17" spans="2:3" x14ac:dyDescent="0.25">
      <c r="B17">
        <v>-7</v>
      </c>
      <c r="C17" s="2">
        <v>0.73099999999999998</v>
      </c>
    </row>
    <row r="18" spans="2:3" x14ac:dyDescent="0.25">
      <c r="B18">
        <v>-6.5</v>
      </c>
      <c r="C18" s="2">
        <v>0.66900000000000004</v>
      </c>
    </row>
    <row r="19" spans="2:3" x14ac:dyDescent="0.25">
      <c r="B19">
        <v>-6</v>
      </c>
      <c r="C19" s="2">
        <v>0.73399999999999999</v>
      </c>
    </row>
    <row r="20" spans="2:3" x14ac:dyDescent="0.25">
      <c r="B20">
        <v>-5.5</v>
      </c>
      <c r="C20" s="2">
        <v>0.69699999999999995</v>
      </c>
    </row>
    <row r="21" spans="2:3" x14ac:dyDescent="0.25">
      <c r="B21">
        <v>-5</v>
      </c>
      <c r="C21" s="2">
        <v>0.7</v>
      </c>
    </row>
    <row r="22" spans="2:3" x14ac:dyDescent="0.25">
      <c r="B22">
        <v>-4.5</v>
      </c>
      <c r="C22" s="2">
        <v>0.68400000000000005</v>
      </c>
    </row>
    <row r="23" spans="2:3" x14ac:dyDescent="0.25">
      <c r="B23">
        <v>-4</v>
      </c>
      <c r="C23" s="2">
        <v>0.67400000000000004</v>
      </c>
    </row>
    <row r="24" spans="2:3" x14ac:dyDescent="0.25">
      <c r="B24">
        <v>-3.5</v>
      </c>
      <c r="C24" s="2">
        <v>0.66200000000000003</v>
      </c>
    </row>
    <row r="25" spans="2:3" x14ac:dyDescent="0.25">
      <c r="B25">
        <v>-3</v>
      </c>
      <c r="C25" s="2">
        <v>0.54</v>
      </c>
    </row>
    <row r="26" spans="2:3" x14ac:dyDescent="0.25">
      <c r="B26">
        <v>-2.5</v>
      </c>
      <c r="C26" s="2">
        <v>0.51400000000000001</v>
      </c>
    </row>
    <row r="27" spans="2:3" x14ac:dyDescent="0.25">
      <c r="B27">
        <v>-2</v>
      </c>
      <c r="C27" s="2">
        <v>0.55000000000000004</v>
      </c>
    </row>
    <row r="28" spans="2:3" x14ac:dyDescent="0.25">
      <c r="B28">
        <v>-1.5</v>
      </c>
      <c r="C28" s="2">
        <v>0.55200000000000005</v>
      </c>
    </row>
    <row r="29" spans="2:3" x14ac:dyDescent="0.25">
      <c r="B29">
        <v>-1</v>
      </c>
      <c r="C29" s="2">
        <v>0.57099999999999995</v>
      </c>
    </row>
    <row r="30" spans="2:3" x14ac:dyDescent="0.25">
      <c r="B30">
        <v>-0.5</v>
      </c>
      <c r="C30" s="2">
        <v>0.53500000000000003</v>
      </c>
    </row>
    <row r="31" spans="2:3" x14ac:dyDescent="0.25">
      <c r="B31">
        <v>0</v>
      </c>
      <c r="C31" s="2">
        <v>0.5</v>
      </c>
    </row>
    <row r="32" spans="2:3" x14ac:dyDescent="0.25">
      <c r="B32">
        <v>0.5</v>
      </c>
      <c r="C32" s="2">
        <v>0.46</v>
      </c>
    </row>
    <row r="33" spans="2:3" x14ac:dyDescent="0.25">
      <c r="B33">
        <v>1</v>
      </c>
      <c r="C33" s="2">
        <v>0.42899999999999999</v>
      </c>
    </row>
    <row r="34" spans="2:3" x14ac:dyDescent="0.25">
      <c r="B34">
        <v>1.5</v>
      </c>
      <c r="C34" s="2">
        <v>0.44800000000000001</v>
      </c>
    </row>
    <row r="35" spans="2:3" x14ac:dyDescent="0.25">
      <c r="B35">
        <v>2</v>
      </c>
      <c r="C35" s="2">
        <v>0.45</v>
      </c>
    </row>
    <row r="36" spans="2:3" x14ac:dyDescent="0.25">
      <c r="B36">
        <v>2.5</v>
      </c>
      <c r="C36" s="2">
        <v>0.48599999999999999</v>
      </c>
    </row>
    <row r="37" spans="2:3" x14ac:dyDescent="0.25">
      <c r="B37">
        <v>3</v>
      </c>
      <c r="C37" s="2">
        <v>0.46</v>
      </c>
    </row>
    <row r="38" spans="2:3" x14ac:dyDescent="0.25">
      <c r="B38">
        <v>3.5</v>
      </c>
      <c r="C38" s="2">
        <v>0.33800000000000002</v>
      </c>
    </row>
    <row r="39" spans="2:3" x14ac:dyDescent="0.25">
      <c r="B39">
        <v>4</v>
      </c>
      <c r="C39" s="2">
        <v>0.32600000000000001</v>
      </c>
    </row>
    <row r="40" spans="2:3" x14ac:dyDescent="0.25">
      <c r="B40">
        <v>4.5</v>
      </c>
      <c r="C40" s="2">
        <v>0.316</v>
      </c>
    </row>
    <row r="41" spans="2:3" x14ac:dyDescent="0.25">
      <c r="B41">
        <v>5</v>
      </c>
      <c r="C41" s="2">
        <v>0.3</v>
      </c>
    </row>
    <row r="42" spans="2:3" x14ac:dyDescent="0.25">
      <c r="B42">
        <v>5.5</v>
      </c>
      <c r="C42" s="2">
        <v>0.30299999999999999</v>
      </c>
    </row>
    <row r="43" spans="2:3" x14ac:dyDescent="0.25">
      <c r="B43">
        <v>6</v>
      </c>
      <c r="C43" s="2">
        <v>0.26600000000000001</v>
      </c>
    </row>
    <row r="44" spans="2:3" x14ac:dyDescent="0.25">
      <c r="B44">
        <v>6.5</v>
      </c>
      <c r="C44" s="2">
        <v>0.33100000000000002</v>
      </c>
    </row>
    <row r="45" spans="2:3" x14ac:dyDescent="0.25">
      <c r="B45">
        <v>7</v>
      </c>
      <c r="C45" s="2">
        <v>0.26900000000000002</v>
      </c>
    </row>
    <row r="46" spans="2:3" x14ac:dyDescent="0.25">
      <c r="B46">
        <v>7.5</v>
      </c>
      <c r="C46" s="2">
        <v>0.25900000000000001</v>
      </c>
    </row>
    <row r="47" spans="2:3" x14ac:dyDescent="0.25">
      <c r="B47">
        <v>8</v>
      </c>
      <c r="C47" s="2">
        <v>0.29599999999999999</v>
      </c>
    </row>
    <row r="48" spans="2:3" x14ac:dyDescent="0.25">
      <c r="B48">
        <v>8.5</v>
      </c>
      <c r="C48" s="2">
        <v>0.16700000000000001</v>
      </c>
    </row>
    <row r="49" spans="2:3" x14ac:dyDescent="0.25">
      <c r="B49">
        <v>9</v>
      </c>
      <c r="C49" s="2">
        <v>0.24399999999999999</v>
      </c>
    </row>
    <row r="50" spans="2:3" x14ac:dyDescent="0.25">
      <c r="B50">
        <v>9.5</v>
      </c>
      <c r="C50" s="2">
        <v>0.18</v>
      </c>
    </row>
    <row r="51" spans="2:3" x14ac:dyDescent="0.25">
      <c r="B51">
        <v>10</v>
      </c>
      <c r="C51" s="2">
        <v>0.17899999999999999</v>
      </c>
    </row>
    <row r="52" spans="2:3" x14ac:dyDescent="0.25">
      <c r="B52">
        <v>10.5</v>
      </c>
      <c r="C52" s="2">
        <v>0.191</v>
      </c>
    </row>
    <row r="53" spans="2:3" x14ac:dyDescent="0.25">
      <c r="B53">
        <v>11</v>
      </c>
      <c r="C53" s="2">
        <v>4.8000000000000001E-2</v>
      </c>
    </row>
    <row r="54" spans="2:3" x14ac:dyDescent="0.25">
      <c r="B54">
        <v>11.5</v>
      </c>
      <c r="C54" s="2">
        <v>0.17399999999999999</v>
      </c>
    </row>
    <row r="55" spans="2:3" x14ac:dyDescent="0.25">
      <c r="B55">
        <v>12</v>
      </c>
      <c r="C55" s="2">
        <v>0.23100000000000001</v>
      </c>
    </row>
    <row r="56" spans="2:3" x14ac:dyDescent="0.25">
      <c r="B56">
        <v>12.5</v>
      </c>
      <c r="C56" s="2">
        <v>0.26100000000000001</v>
      </c>
    </row>
    <row r="57" spans="2:3" x14ac:dyDescent="0.25">
      <c r="B57">
        <v>13</v>
      </c>
      <c r="C57" s="2">
        <v>0.16200000000000001</v>
      </c>
    </row>
    <row r="58" spans="2:3" x14ac:dyDescent="0.25">
      <c r="B58">
        <v>13.5</v>
      </c>
      <c r="C58" s="2">
        <v>0.17299999999999999</v>
      </c>
    </row>
    <row r="59" spans="2:3" x14ac:dyDescent="0.25">
      <c r="B59">
        <v>14</v>
      </c>
      <c r="C59" s="2">
        <v>8.3000000000000004E-2</v>
      </c>
    </row>
    <row r="60" spans="2:3" x14ac:dyDescent="0.25">
      <c r="B60">
        <v>14.5</v>
      </c>
      <c r="C60" s="2">
        <v>0.111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E17"/>
  <sheetViews>
    <sheetView workbookViewId="0">
      <selection activeCell="G17" sqref="G17"/>
    </sheetView>
  </sheetViews>
  <sheetFormatPr defaultRowHeight="15" x14ac:dyDescent="0.25"/>
  <sheetData>
    <row r="2" spans="2:5" x14ac:dyDescent="0.25">
      <c r="B2" s="6" t="s">
        <v>52</v>
      </c>
      <c r="C2" t="s">
        <v>53</v>
      </c>
      <c r="D2" t="s">
        <v>54</v>
      </c>
      <c r="E2" t="s">
        <v>55</v>
      </c>
    </row>
    <row r="3" spans="2:5" x14ac:dyDescent="0.25">
      <c r="B3" s="6" t="s">
        <v>56</v>
      </c>
      <c r="C3" t="s">
        <v>53</v>
      </c>
      <c r="D3" t="s">
        <v>57</v>
      </c>
      <c r="E3" t="s">
        <v>58</v>
      </c>
    </row>
    <row r="4" spans="2:5" x14ac:dyDescent="0.25">
      <c r="B4" s="6" t="s">
        <v>59</v>
      </c>
      <c r="C4" t="s">
        <v>53</v>
      </c>
      <c r="D4" t="s">
        <v>60</v>
      </c>
      <c r="E4" t="s">
        <v>61</v>
      </c>
    </row>
    <row r="5" spans="2:5" x14ac:dyDescent="0.25">
      <c r="B5" s="6" t="s">
        <v>62</v>
      </c>
      <c r="C5" t="s">
        <v>53</v>
      </c>
      <c r="D5" t="s">
        <v>63</v>
      </c>
      <c r="E5" t="s">
        <v>64</v>
      </c>
    </row>
    <row r="6" spans="2:5" x14ac:dyDescent="0.25">
      <c r="B6" s="6" t="s">
        <v>65</v>
      </c>
      <c r="C6" t="s">
        <v>53</v>
      </c>
      <c r="D6" t="s">
        <v>66</v>
      </c>
      <c r="E6" t="s">
        <v>67</v>
      </c>
    </row>
    <row r="7" spans="2:5" x14ac:dyDescent="0.25">
      <c r="B7" s="6" t="s">
        <v>68</v>
      </c>
      <c r="C7" t="s">
        <v>53</v>
      </c>
      <c r="D7" t="s">
        <v>69</v>
      </c>
      <c r="E7" t="s">
        <v>55</v>
      </c>
    </row>
    <row r="8" spans="2:5" x14ac:dyDescent="0.25">
      <c r="B8" s="6" t="s">
        <v>70</v>
      </c>
      <c r="C8" t="s">
        <v>53</v>
      </c>
      <c r="D8" t="s">
        <v>71</v>
      </c>
      <c r="E8" t="s">
        <v>72</v>
      </c>
    </row>
    <row r="9" spans="2:5" x14ac:dyDescent="0.25">
      <c r="B9" s="6" t="s">
        <v>73</v>
      </c>
      <c r="C9" t="s">
        <v>53</v>
      </c>
      <c r="D9" t="s">
        <v>74</v>
      </c>
      <c r="E9" t="s">
        <v>75</v>
      </c>
    </row>
    <row r="10" spans="2:5" x14ac:dyDescent="0.25">
      <c r="B10" s="6" t="s">
        <v>76</v>
      </c>
      <c r="C10" t="s">
        <v>53</v>
      </c>
      <c r="D10" t="s">
        <v>77</v>
      </c>
      <c r="E10" t="s">
        <v>58</v>
      </c>
    </row>
    <row r="11" spans="2:5" x14ac:dyDescent="0.25">
      <c r="B11" s="6" t="s">
        <v>78</v>
      </c>
      <c r="C11" t="s">
        <v>53</v>
      </c>
      <c r="D11" t="s">
        <v>79</v>
      </c>
      <c r="E11" t="s">
        <v>80</v>
      </c>
    </row>
    <row r="12" spans="2:5" x14ac:dyDescent="0.25">
      <c r="B12" s="6" t="s">
        <v>81</v>
      </c>
      <c r="C12" t="s">
        <v>53</v>
      </c>
      <c r="D12" t="s">
        <v>82</v>
      </c>
      <c r="E12" t="s">
        <v>83</v>
      </c>
    </row>
    <row r="13" spans="2:5" x14ac:dyDescent="0.25">
      <c r="B13" s="6" t="s">
        <v>84</v>
      </c>
      <c r="C13" t="s">
        <v>53</v>
      </c>
      <c r="D13" t="s">
        <v>85</v>
      </c>
      <c r="E13" t="s">
        <v>86</v>
      </c>
    </row>
    <row r="14" spans="2:5" x14ac:dyDescent="0.25">
      <c r="B14" s="6" t="s">
        <v>87</v>
      </c>
      <c r="C14" t="s">
        <v>53</v>
      </c>
      <c r="D14" t="s">
        <v>88</v>
      </c>
      <c r="E14" t="s">
        <v>55</v>
      </c>
    </row>
    <row r="15" spans="2:5" x14ac:dyDescent="0.25">
      <c r="B15" s="6" t="s">
        <v>89</v>
      </c>
      <c r="C15" t="s">
        <v>53</v>
      </c>
      <c r="D15" t="s">
        <v>90</v>
      </c>
      <c r="E15" t="s">
        <v>91</v>
      </c>
    </row>
    <row r="16" spans="2:5" x14ac:dyDescent="0.25">
      <c r="B16" s="6" t="s">
        <v>92</v>
      </c>
      <c r="C16" t="s">
        <v>53</v>
      </c>
      <c r="D16" t="s">
        <v>93</v>
      </c>
      <c r="E16" t="s">
        <v>94</v>
      </c>
    </row>
    <row r="17" spans="2:5" x14ac:dyDescent="0.25">
      <c r="B17" s="6" t="s">
        <v>95</v>
      </c>
      <c r="C17" t="s">
        <v>53</v>
      </c>
      <c r="D17" t="s">
        <v>96</v>
      </c>
      <c r="E17" t="s">
        <v>97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AMPLNEOS</LanguageName>
      <ModelPaneVisible>true</ModelPaneVisible>
      <ModelSettings>
        <item>
          <key>
            <string xmlns="">FixMinorErrors</string>
          </key>
          <value>
            <anyType xmlns="" xsi:type="xsd:boolean">true</anyType>
          </value>
        </item>
        <item>
          <key>
            <string xmlns="">AMPLNeosSolver</string>
          </key>
          <value>
            <anyType xmlns="" xsi:type="xsd:string">MINLP</anyType>
          </value>
        </item>
        <item>
          <key>
            <string xmlns="">AMPLNeosCategory</string>
          </key>
          <value>
            <anyType xmlns="" xsi:type="xsd:string">minco</anyType>
          </value>
        </item>
      </ModelSettings>
      <FileText>/* this is a survivor pool optimization tool */
set Teams;
set Weeks;
#var winProb {w in Weeks, t in Teams};
var pick {w in Weeks, t in Teams}, binary;
var weeklyWinProb {w in Weeks};
var totalWinProb;
param winProb {w in Weeks, t in Teams};
/* Future Stuff
param dontPickTeams,dimen 1;
param manualPick, dimen 2;
param notThisScenario, dimen 3;#array of solutions from weeks remaining that the solution cannot match (for giving top 10)
*/
#maximize survivalProb: totalWinProb;
maximize survivalProb : prod{w in Weeks}weeklyWinProb[w];
#Constraint 0: define objective
#subject to calctotalWinProb: prod{w in Weeks, t in Teams}winProb[w,t]*pick[w,t]=totalWinProb;
#Constraint 1: exactly one pick per week from all teams
subject to onePick {w in Weeks}: sum{t in Teams} pick[w,t] = 1;
#Constraint 2: no more than one pick  per season per team
subject to oneTeam{t in Teams}: sum{w in Weeks} pick[w,t] &lt;= 1;
subject to weeklyProb {w in Weeks}: sum{t in Teams} winProb[w,t]*pick[w,t] = weeklyWinProb[w];
#Constraint 3: Never pick this team
#Constraint 4: Not this team, this week
#Constraint 5: manual pick by week
#Constraint 6: this solution can't match the ones in notThisScenario
#===========================================
# All lines below are optional if FixMinorErrors is selected
#===========================================
# Get data from the sheet
#data SheetData.dat;
# Solve the problem
#option solver cplexamp;  # Use this for a full AMPL installation
#option solver cbc; # Use this for the student version of AMPL
#option solver cbc;
solve;
# Write the solution to the sheet (using 1-column style)
#option display_1col 9999999;
display pick &gt; Sheet;
#display flow.rc &gt; Sheet; # reduced costs
#display Total_Cost &gt; Sheet;
end;
</FileText>
      <ParentWorksheetName>Run Page</ParentWorksheetName>
    </StoredFile>
    <StoredFile>
      <FileName>Untitled</FileName>
      <LanguageName>PuLP</LanguageName>
      <ModelPaneVisible>false</ModelPaneVisible>
      <ModelSettings/>
      <FileText/>
      <ParentWorksheetName>Probs</ParentWorksheetName>
    </StoredFile>
    <StoredFile>
      <FileName>Untitled</FileName>
      <LanguageName>PuLP</LanguageName>
      <ModelPaneVisible>false</ModelPaneVisible>
      <ModelSettings/>
      <FileText/>
      <ParentWorksheetName>Picks</ParentWorksheetName>
    </StoredFile>
    <StoredFile>
      <FileName>Untitled</FileName>
      <LanguageName>PuLP</LanguageName>
      <ModelPaneVisible>false</ModelPaneVisible>
      <ModelSettings/>
      <FileText/>
      <ParentWorksheetName>Spreads</ParentWorksheetName>
    </StoredFile>
    <StoredFile>
      <FileName>Untitled</FileName>
      <LanguageName>PuLP</LanguageName>
      <ModelPaneVisible>false</ModelPaneVisible>
      <ModelSettings/>
      <FileText/>
      <ParentWorksheetName>Prob Table</ParentWorksheetName>
    </StoredFile>
    <StoredFile>
      <FileName>Untitled</FileName>
      <LanguageName>PuLP</LanguageName>
      <ModelPaneVisible>false</ModelPaneVisible>
      <ModelSettings/>
      <FileText/>
      <ParentWorksheetName>Raw Input</ParentWorksheetName>
    </StoredFile>
  </StoredFiles>
</StoredFilesList>
</file>

<file path=customXml/itemProps1.xml><?xml version="1.0" encoding="utf-8"?>
<ds:datastoreItem xmlns:ds="http://schemas.openxmlformats.org/officeDocument/2006/customXml" ds:itemID="{9BA0A3B2-D04C-4CCC-A9B4-4BA3922D6DD6}">
  <ds:schemaRefs>
    <ds:schemaRef ds:uri="http://www.w3.org/2001/XMLSchema"/>
    <ds:schemaRef ds:uri="http://opensolver.org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Run Page</vt:lpstr>
      <vt:lpstr>Spreads</vt:lpstr>
      <vt:lpstr>Probs</vt:lpstr>
      <vt:lpstr>Picks</vt:lpstr>
      <vt:lpstr>Prob Table</vt:lpstr>
      <vt:lpstr>Raw Input</vt:lpstr>
      <vt:lpstr>'Run Page'!pick</vt:lpstr>
      <vt:lpstr>pickTable</vt:lpstr>
      <vt:lpstr>probTable</vt:lpstr>
      <vt:lpstr>spreadTable</vt:lpstr>
      <vt:lpstr>survivalChances</vt:lpstr>
      <vt:lpstr>table</vt:lpstr>
      <vt:lpstr>'Run Page'!Teams</vt:lpstr>
      <vt:lpstr>'Run Page'!Weeks</vt:lpstr>
      <vt:lpstr>'Run Page'!winProb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2015-04-30T12:23:22Z</dcterms:created>
  <dcterms:modified xsi:type="dcterms:W3CDTF">2015-09-01T02:05:50Z</dcterms:modified>
</cp:coreProperties>
</file>