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dschrad\Desktop\"/>
    </mc:Choice>
  </mc:AlternateContent>
  <bookViews>
    <workbookView minimized="1" xWindow="0" yWindow="0" windowWidth="19200" windowHeight="7755" firstSheet="1" activeTab="1"/>
  </bookViews>
  <sheets>
    <sheet name="SimpleCalc" sheetId="1" r:id="rId1"/>
    <sheet name="TableCalc" sheetId="2" r:id="rId2"/>
    <sheet name="Sheet1" sheetId="3" r:id="rId3"/>
  </sheets>
  <definedNames>
    <definedName name="_xlnm._FilterDatabase" localSheetId="1" hidden="1">TableCalc!$P$4:$AJ$17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2" i="2" l="1"/>
  <c r="Y12" i="2"/>
  <c r="AG12" i="2" s="1"/>
  <c r="T12" i="2"/>
  <c r="AH12" i="2" s="1"/>
  <c r="X12" i="2"/>
  <c r="Z12" i="2"/>
  <c r="AB12" i="2" s="1"/>
  <c r="AA12" i="2"/>
  <c r="AE12" i="2" s="1"/>
  <c r="AC12" i="2" l="1"/>
  <c r="AD12" i="2" s="1"/>
  <c r="AF12" i="2"/>
  <c r="AI12" i="2"/>
  <c r="AJ12" i="2" s="1"/>
  <c r="Z17" i="2"/>
  <c r="Z9" i="2"/>
  <c r="Z10" i="2"/>
  <c r="Z13" i="2"/>
  <c r="Z8" i="2"/>
  <c r="Z6" i="2"/>
  <c r="Z18" i="2"/>
  <c r="Z14" i="2"/>
  <c r="Z5" i="2"/>
  <c r="Z7" i="2"/>
  <c r="Z15" i="2"/>
  <c r="Z16" i="2"/>
  <c r="Z11" i="2"/>
  <c r="AA17" i="2"/>
  <c r="AE17" i="2" s="1"/>
  <c r="AA9" i="2"/>
  <c r="AE9" i="2" s="1"/>
  <c r="AA10" i="2"/>
  <c r="AE10" i="2" s="1"/>
  <c r="AA13" i="2"/>
  <c r="AE13" i="2" s="1"/>
  <c r="AA8" i="2"/>
  <c r="AE8" i="2" s="1"/>
  <c r="AA6" i="2"/>
  <c r="AE6" i="2" s="1"/>
  <c r="AA18" i="2"/>
  <c r="AE18" i="2" s="1"/>
  <c r="AA14" i="2"/>
  <c r="AE14" i="2" s="1"/>
  <c r="AA5" i="2"/>
  <c r="AE5" i="2" s="1"/>
  <c r="AA7" i="2"/>
  <c r="AE7" i="2" s="1"/>
  <c r="AA15" i="2"/>
  <c r="AE15" i="2" s="1"/>
  <c r="AA16" i="2"/>
  <c r="AE16" i="2" s="1"/>
  <c r="AA11" i="2"/>
  <c r="AE11" i="2" s="1"/>
  <c r="T16" i="2" l="1"/>
  <c r="AH16" i="2" s="1"/>
  <c r="W16" i="2"/>
  <c r="X16" i="2"/>
  <c r="AB16" i="2" s="1"/>
  <c r="Y16" i="2"/>
  <c r="AC16" i="2" s="1"/>
  <c r="T8" i="2"/>
  <c r="AH8" i="2" s="1"/>
  <c r="W8" i="2"/>
  <c r="X8" i="2"/>
  <c r="AB8" i="2" s="1"/>
  <c r="Y8" i="2"/>
  <c r="AC8" i="2" s="1"/>
  <c r="T6" i="2"/>
  <c r="AH6" i="2" s="1"/>
  <c r="W6" i="2"/>
  <c r="X6" i="2"/>
  <c r="AB6" i="2" s="1"/>
  <c r="Y6" i="2"/>
  <c r="AC6" i="2" s="1"/>
  <c r="T18" i="2"/>
  <c r="AH18" i="2" s="1"/>
  <c r="W18" i="2"/>
  <c r="X18" i="2"/>
  <c r="AB18" i="2" s="1"/>
  <c r="Y18" i="2"/>
  <c r="AC18" i="2" s="1"/>
  <c r="T14" i="2"/>
  <c r="AH14" i="2" s="1"/>
  <c r="W14" i="2"/>
  <c r="X14" i="2"/>
  <c r="AB14" i="2" s="1"/>
  <c r="Y14" i="2"/>
  <c r="AC14" i="2" s="1"/>
  <c r="T5" i="2"/>
  <c r="AH5" i="2" s="1"/>
  <c r="AK14" i="2" s="1"/>
  <c r="W5" i="2"/>
  <c r="X5" i="2"/>
  <c r="AB5" i="2" s="1"/>
  <c r="Y5" i="2"/>
  <c r="AC5" i="2" s="1"/>
  <c r="T7" i="2"/>
  <c r="AH7" i="2" s="1"/>
  <c r="W7" i="2"/>
  <c r="X7" i="2"/>
  <c r="AB7" i="2" s="1"/>
  <c r="Y7" i="2"/>
  <c r="AC7" i="2" s="1"/>
  <c r="T15" i="2"/>
  <c r="AH15" i="2" s="1"/>
  <c r="W15" i="2"/>
  <c r="X15" i="2"/>
  <c r="AB15" i="2" s="1"/>
  <c r="Y15" i="2"/>
  <c r="AC15" i="2" s="1"/>
  <c r="T9" i="2"/>
  <c r="AH9" i="2" s="1"/>
  <c r="W9" i="2"/>
  <c r="X9" i="2"/>
  <c r="AB9" i="2" s="1"/>
  <c r="Y9" i="2"/>
  <c r="AC9" i="2" s="1"/>
  <c r="T10" i="2"/>
  <c r="AH10" i="2" s="1"/>
  <c r="AK8" i="2" s="1"/>
  <c r="W10" i="2"/>
  <c r="X10" i="2"/>
  <c r="AB10" i="2" s="1"/>
  <c r="Y10" i="2"/>
  <c r="AC10" i="2" s="1"/>
  <c r="T13" i="2"/>
  <c r="AH13" i="2" s="1"/>
  <c r="AK9" i="2" s="1"/>
  <c r="W13" i="2"/>
  <c r="X13" i="2"/>
  <c r="AB13" i="2" s="1"/>
  <c r="Y13" i="2"/>
  <c r="AC13" i="2" s="1"/>
  <c r="T17" i="2"/>
  <c r="AH17" i="2" s="1"/>
  <c r="AK6" i="2" s="1"/>
  <c r="W17" i="2"/>
  <c r="X17" i="2"/>
  <c r="AB17" i="2" s="1"/>
  <c r="Y17" i="2"/>
  <c r="AC17" i="2" s="1"/>
  <c r="W11" i="2"/>
  <c r="T11" i="2"/>
  <c r="AH11" i="2" s="1"/>
  <c r="X11" i="2"/>
  <c r="AB11" i="2" s="1"/>
  <c r="Y11" i="2"/>
  <c r="AC11" i="2" s="1"/>
  <c r="F41" i="2"/>
  <c r="G41" i="2"/>
  <c r="J41" i="2"/>
  <c r="H41" i="2" s="1"/>
  <c r="F42" i="2"/>
  <c r="G42" i="2"/>
  <c r="J42" i="2"/>
  <c r="I42" i="2" s="1"/>
  <c r="F35" i="2"/>
  <c r="G35" i="2"/>
  <c r="H35" i="2"/>
  <c r="I35" i="2"/>
  <c r="J35" i="2"/>
  <c r="F36" i="2"/>
  <c r="G36" i="2"/>
  <c r="H36" i="2"/>
  <c r="H37" i="2" s="1"/>
  <c r="J36" i="2"/>
  <c r="I36" i="2" s="1"/>
  <c r="F37" i="2"/>
  <c r="F38" i="2"/>
  <c r="G38" i="2"/>
  <c r="J38" i="2"/>
  <c r="I38" i="2" s="1"/>
  <c r="F39" i="2"/>
  <c r="G39" i="2"/>
  <c r="J39" i="2"/>
  <c r="I39" i="2" s="1"/>
  <c r="F40" i="2"/>
  <c r="F32" i="2"/>
  <c r="F34" i="2" s="1"/>
  <c r="G32" i="2"/>
  <c r="J32" i="2"/>
  <c r="H32" i="2" s="1"/>
  <c r="F33" i="2"/>
  <c r="G33" i="2"/>
  <c r="J33" i="2"/>
  <c r="I33" i="2" s="1"/>
  <c r="F11" i="2"/>
  <c r="G11" i="2"/>
  <c r="H11" i="2"/>
  <c r="J11" i="2"/>
  <c r="I11" i="2" s="1"/>
  <c r="F12" i="2"/>
  <c r="G12" i="2"/>
  <c r="H12" i="2"/>
  <c r="H13" i="2" s="1"/>
  <c r="J12" i="2"/>
  <c r="I12" i="2" s="1"/>
  <c r="F13" i="2"/>
  <c r="F14" i="2"/>
  <c r="G14" i="2"/>
  <c r="J14" i="2"/>
  <c r="H14" i="2" s="1"/>
  <c r="F15" i="2"/>
  <c r="F16" i="2" s="1"/>
  <c r="G15" i="2"/>
  <c r="J15" i="2"/>
  <c r="I15" i="2" s="1"/>
  <c r="F17" i="2"/>
  <c r="G17" i="2"/>
  <c r="J17" i="2"/>
  <c r="I17" i="2" s="1"/>
  <c r="F18" i="2"/>
  <c r="G18" i="2"/>
  <c r="J18" i="2"/>
  <c r="I18" i="2" s="1"/>
  <c r="F19" i="2"/>
  <c r="F20" i="2"/>
  <c r="G20" i="2"/>
  <c r="J20" i="2"/>
  <c r="H20" i="2" s="1"/>
  <c r="F21" i="2"/>
  <c r="G21" i="2"/>
  <c r="J21" i="2"/>
  <c r="I21" i="2" s="1"/>
  <c r="F22" i="2"/>
  <c r="F23" i="2"/>
  <c r="G23" i="2"/>
  <c r="J23" i="2"/>
  <c r="H23" i="2" s="1"/>
  <c r="F24" i="2"/>
  <c r="G24" i="2"/>
  <c r="J24" i="2"/>
  <c r="I24" i="2" s="1"/>
  <c r="F25" i="2"/>
  <c r="F26" i="2"/>
  <c r="G26" i="2"/>
  <c r="J26" i="2"/>
  <c r="H26" i="2" s="1"/>
  <c r="F27" i="2"/>
  <c r="G27" i="2"/>
  <c r="J27" i="2"/>
  <c r="I27" i="2" s="1"/>
  <c r="F28" i="2"/>
  <c r="F29" i="2"/>
  <c r="G29" i="2"/>
  <c r="J29" i="2"/>
  <c r="H29" i="2" s="1"/>
  <c r="F30" i="2"/>
  <c r="G30" i="2"/>
  <c r="J30" i="2"/>
  <c r="I30" i="2" s="1"/>
  <c r="F8" i="2"/>
  <c r="F10" i="2" s="1"/>
  <c r="G8" i="2"/>
  <c r="J8" i="2"/>
  <c r="H8" i="2" s="1"/>
  <c r="F9" i="2"/>
  <c r="G9" i="2"/>
  <c r="J9" i="2"/>
  <c r="I9" i="2" s="1"/>
  <c r="G6" i="2"/>
  <c r="G5" i="2"/>
  <c r="F5" i="2"/>
  <c r="F6" i="2"/>
  <c r="M6" i="2"/>
  <c r="M5" i="2" s="1"/>
  <c r="L5" i="2"/>
  <c r="L6" i="2" s="1"/>
  <c r="J6" i="2"/>
  <c r="I6" i="2" s="1"/>
  <c r="J5" i="2"/>
  <c r="I5" i="2" s="1"/>
  <c r="J6" i="1"/>
  <c r="I6" i="1"/>
  <c r="K6" i="1" s="1"/>
  <c r="F6" i="1"/>
  <c r="J5" i="1"/>
  <c r="I5" i="1"/>
  <c r="K5" i="1" s="1"/>
  <c r="F5" i="1"/>
  <c r="F7" i="1" s="1"/>
  <c r="AK5" i="2" l="1"/>
  <c r="AK15" i="2"/>
  <c r="AK13" i="2"/>
  <c r="AK11" i="2"/>
  <c r="AK17" i="2"/>
  <c r="AD11" i="2"/>
  <c r="AD17" i="2"/>
  <c r="AD13" i="2"/>
  <c r="AD10" i="2"/>
  <c r="AD9" i="2"/>
  <c r="AD15" i="2"/>
  <c r="AD7" i="2"/>
  <c r="AD5" i="2"/>
  <c r="AD14" i="2"/>
  <c r="AD18" i="2"/>
  <c r="AD6" i="2"/>
  <c r="AD8" i="2"/>
  <c r="AD16" i="2"/>
  <c r="AI17" i="2"/>
  <c r="AJ17" i="2" s="1"/>
  <c r="AF17" i="2"/>
  <c r="AI13" i="2"/>
  <c r="AJ13" i="2" s="1"/>
  <c r="AF13" i="2"/>
  <c r="AI10" i="2"/>
  <c r="AJ10" i="2" s="1"/>
  <c r="AF10" i="2"/>
  <c r="AI9" i="2"/>
  <c r="AF9" i="2"/>
  <c r="AI15" i="2"/>
  <c r="AF15" i="2"/>
  <c r="AI7" i="2"/>
  <c r="AJ7" i="2" s="1"/>
  <c r="AF7" i="2"/>
  <c r="AI5" i="2"/>
  <c r="AJ5" i="2" s="1"/>
  <c r="AF5" i="2"/>
  <c r="AI14" i="2"/>
  <c r="AJ14" i="2" s="1"/>
  <c r="AF14" i="2"/>
  <c r="AI18" i="2"/>
  <c r="AF18" i="2"/>
  <c r="AI6" i="2"/>
  <c r="AJ6" i="2" s="1"/>
  <c r="AF6" i="2"/>
  <c r="AI8" i="2"/>
  <c r="AK10" i="2" s="1"/>
  <c r="AF8" i="2"/>
  <c r="AI16" i="2"/>
  <c r="AJ16" i="2" s="1"/>
  <c r="AF16" i="2"/>
  <c r="AI11" i="2"/>
  <c r="AJ11" i="2" s="1"/>
  <c r="AF11" i="2"/>
  <c r="AC3" i="2"/>
  <c r="AB3" i="2"/>
  <c r="H33" i="2"/>
  <c r="H34" i="2" s="1"/>
  <c r="I32" i="2"/>
  <c r="H30" i="2"/>
  <c r="H27" i="2"/>
  <c r="H24" i="2"/>
  <c r="H25" i="2" s="1"/>
  <c r="H21" i="2"/>
  <c r="H18" i="2"/>
  <c r="H17" i="2"/>
  <c r="I14" i="2"/>
  <c r="F31" i="2"/>
  <c r="H39" i="2"/>
  <c r="H38" i="2"/>
  <c r="AJ8" i="2"/>
  <c r="AG13" i="2"/>
  <c r="AG11" i="2"/>
  <c r="AG10" i="2"/>
  <c r="AG16" i="2"/>
  <c r="AG15" i="2"/>
  <c r="AG7" i="2"/>
  <c r="AG5" i="2"/>
  <c r="AG14" i="2"/>
  <c r="AG18" i="2"/>
  <c r="AG6" i="2"/>
  <c r="AG8" i="2"/>
  <c r="AG9" i="2"/>
  <c r="AG17" i="2"/>
  <c r="H42" i="2"/>
  <c r="H43" i="2" s="1"/>
  <c r="F43" i="2"/>
  <c r="I41" i="2"/>
  <c r="H40" i="2"/>
  <c r="H31" i="2"/>
  <c r="I29" i="2"/>
  <c r="H28" i="2"/>
  <c r="I26" i="2"/>
  <c r="I23" i="2"/>
  <c r="H22" i="2"/>
  <c r="I20" i="2"/>
  <c r="H15" i="2"/>
  <c r="H16" i="2" s="1"/>
  <c r="H9" i="2"/>
  <c r="H10" i="2" s="1"/>
  <c r="I8" i="2"/>
  <c r="N6" i="2"/>
  <c r="H5" i="2"/>
  <c r="H6" i="2"/>
  <c r="N5" i="2"/>
  <c r="M7" i="2"/>
  <c r="L7" i="2"/>
  <c r="F7" i="2"/>
  <c r="AJ18" i="2" l="1"/>
  <c r="AK12" i="2"/>
  <c r="AJ15" i="2"/>
  <c r="AK16" i="2"/>
  <c r="AJ9" i="2"/>
  <c r="AK7" i="2"/>
  <c r="AC2" i="2"/>
  <c r="AG3" i="2"/>
  <c r="H19" i="2"/>
  <c r="H7" i="2"/>
  <c r="AK18" i="2" l="1"/>
  <c r="AL18" i="2" s="1"/>
</calcChain>
</file>

<file path=xl/comments1.xml><?xml version="1.0" encoding="utf-8"?>
<comments xmlns="http://schemas.openxmlformats.org/spreadsheetml/2006/main">
  <authors>
    <author>The Haskell Company</author>
  </authors>
  <commentList>
    <comment ref="AB4" authorId="0" shapeId="0">
      <text>
        <r>
          <rPr>
            <b/>
            <sz val="9"/>
            <color indexed="81"/>
            <rFont val="Tahoma"/>
            <family val="2"/>
          </rPr>
          <t>The Haskell Company:</t>
        </r>
        <r>
          <rPr>
            <sz val="9"/>
            <color indexed="81"/>
            <rFont val="Tahoma"/>
            <family val="2"/>
          </rPr>
          <t xml:space="preserve">
if negative, spread implies higher win probability than money line</t>
        </r>
      </text>
    </comment>
  </commentList>
</comments>
</file>

<file path=xl/sharedStrings.xml><?xml version="1.0" encoding="utf-8"?>
<sst xmlns="http://schemas.openxmlformats.org/spreadsheetml/2006/main" count="299" uniqueCount="182">
  <si>
    <t>bet</t>
  </si>
  <si>
    <t>pays</t>
  </si>
  <si>
    <t>should pay</t>
  </si>
  <si>
    <t>dog</t>
  </si>
  <si>
    <t>+</t>
  </si>
  <si>
    <t>% chance they lose</t>
  </si>
  <si>
    <t>fav</t>
  </si>
  <si>
    <t>-</t>
  </si>
  <si>
    <t>%chance they lose</t>
  </si>
  <si>
    <t>casino margin</t>
  </si>
  <si>
    <t>Dog</t>
  </si>
  <si>
    <t>Fav</t>
  </si>
  <si>
    <t>Money Line</t>
  </si>
  <si>
    <t>Pays</t>
  </si>
  <si>
    <t>Casino Margin</t>
  </si>
  <si>
    <t>Implied Win Probability</t>
  </si>
  <si>
    <t>Wins</t>
  </si>
  <si>
    <t>implied win % based on</t>
  </si>
  <si>
    <t>implied win % V2</t>
  </si>
  <si>
    <t>implied win % V3</t>
  </si>
  <si>
    <t>NO</t>
  </si>
  <si>
    <t>CAR</t>
  </si>
  <si>
    <t>TB</t>
  </si>
  <si>
    <t>CLE</t>
  </si>
  <si>
    <t>ARI</t>
  </si>
  <si>
    <t>DAL</t>
  </si>
  <si>
    <t>PHI</t>
  </si>
  <si>
    <t>HOU</t>
  </si>
  <si>
    <t>NYJ</t>
  </si>
  <si>
    <t>KC</t>
  </si>
  <si>
    <t>JAX</t>
  </si>
  <si>
    <t>CIN</t>
  </si>
  <si>
    <t>SD</t>
  </si>
  <si>
    <t>MIA</t>
  </si>
  <si>
    <t>WSH</t>
  </si>
  <si>
    <t>MIN</t>
  </si>
  <si>
    <t>STL</t>
  </si>
  <si>
    <t>SF</t>
  </si>
  <si>
    <t>NE</t>
  </si>
  <si>
    <t>DEN</t>
  </si>
  <si>
    <t>OAK</t>
  </si>
  <si>
    <t>SEA</t>
  </si>
  <si>
    <t>PIT</t>
  </si>
  <si>
    <t>BAL</t>
  </si>
  <si>
    <t>NYG</t>
  </si>
  <si>
    <t>IND</t>
  </si>
  <si>
    <t>Implied Fav  Win % (V3)</t>
  </si>
  <si>
    <t>Implied Dog Win % (V3)</t>
  </si>
  <si>
    <t>Game</t>
  </si>
  <si>
    <t>Casino Win on FAV</t>
  </si>
  <si>
    <t>Casino Win on DOG</t>
  </si>
  <si>
    <t>FAV</t>
  </si>
  <si>
    <t>DOG</t>
  </si>
  <si>
    <t>Expected Casino Win</t>
  </si>
  <si>
    <t>Teams</t>
  </si>
  <si>
    <t>Closing Spread</t>
  </si>
  <si>
    <t>Game Count</t>
  </si>
  <si>
    <t>Win Record</t>
  </si>
  <si>
    <t>Win %</t>
  </si>
  <si>
    <t>Average MOV</t>
  </si>
  <si>
    <t>Cover Record</t>
  </si>
  <si>
    <t>Cover %</t>
  </si>
  <si>
    <t>1-0-0</t>
  </si>
  <si>
    <t>0-1-0</t>
  </si>
  <si>
    <t>2-0-0</t>
  </si>
  <si>
    <t>0-2-0</t>
  </si>
  <si>
    <t>5-0-0</t>
  </si>
  <si>
    <t>4-0-0</t>
  </si>
  <si>
    <t>14-0-0</t>
  </si>
  <si>
    <t>8-0-0</t>
  </si>
  <si>
    <t>33-3-0</t>
  </si>
  <si>
    <t>15-20-1</t>
  </si>
  <si>
    <t>21-4-1</t>
  </si>
  <si>
    <t>14-12-0</t>
  </si>
  <si>
    <t>31-6-0</t>
  </si>
  <si>
    <t>16-21-0</t>
  </si>
  <si>
    <t>17-6-0</t>
  </si>
  <si>
    <t>19-4-0</t>
  </si>
  <si>
    <t>13-10-0</t>
  </si>
  <si>
    <t>40-2-0</t>
  </si>
  <si>
    <t>15-27-0</t>
  </si>
  <si>
    <t>38-9-0</t>
  </si>
  <si>
    <t>23-24-0</t>
  </si>
  <si>
    <t>87-19-0</t>
  </si>
  <si>
    <t>54-47-5</t>
  </si>
  <si>
    <t>79-17-1</t>
  </si>
  <si>
    <t>48-49-0</t>
  </si>
  <si>
    <t>90-29-0</t>
  </si>
  <si>
    <t>60-59-0</t>
  </si>
  <si>
    <t>15-3-0</t>
  </si>
  <si>
    <t>19-8-0</t>
  </si>
  <si>
    <t>63-22-0</t>
  </si>
  <si>
    <t>40-45-0</t>
  </si>
  <si>
    <t>175-64-1</t>
  </si>
  <si>
    <t>111-119-10</t>
  </si>
  <si>
    <t>97-48-0</t>
  </si>
  <si>
    <t>67-78-0</t>
  </si>
  <si>
    <t>103-37-1</t>
  </si>
  <si>
    <t>72-64-5</t>
  </si>
  <si>
    <t>69-30-0</t>
  </si>
  <si>
    <t>56-43-0</t>
  </si>
  <si>
    <t>42-18-0</t>
  </si>
  <si>
    <t>29-29-2</t>
  </si>
  <si>
    <t>91-42-0</t>
  </si>
  <si>
    <t>73-60-0</t>
  </si>
  <si>
    <t>97-47-0</t>
  </si>
  <si>
    <t>76-63-5</t>
  </si>
  <si>
    <t>178-91-0</t>
  </si>
  <si>
    <t>147-122-0</t>
  </si>
  <si>
    <t>289-246-0</t>
  </si>
  <si>
    <t>218-273-44</t>
  </si>
  <si>
    <t>71-67-0</t>
  </si>
  <si>
    <t>62-76-0</t>
  </si>
  <si>
    <t>22-18-0</t>
  </si>
  <si>
    <t>19-18-3</t>
  </si>
  <si>
    <t>32-26-0</t>
  </si>
  <si>
    <t>31-27-0</t>
  </si>
  <si>
    <t>169-127-0</t>
  </si>
  <si>
    <t>161-127-8</t>
  </si>
  <si>
    <t>127-169-0</t>
  </si>
  <si>
    <t>127-161-8</t>
  </si>
  <si>
    <t>26-32-0</t>
  </si>
  <si>
    <t>27-31-0</t>
  </si>
  <si>
    <t>18-22-0</t>
  </si>
  <si>
    <t>18-19-3</t>
  </si>
  <si>
    <t>67-71-0</t>
  </si>
  <si>
    <t>76-62-0</t>
  </si>
  <si>
    <t>246-289-0</t>
  </si>
  <si>
    <t>273-218-44</t>
  </si>
  <si>
    <t>91-178-0</t>
  </si>
  <si>
    <t>122-147-0</t>
  </si>
  <si>
    <t>47-97-0</t>
  </si>
  <si>
    <t>63-76-5</t>
  </si>
  <si>
    <t>42-91-0</t>
  </si>
  <si>
    <t>60-73-0</t>
  </si>
  <si>
    <t>18-42-0</t>
  </si>
  <si>
    <t>30-69-0</t>
  </si>
  <si>
    <t>43-56-0</t>
  </si>
  <si>
    <t>37-103-1</t>
  </si>
  <si>
    <t>64-72-5</t>
  </si>
  <si>
    <t>48-97-0</t>
  </si>
  <si>
    <t>78-67-0</t>
  </si>
  <si>
    <t>64-175-1</t>
  </si>
  <si>
    <t>119-111-10</t>
  </si>
  <si>
    <t>22-63-0</t>
  </si>
  <si>
    <t>45-40-0</t>
  </si>
  <si>
    <t>14-12-1</t>
  </si>
  <si>
    <t>29-90-0</t>
  </si>
  <si>
    <t>59-60-0</t>
  </si>
  <si>
    <t>17-79-1</t>
  </si>
  <si>
    <t>49-48-0</t>
  </si>
  <si>
    <t>19-87-0</t>
  </si>
  <si>
    <t>47-54-5</t>
  </si>
  <si>
    <t>9-38-0</t>
  </si>
  <si>
    <t>24-23-0</t>
  </si>
  <si>
    <t>2-40-0</t>
  </si>
  <si>
    <t>27-15-0</t>
  </si>
  <si>
    <t>16-7-0</t>
  </si>
  <si>
    <t>6-31-0</t>
  </si>
  <si>
    <t>21-16-0</t>
  </si>
  <si>
    <t>3-33-0</t>
  </si>
  <si>
    <t>20-15-1</t>
  </si>
  <si>
    <t>0-4-0</t>
  </si>
  <si>
    <t>0-8-0</t>
  </si>
  <si>
    <t>0-14-0</t>
  </si>
  <si>
    <t>0-5-0</t>
  </si>
  <si>
    <t>Money Line (-)</t>
  </si>
  <si>
    <t>Money Line (+)</t>
  </si>
  <si>
    <t>Spread</t>
  </si>
  <si>
    <t>Historical FAV Win %</t>
  </si>
  <si>
    <t>Historical DOG Win %</t>
  </si>
  <si>
    <t>FAV GAP</t>
  </si>
  <si>
    <t>DOG GAP</t>
  </si>
  <si>
    <t>Total GAP</t>
  </si>
  <si>
    <t>Expected Win on DOG (spread)</t>
  </si>
  <si>
    <t>Money Line Payout aka expected win</t>
  </si>
  <si>
    <t>BUF</t>
  </si>
  <si>
    <t>CHI</t>
  </si>
  <si>
    <t>ATL</t>
  </si>
  <si>
    <t>GB</t>
  </si>
  <si>
    <t>DET</t>
  </si>
  <si>
    <t>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</si>
</sst>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>
      <left/>
      <right/>
      <top/>
      <bottom style="medium">
        <color rgb="FFEFEFE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44" fontId="0" fillId="0" borderId="0" xfId="1" applyFont="1"/>
    <xf numFmtId="0" fontId="0" fillId="0" borderId="0" xfId="0" quotePrefix="1"/>
    <xf numFmtId="164" fontId="0" fillId="0" borderId="0" xfId="2" applyNumberFormat="1" applyFon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44" fontId="0" fillId="0" borderId="4" xfId="0" applyNumberFormat="1" applyBorder="1"/>
    <xf numFmtId="0" fontId="0" fillId="0" borderId="6" xfId="0" applyBorder="1"/>
    <xf numFmtId="44" fontId="0" fillId="0" borderId="7" xfId="0" applyNumberFormat="1" applyBorder="1"/>
    <xf numFmtId="10" fontId="0" fillId="0" borderId="3" xfId="2" applyNumberFormat="1" applyFont="1" applyBorder="1"/>
    <xf numFmtId="10" fontId="0" fillId="0" borderId="0" xfId="2" applyNumberFormat="1" applyFont="1" applyBorder="1"/>
    <xf numFmtId="10" fontId="0" fillId="0" borderId="4" xfId="0" applyNumberFormat="1" applyBorder="1"/>
    <xf numFmtId="10" fontId="0" fillId="0" borderId="5" xfId="2" applyNumberFormat="1" applyFont="1" applyBorder="1"/>
    <xf numFmtId="10" fontId="0" fillId="0" borderId="6" xfId="2" applyNumberFormat="1" applyFont="1" applyBorder="1"/>
    <xf numFmtId="10" fontId="0" fillId="0" borderId="7" xfId="0" applyNumberFormat="1" applyBorder="1"/>
    <xf numFmtId="44" fontId="0" fillId="0" borderId="3" xfId="0" applyNumberFormat="1" applyBorder="1"/>
    <xf numFmtId="44" fontId="0" fillId="0" borderId="5" xfId="0" applyNumberFormat="1" applyBorder="1"/>
    <xf numFmtId="44" fontId="0" fillId="0" borderId="1" xfId="0" applyNumberFormat="1" applyBorder="1"/>
    <xf numFmtId="44" fontId="0" fillId="0" borderId="2" xfId="0" applyNumberFormat="1" applyBorder="1"/>
    <xf numFmtId="0" fontId="0" fillId="0" borderId="8" xfId="0" applyBorder="1"/>
    <xf numFmtId="44" fontId="0" fillId="0" borderId="8" xfId="1" applyFont="1" applyBorder="1"/>
    <xf numFmtId="0" fontId="0" fillId="0" borderId="8" xfId="0" applyBorder="1" applyAlignment="1">
      <alignment horizontal="center"/>
    </xf>
    <xf numFmtId="0" fontId="0" fillId="0" borderId="8" xfId="0" quotePrefix="1" applyBorder="1"/>
    <xf numFmtId="164" fontId="0" fillId="0" borderId="8" xfId="2" applyNumberFormat="1" applyFont="1" applyBorder="1"/>
    <xf numFmtId="10" fontId="0" fillId="0" borderId="8" xfId="2" applyNumberFormat="1" applyFont="1" applyBorder="1"/>
    <xf numFmtId="44" fontId="0" fillId="0" borderId="8" xfId="2" applyNumberFormat="1" applyFont="1" applyBorder="1"/>
    <xf numFmtId="9" fontId="0" fillId="0" borderId="8" xfId="2" applyFont="1" applyBorder="1"/>
    <xf numFmtId="9" fontId="0" fillId="0" borderId="8" xfId="0" applyNumberFormat="1" applyBorder="1"/>
    <xf numFmtId="10" fontId="0" fillId="0" borderId="8" xfId="0" applyNumberFormat="1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9" xfId="0" quotePrefix="1" applyBorder="1"/>
    <xf numFmtId="164" fontId="0" fillId="0" borderId="9" xfId="2" applyNumberFormat="1" applyFont="1" applyBorder="1"/>
    <xf numFmtId="10" fontId="0" fillId="0" borderId="9" xfId="2" applyNumberFormat="1" applyFont="1" applyBorder="1"/>
    <xf numFmtId="44" fontId="0" fillId="0" borderId="9" xfId="2" applyNumberFormat="1" applyFont="1" applyBorder="1"/>
    <xf numFmtId="44" fontId="0" fillId="0" borderId="9" xfId="1" applyFont="1" applyBorder="1"/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2" fillId="3" borderId="13" xfId="0" applyFont="1" applyFill="1" applyBorder="1" applyAlignment="1">
      <alignment horizontal="right" vertical="center" wrapText="1"/>
    </xf>
    <xf numFmtId="0" fontId="3" fillId="2" borderId="14" xfId="0" applyFont="1" applyFill="1" applyBorder="1" applyAlignment="1">
      <alignment horizontal="right" vertical="top" wrapText="1"/>
    </xf>
    <xf numFmtId="10" fontId="3" fillId="2" borderId="14" xfId="0" applyNumberFormat="1" applyFont="1" applyFill="1" applyBorder="1" applyAlignment="1">
      <alignment horizontal="right" vertical="top" wrapText="1"/>
    </xf>
    <xf numFmtId="14" fontId="3" fillId="2" borderId="14" xfId="0" applyNumberFormat="1" applyFont="1" applyFill="1" applyBorder="1" applyAlignment="1">
      <alignment horizontal="right" vertical="top" wrapText="1"/>
    </xf>
    <xf numFmtId="0" fontId="0" fillId="0" borderId="0" xfId="0" applyFill="1" applyBorder="1"/>
    <xf numFmtId="10" fontId="0" fillId="0" borderId="0" xfId="2" applyNumberFormat="1" applyFont="1" applyFill="1" applyBorder="1"/>
    <xf numFmtId="10" fontId="0" fillId="0" borderId="0" xfId="0" applyNumberFormat="1"/>
    <xf numFmtId="10" fontId="0" fillId="0" borderId="0" xfId="0" applyNumberFormat="1" applyBorder="1"/>
    <xf numFmtId="44" fontId="0" fillId="0" borderId="0" xfId="1" applyFont="1" applyBorder="1"/>
    <xf numFmtId="44" fontId="0" fillId="0" borderId="0" xfId="0" applyNumberFormat="1"/>
    <xf numFmtId="10" fontId="0" fillId="0" borderId="0" xfId="2" applyNumberFormat="1" applyFont="1"/>
    <xf numFmtId="0" fontId="0" fillId="4" borderId="3" xfId="0" applyFill="1" applyBorder="1"/>
    <xf numFmtId="0" fontId="0" fillId="4" borderId="0" xfId="0" applyFill="1" applyBorder="1"/>
    <xf numFmtId="44" fontId="0" fillId="4" borderId="4" xfId="0" applyNumberFormat="1" applyFill="1" applyBorder="1"/>
    <xf numFmtId="0" fontId="6" fillId="4" borderId="3" xfId="0" applyFont="1" applyFill="1" applyBorder="1"/>
    <xf numFmtId="0" fontId="0" fillId="4" borderId="5" xfId="0" applyFill="1" applyBorder="1"/>
    <xf numFmtId="0" fontId="0" fillId="4" borderId="6" xfId="0" applyFill="1" applyBorder="1"/>
    <xf numFmtId="44" fontId="0" fillId="4" borderId="7" xfId="0" applyNumberFormat="1" applyFill="1" applyBorder="1"/>
    <xf numFmtId="0" fontId="0" fillId="0" borderId="1" xfId="0" applyFill="1" applyBorder="1"/>
    <xf numFmtId="44" fontId="0" fillId="0" borderId="0" xfId="1" applyFont="1" applyFill="1" applyBorder="1"/>
    <xf numFmtId="44" fontId="0" fillId="0" borderId="3" xfId="0" applyNumberFormat="1" applyFill="1" applyBorder="1"/>
    <xf numFmtId="10" fontId="0" fillId="0" borderId="3" xfId="2" applyNumberFormat="1" applyFont="1" applyFill="1" applyBorder="1"/>
    <xf numFmtId="44" fontId="0" fillId="0" borderId="4" xfId="0" applyNumberFormat="1" applyFill="1" applyBorder="1"/>
    <xf numFmtId="10" fontId="0" fillId="0" borderId="4" xfId="0" applyNumberFormat="1" applyFill="1" applyBorder="1"/>
    <xf numFmtId="44" fontId="0" fillId="0" borderId="1" xfId="0" applyNumberForma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Casino</a:t>
            </a:r>
            <a:r>
              <a:rPr lang="en-US" baseline="0"/>
              <a:t> Profit vs. FAV line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9.2469816272965882E-2"/>
                  <c:y val="4.26038932633420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TableCalc!$S$5:$S$17</c:f>
              <c:numCache>
                <c:formatCode>General</c:formatCode>
                <c:ptCount val="13"/>
                <c:pt idx="0">
                  <c:v>575</c:v>
                </c:pt>
                <c:pt idx="1">
                  <c:v>330</c:v>
                </c:pt>
                <c:pt idx="2">
                  <c:v>240</c:v>
                </c:pt>
                <c:pt idx="3">
                  <c:v>315</c:v>
                </c:pt>
                <c:pt idx="4">
                  <c:v>175</c:v>
                </c:pt>
                <c:pt idx="5">
                  <c:v>100</c:v>
                </c:pt>
                <c:pt idx="6">
                  <c:v>225</c:v>
                </c:pt>
                <c:pt idx="7">
                  <c:v>225</c:v>
                </c:pt>
                <c:pt idx="8">
                  <c:v>125</c:v>
                </c:pt>
                <c:pt idx="9">
                  <c:v>205</c:v>
                </c:pt>
                <c:pt idx="10">
                  <c:v>135</c:v>
                </c:pt>
                <c:pt idx="11">
                  <c:v>150</c:v>
                </c:pt>
                <c:pt idx="12">
                  <c:v>165</c:v>
                </c:pt>
              </c:numCache>
            </c:numRef>
          </c:xVal>
          <c:yVal>
            <c:numRef>
              <c:f>TableCalc!$AJ$5:$AJ$17</c:f>
              <c:numCache>
                <c:formatCode>_("$"* #,##0.00_);_("$"* \(#,##0.00\);_("$"* "-"??_);_(@_)</c:formatCode>
                <c:ptCount val="13"/>
                <c:pt idx="0">
                  <c:v>5.4580896686159832</c:v>
                </c:pt>
                <c:pt idx="1">
                  <c:v>8.2828926409684556</c:v>
                </c:pt>
                <c:pt idx="2">
                  <c:v>7.8431372549019471</c:v>
                </c:pt>
                <c:pt idx="3">
                  <c:v>6.6017494636078595</c:v>
                </c:pt>
                <c:pt idx="4">
                  <c:v>5.7040998217468832</c:v>
                </c:pt>
                <c:pt idx="5">
                  <c:v>0</c:v>
                </c:pt>
                <c:pt idx="6">
                  <c:v>6.2581486310299823</c:v>
                </c:pt>
                <c:pt idx="7">
                  <c:v>1.9536019536019467</c:v>
                </c:pt>
                <c:pt idx="8">
                  <c:v>8.6720867208672079</c:v>
                </c:pt>
                <c:pt idx="9">
                  <c:v>7.1535022354694462</c:v>
                </c:pt>
                <c:pt idx="10">
                  <c:v>7.9168728352300821</c:v>
                </c:pt>
                <c:pt idx="11">
                  <c:v>6.9565217391304426</c:v>
                </c:pt>
                <c:pt idx="12">
                  <c:v>6.1609549480169292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50080"/>
        <c:axId val="221028800"/>
      </c:scatterChart>
      <c:valAx>
        <c:axId val="35445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28800"/>
        <c:crosses val="autoZero"/>
        <c:crossBetween val="midCat"/>
      </c:valAx>
      <c:valAx>
        <c:axId val="2210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5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Casino Profit vs. DOG 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0019422572178478"/>
                  <c:y val="4.12044327792359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TableCalc!$V$5:$V$17</c:f>
              <c:numCache>
                <c:formatCode>General</c:formatCode>
                <c:ptCount val="13"/>
                <c:pt idx="0">
                  <c:v>470</c:v>
                </c:pt>
                <c:pt idx="1">
                  <c:v>265</c:v>
                </c:pt>
                <c:pt idx="2">
                  <c:v>200</c:v>
                </c:pt>
                <c:pt idx="3">
                  <c:v>265</c:v>
                </c:pt>
                <c:pt idx="4">
                  <c:v>155</c:v>
                </c:pt>
                <c:pt idx="5">
                  <c:v>100</c:v>
                </c:pt>
                <c:pt idx="6">
                  <c:v>195</c:v>
                </c:pt>
                <c:pt idx="7">
                  <c:v>215</c:v>
                </c:pt>
                <c:pt idx="8">
                  <c:v>105</c:v>
                </c:pt>
                <c:pt idx="9">
                  <c:v>175</c:v>
                </c:pt>
                <c:pt idx="10">
                  <c:v>115</c:v>
                </c:pt>
                <c:pt idx="11">
                  <c:v>130</c:v>
                </c:pt>
                <c:pt idx="12">
                  <c:v>145</c:v>
                </c:pt>
              </c:numCache>
            </c:numRef>
          </c:xVal>
          <c:yVal>
            <c:numRef>
              <c:f>TableCalc!$AJ$5:$AJ$17</c:f>
              <c:numCache>
                <c:formatCode>_("$"* #,##0.00_);_("$"* \(#,##0.00\);_("$"* "-"??_);_(@_)</c:formatCode>
                <c:ptCount val="13"/>
                <c:pt idx="0">
                  <c:v>5.4580896686159832</c:v>
                </c:pt>
                <c:pt idx="1">
                  <c:v>8.2828926409684556</c:v>
                </c:pt>
                <c:pt idx="2">
                  <c:v>7.8431372549019471</c:v>
                </c:pt>
                <c:pt idx="3">
                  <c:v>6.6017494636078595</c:v>
                </c:pt>
                <c:pt idx="4">
                  <c:v>5.7040998217468832</c:v>
                </c:pt>
                <c:pt idx="5">
                  <c:v>0</c:v>
                </c:pt>
                <c:pt idx="6">
                  <c:v>6.2581486310299823</c:v>
                </c:pt>
                <c:pt idx="7">
                  <c:v>1.9536019536019467</c:v>
                </c:pt>
                <c:pt idx="8">
                  <c:v>8.6720867208672079</c:v>
                </c:pt>
                <c:pt idx="9">
                  <c:v>7.1535022354694462</c:v>
                </c:pt>
                <c:pt idx="10">
                  <c:v>7.9168728352300821</c:v>
                </c:pt>
                <c:pt idx="11">
                  <c:v>6.9565217391304426</c:v>
                </c:pt>
                <c:pt idx="12">
                  <c:v>6.1609549480169292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031040"/>
        <c:axId val="221031600"/>
      </c:scatterChart>
      <c:valAx>
        <c:axId val="22103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31600"/>
        <c:crosses val="autoZero"/>
        <c:crossBetween val="midCat"/>
      </c:valAx>
      <c:valAx>
        <c:axId val="2210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3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.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Sheet1!$B$12:$B$74</c:f>
              <c:numCache>
                <c:formatCode>General</c:formatCode>
                <c:ptCount val="63"/>
                <c:pt idx="0">
                  <c:v>-16</c:v>
                </c:pt>
                <c:pt idx="1">
                  <c:v>-15.5</c:v>
                </c:pt>
                <c:pt idx="2">
                  <c:v>-15</c:v>
                </c:pt>
                <c:pt idx="3">
                  <c:v>-14.5</c:v>
                </c:pt>
                <c:pt idx="4">
                  <c:v>-14</c:v>
                </c:pt>
                <c:pt idx="5">
                  <c:v>-13.5</c:v>
                </c:pt>
                <c:pt idx="6">
                  <c:v>-13</c:v>
                </c:pt>
                <c:pt idx="7">
                  <c:v>-12.5</c:v>
                </c:pt>
                <c:pt idx="8">
                  <c:v>-12</c:v>
                </c:pt>
                <c:pt idx="9">
                  <c:v>-11.5</c:v>
                </c:pt>
                <c:pt idx="10">
                  <c:v>-11</c:v>
                </c:pt>
                <c:pt idx="11">
                  <c:v>-10.5</c:v>
                </c:pt>
                <c:pt idx="12">
                  <c:v>-10</c:v>
                </c:pt>
                <c:pt idx="13">
                  <c:v>-9.5</c:v>
                </c:pt>
                <c:pt idx="14">
                  <c:v>-9</c:v>
                </c:pt>
                <c:pt idx="15">
                  <c:v>-8.5</c:v>
                </c:pt>
                <c:pt idx="16">
                  <c:v>-8</c:v>
                </c:pt>
                <c:pt idx="17">
                  <c:v>-7.5</c:v>
                </c:pt>
                <c:pt idx="18">
                  <c:v>-7</c:v>
                </c:pt>
                <c:pt idx="19">
                  <c:v>-6.5</c:v>
                </c:pt>
                <c:pt idx="20">
                  <c:v>-6</c:v>
                </c:pt>
                <c:pt idx="21">
                  <c:v>-5.5</c:v>
                </c:pt>
                <c:pt idx="22">
                  <c:v>-5</c:v>
                </c:pt>
                <c:pt idx="23">
                  <c:v>-4.5</c:v>
                </c:pt>
                <c:pt idx="24">
                  <c:v>-4</c:v>
                </c:pt>
                <c:pt idx="25">
                  <c:v>-3.5</c:v>
                </c:pt>
                <c:pt idx="26">
                  <c:v>-3</c:v>
                </c:pt>
                <c:pt idx="27">
                  <c:v>-2.5</c:v>
                </c:pt>
                <c:pt idx="28">
                  <c:v>-2</c:v>
                </c:pt>
                <c:pt idx="29">
                  <c:v>-1.5</c:v>
                </c:pt>
                <c:pt idx="30">
                  <c:v>-1</c:v>
                </c:pt>
                <c:pt idx="31">
                  <c:v>0</c:v>
                </c:pt>
                <c:pt idx="32">
                  <c:v>1</c:v>
                </c:pt>
                <c:pt idx="33">
                  <c:v>1.5</c:v>
                </c:pt>
                <c:pt idx="34">
                  <c:v>2</c:v>
                </c:pt>
                <c:pt idx="35">
                  <c:v>2.5</c:v>
                </c:pt>
                <c:pt idx="36">
                  <c:v>3</c:v>
                </c:pt>
                <c:pt idx="37">
                  <c:v>3.5</c:v>
                </c:pt>
                <c:pt idx="38">
                  <c:v>4</c:v>
                </c:pt>
                <c:pt idx="39">
                  <c:v>4.5</c:v>
                </c:pt>
                <c:pt idx="40">
                  <c:v>5</c:v>
                </c:pt>
                <c:pt idx="41">
                  <c:v>5.5</c:v>
                </c:pt>
                <c:pt idx="42">
                  <c:v>6</c:v>
                </c:pt>
                <c:pt idx="43">
                  <c:v>6.5</c:v>
                </c:pt>
                <c:pt idx="44">
                  <c:v>7</c:v>
                </c:pt>
                <c:pt idx="45">
                  <c:v>7.5</c:v>
                </c:pt>
                <c:pt idx="46">
                  <c:v>8</c:v>
                </c:pt>
                <c:pt idx="47">
                  <c:v>8.5</c:v>
                </c:pt>
                <c:pt idx="48">
                  <c:v>9</c:v>
                </c:pt>
                <c:pt idx="49">
                  <c:v>9.5</c:v>
                </c:pt>
                <c:pt idx="50">
                  <c:v>10</c:v>
                </c:pt>
                <c:pt idx="51">
                  <c:v>10.5</c:v>
                </c:pt>
                <c:pt idx="52">
                  <c:v>11</c:v>
                </c:pt>
                <c:pt idx="53">
                  <c:v>11.5</c:v>
                </c:pt>
                <c:pt idx="54">
                  <c:v>12</c:v>
                </c:pt>
                <c:pt idx="55">
                  <c:v>12.5</c:v>
                </c:pt>
                <c:pt idx="56">
                  <c:v>13</c:v>
                </c:pt>
                <c:pt idx="57">
                  <c:v>13.5</c:v>
                </c:pt>
                <c:pt idx="58">
                  <c:v>14</c:v>
                </c:pt>
                <c:pt idx="59">
                  <c:v>14.5</c:v>
                </c:pt>
                <c:pt idx="60">
                  <c:v>15</c:v>
                </c:pt>
                <c:pt idx="61">
                  <c:v>15.5</c:v>
                </c:pt>
                <c:pt idx="62">
                  <c:v>16</c:v>
                </c:pt>
              </c:numCache>
            </c:numRef>
          </c:xVal>
          <c:yVal>
            <c:numRef>
              <c:f>Sheet1!$E$12:$E$74</c:f>
              <c:numCache>
                <c:formatCode>0.00%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0.88900000000000001</c:v>
                </c:pt>
                <c:pt idx="4">
                  <c:v>0.91700000000000004</c:v>
                </c:pt>
                <c:pt idx="5">
                  <c:v>0.82699999999999996</c:v>
                </c:pt>
                <c:pt idx="6">
                  <c:v>0.83799999999999997</c:v>
                </c:pt>
                <c:pt idx="7">
                  <c:v>0.73899999999999999</c:v>
                </c:pt>
                <c:pt idx="8">
                  <c:v>0.76900000000000002</c:v>
                </c:pt>
                <c:pt idx="9">
                  <c:v>0.82599999999999996</c:v>
                </c:pt>
                <c:pt idx="10">
                  <c:v>0.95199999999999996</c:v>
                </c:pt>
                <c:pt idx="11">
                  <c:v>0.80900000000000005</c:v>
                </c:pt>
                <c:pt idx="12">
                  <c:v>0.82099999999999995</c:v>
                </c:pt>
                <c:pt idx="13">
                  <c:v>0.82</c:v>
                </c:pt>
                <c:pt idx="14">
                  <c:v>0.75600000000000001</c:v>
                </c:pt>
                <c:pt idx="15">
                  <c:v>0.83299999999999996</c:v>
                </c:pt>
                <c:pt idx="16">
                  <c:v>0.70399999999999996</c:v>
                </c:pt>
                <c:pt idx="17">
                  <c:v>0.74099999999999999</c:v>
                </c:pt>
                <c:pt idx="18">
                  <c:v>0.73099999999999998</c:v>
                </c:pt>
                <c:pt idx="19">
                  <c:v>0.66900000000000004</c:v>
                </c:pt>
                <c:pt idx="20">
                  <c:v>0.73399999999999999</c:v>
                </c:pt>
                <c:pt idx="21">
                  <c:v>0.69699999999999995</c:v>
                </c:pt>
                <c:pt idx="22">
                  <c:v>0.7</c:v>
                </c:pt>
                <c:pt idx="23">
                  <c:v>0.68400000000000005</c:v>
                </c:pt>
                <c:pt idx="24">
                  <c:v>0.67400000000000004</c:v>
                </c:pt>
                <c:pt idx="25">
                  <c:v>0.66200000000000003</c:v>
                </c:pt>
                <c:pt idx="26">
                  <c:v>0.54</c:v>
                </c:pt>
                <c:pt idx="27">
                  <c:v>0.51400000000000001</c:v>
                </c:pt>
                <c:pt idx="28">
                  <c:v>0.55000000000000004</c:v>
                </c:pt>
                <c:pt idx="29">
                  <c:v>0.55200000000000005</c:v>
                </c:pt>
                <c:pt idx="30">
                  <c:v>0.57099999999999995</c:v>
                </c:pt>
                <c:pt idx="31">
                  <c:v>0.5</c:v>
                </c:pt>
                <c:pt idx="32">
                  <c:v>0.42899999999999999</c:v>
                </c:pt>
                <c:pt idx="33">
                  <c:v>0.44800000000000001</c:v>
                </c:pt>
                <c:pt idx="34">
                  <c:v>0.45</c:v>
                </c:pt>
                <c:pt idx="35">
                  <c:v>0.48599999999999999</c:v>
                </c:pt>
                <c:pt idx="36">
                  <c:v>0.46</c:v>
                </c:pt>
                <c:pt idx="37">
                  <c:v>0.33800000000000002</c:v>
                </c:pt>
                <c:pt idx="38">
                  <c:v>0.32600000000000001</c:v>
                </c:pt>
                <c:pt idx="39">
                  <c:v>0.316</c:v>
                </c:pt>
                <c:pt idx="40">
                  <c:v>0.3</c:v>
                </c:pt>
                <c:pt idx="41">
                  <c:v>0.30299999999999999</c:v>
                </c:pt>
                <c:pt idx="42">
                  <c:v>0.26600000000000001</c:v>
                </c:pt>
                <c:pt idx="43">
                  <c:v>0.33100000000000002</c:v>
                </c:pt>
                <c:pt idx="44">
                  <c:v>0.26900000000000002</c:v>
                </c:pt>
                <c:pt idx="45">
                  <c:v>0.25900000000000001</c:v>
                </c:pt>
                <c:pt idx="46">
                  <c:v>0.29599999999999999</c:v>
                </c:pt>
                <c:pt idx="47">
                  <c:v>0.16700000000000001</c:v>
                </c:pt>
                <c:pt idx="48">
                  <c:v>0.24399999999999999</c:v>
                </c:pt>
                <c:pt idx="49">
                  <c:v>0.18</c:v>
                </c:pt>
                <c:pt idx="50">
                  <c:v>0.17899999999999999</c:v>
                </c:pt>
                <c:pt idx="51">
                  <c:v>0.191</c:v>
                </c:pt>
                <c:pt idx="52">
                  <c:v>4.8000000000000001E-2</c:v>
                </c:pt>
                <c:pt idx="53">
                  <c:v>0.17399999999999999</c:v>
                </c:pt>
                <c:pt idx="54">
                  <c:v>0.23100000000000001</c:v>
                </c:pt>
                <c:pt idx="55">
                  <c:v>0.26100000000000001</c:v>
                </c:pt>
                <c:pt idx="56">
                  <c:v>0.16200000000000001</c:v>
                </c:pt>
                <c:pt idx="57">
                  <c:v>0.17299999999999999</c:v>
                </c:pt>
                <c:pt idx="58">
                  <c:v>8.3000000000000004E-2</c:v>
                </c:pt>
                <c:pt idx="59">
                  <c:v>0.111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033840"/>
        <c:axId val="221034400"/>
      </c:scatterChart>
      <c:valAx>
        <c:axId val="22103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34400"/>
        <c:crosses val="autoZero"/>
        <c:crossBetween val="midCat"/>
      </c:valAx>
      <c:valAx>
        <c:axId val="2210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3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</xdr:colOff>
      <xdr:row>19</xdr:row>
      <xdr:rowOff>0</xdr:rowOff>
    </xdr:from>
    <xdr:to>
      <xdr:col>23</xdr:col>
      <xdr:colOff>223837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209550</xdr:colOff>
      <xdr:row>18</xdr:row>
      <xdr:rowOff>180975</xdr:rowOff>
    </xdr:from>
    <xdr:to>
      <xdr:col>37</xdr:col>
      <xdr:colOff>85725</xdr:colOff>
      <xdr:row>33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58</xdr:row>
      <xdr:rowOff>47625</xdr:rowOff>
    </xdr:from>
    <xdr:to>
      <xdr:col>9</xdr:col>
      <xdr:colOff>495300</xdr:colOff>
      <xdr:row>71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7"/>
  <sheetViews>
    <sheetView workbookViewId="0">
      <selection activeCell="C10" sqref="C10"/>
    </sheetView>
  </sheetViews>
  <sheetFormatPr defaultRowHeight="15" x14ac:dyDescent="0.25"/>
  <sheetData>
    <row r="3" spans="3:11" x14ac:dyDescent="0.25">
      <c r="H3" t="s">
        <v>0</v>
      </c>
      <c r="I3" s="1">
        <v>100</v>
      </c>
    </row>
    <row r="4" spans="3:11" x14ac:dyDescent="0.25">
      <c r="I4" t="s">
        <v>1</v>
      </c>
      <c r="J4" t="s">
        <v>2</v>
      </c>
    </row>
    <row r="5" spans="3:11" x14ac:dyDescent="0.25">
      <c r="C5" t="s">
        <v>3</v>
      </c>
      <c r="D5" s="2" t="s">
        <v>4</v>
      </c>
      <c r="E5">
        <v>165</v>
      </c>
      <c r="F5" s="3">
        <f>1-((100/E5)/2)</f>
        <v>0.69696969696969702</v>
      </c>
      <c r="G5" t="s">
        <v>5</v>
      </c>
      <c r="I5" s="1">
        <f>I3*(E5/100)+I3</f>
        <v>265</v>
      </c>
      <c r="J5" s="1">
        <f>($R$9/(1-F5))</f>
        <v>0</v>
      </c>
      <c r="K5" s="1">
        <f>(1-F5)*I5</f>
        <v>80.303030303030297</v>
      </c>
    </row>
    <row r="6" spans="3:11" x14ac:dyDescent="0.25">
      <c r="C6" t="s">
        <v>6</v>
      </c>
      <c r="D6" s="2" t="s">
        <v>7</v>
      </c>
      <c r="E6">
        <v>190</v>
      </c>
      <c r="F6" s="3">
        <f>(100/E6)/2</f>
        <v>0.26315789473684209</v>
      </c>
      <c r="G6" t="s">
        <v>8</v>
      </c>
      <c r="I6" s="1">
        <f>I3*(100/E6)+I3</f>
        <v>152.63157894736841</v>
      </c>
      <c r="J6" s="1">
        <f>($R$9/(1-F6))</f>
        <v>0</v>
      </c>
      <c r="K6" s="1">
        <f>(1-F6)*I6</f>
        <v>112.46537396121884</v>
      </c>
    </row>
    <row r="7" spans="3:11" x14ac:dyDescent="0.25">
      <c r="F7" s="3">
        <f>1-(F5+F6)</f>
        <v>3.9872408293460948E-2</v>
      </c>
      <c r="G7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L43"/>
  <sheetViews>
    <sheetView tabSelected="1" topLeftCell="Q1" workbookViewId="0">
      <selection activeCell="W6" sqref="W6"/>
    </sheetView>
  </sheetViews>
  <sheetFormatPr defaultRowHeight="15" x14ac:dyDescent="0.25"/>
  <cols>
    <col min="3" max="3" width="13.5703125" bestFit="1" customWidth="1"/>
    <col min="4" max="4" width="2" bestFit="1" customWidth="1"/>
    <col min="5" max="5" width="11.28515625" bestFit="1" customWidth="1"/>
    <col min="6" max="7" width="12.140625" hidden="1" customWidth="1"/>
    <col min="8" max="9" width="12.140625" customWidth="1"/>
    <col min="10" max="10" width="10.5703125" bestFit="1" customWidth="1"/>
    <col min="11" max="11" width="0" hidden="1" customWidth="1"/>
    <col min="12" max="12" width="10.5703125" hidden="1" customWidth="1"/>
    <col min="13" max="14" width="0" hidden="1" customWidth="1"/>
    <col min="23" max="23" width="10.5703125" bestFit="1" customWidth="1"/>
    <col min="24" max="24" width="11.28515625" bestFit="1" customWidth="1"/>
    <col min="25" max="25" width="11.7109375" bestFit="1" customWidth="1"/>
    <col min="26" max="29" width="11.7109375" customWidth="1"/>
    <col min="30" max="30" width="14.140625" bestFit="1" customWidth="1"/>
    <col min="31" max="32" width="14.140625" customWidth="1"/>
    <col min="35" max="35" width="10.85546875" bestFit="1" customWidth="1"/>
    <col min="37" max="37" width="9.7109375" bestFit="1" customWidth="1"/>
  </cols>
  <sheetData>
    <row r="2" spans="2:37" x14ac:dyDescent="0.25">
      <c r="B2" s="21" t="s">
        <v>0</v>
      </c>
      <c r="C2" s="22">
        <v>100</v>
      </c>
      <c r="G2" s="1"/>
      <c r="H2" s="1"/>
      <c r="AC2" s="49">
        <f>SUM(AB3:AC3)</f>
        <v>3.0369868428148903E-2</v>
      </c>
    </row>
    <row r="3" spans="2:37" ht="15.75" thickBot="1" x14ac:dyDescent="0.3">
      <c r="L3" t="s">
        <v>17</v>
      </c>
      <c r="AB3" s="48">
        <f>AVERAGE(AB5:AB17)</f>
        <v>3.318365603479715E-2</v>
      </c>
      <c r="AC3" s="49">
        <f>AVERAGE(AC5:AC17)</f>
        <v>-2.813787606648248E-3</v>
      </c>
      <c r="AD3" s="49"/>
      <c r="AE3" s="49"/>
      <c r="AF3" s="49"/>
      <c r="AG3" s="50">
        <f>AVERAGE(AG5:AG17)</f>
        <v>3.0369868428148886E-2</v>
      </c>
    </row>
    <row r="4" spans="2:37" ht="45.75" thickBot="1" x14ac:dyDescent="0.3">
      <c r="B4" s="41" t="s">
        <v>54</v>
      </c>
      <c r="C4" s="38"/>
      <c r="D4" s="38"/>
      <c r="E4" s="38" t="s">
        <v>12</v>
      </c>
      <c r="F4" s="39" t="s">
        <v>15</v>
      </c>
      <c r="G4" s="39" t="s">
        <v>18</v>
      </c>
      <c r="H4" s="39" t="s">
        <v>19</v>
      </c>
      <c r="I4" s="39" t="s">
        <v>16</v>
      </c>
      <c r="J4" s="40" t="s">
        <v>13</v>
      </c>
      <c r="L4" t="s">
        <v>3</v>
      </c>
      <c r="M4" t="s">
        <v>6</v>
      </c>
      <c r="P4" s="41" t="s">
        <v>48</v>
      </c>
      <c r="Q4" s="38" t="s">
        <v>51</v>
      </c>
      <c r="R4" s="38" t="s">
        <v>168</v>
      </c>
      <c r="S4" s="39" t="s">
        <v>166</v>
      </c>
      <c r="T4" s="38" t="s">
        <v>1</v>
      </c>
      <c r="U4" s="38" t="s">
        <v>52</v>
      </c>
      <c r="V4" s="39" t="s">
        <v>167</v>
      </c>
      <c r="W4" s="38" t="s">
        <v>13</v>
      </c>
      <c r="X4" s="39" t="s">
        <v>46</v>
      </c>
      <c r="Y4" s="39" t="s">
        <v>47</v>
      </c>
      <c r="Z4" s="39" t="s">
        <v>169</v>
      </c>
      <c r="AA4" s="39" t="s">
        <v>170</v>
      </c>
      <c r="AB4" s="39" t="s">
        <v>171</v>
      </c>
      <c r="AC4" s="39" t="s">
        <v>172</v>
      </c>
      <c r="AD4" s="39" t="s">
        <v>173</v>
      </c>
      <c r="AE4" s="39" t="s">
        <v>174</v>
      </c>
      <c r="AF4" s="39" t="s">
        <v>175</v>
      </c>
      <c r="AG4" s="39" t="s">
        <v>14</v>
      </c>
      <c r="AH4" s="39" t="s">
        <v>49</v>
      </c>
      <c r="AI4" s="39" t="s">
        <v>50</v>
      </c>
      <c r="AJ4" s="42" t="s">
        <v>53</v>
      </c>
    </row>
    <row r="5" spans="2:37" x14ac:dyDescent="0.25">
      <c r="B5" s="31" t="s">
        <v>21</v>
      </c>
      <c r="C5" s="32" t="s">
        <v>10</v>
      </c>
      <c r="D5" s="33" t="s">
        <v>4</v>
      </c>
      <c r="E5" s="31">
        <v>142</v>
      </c>
      <c r="F5" s="34">
        <f>((100/$E5)/2)</f>
        <v>0.352112676056338</v>
      </c>
      <c r="G5" s="34">
        <f>((100/$E5))</f>
        <v>0.70422535211267601</v>
      </c>
      <c r="H5" s="35">
        <f>$C$2/$J5</f>
        <v>0.41322314049586778</v>
      </c>
      <c r="I5" s="36">
        <f>J5-$C$2</f>
        <v>142</v>
      </c>
      <c r="J5" s="37">
        <f>$C$2*(E5/100)+$C$2</f>
        <v>242</v>
      </c>
      <c r="L5" s="3">
        <f>1-(100/E5)</f>
        <v>0.29577464788732399</v>
      </c>
      <c r="M5" s="3">
        <f>1-M6</f>
        <v>0.61728395061728392</v>
      </c>
      <c r="N5" s="4">
        <f>1-(L5+M5)</f>
        <v>8.694140149539209E-2</v>
      </c>
      <c r="P5" s="5">
        <v>10</v>
      </c>
      <c r="Q5" s="54" t="s">
        <v>32</v>
      </c>
      <c r="R5" s="55">
        <v>-10</v>
      </c>
      <c r="S5" s="55">
        <v>575</v>
      </c>
      <c r="T5" s="56">
        <f>$C$2*(100/$S5)+$C$2</f>
        <v>117.39130434782609</v>
      </c>
      <c r="U5" s="54" t="s">
        <v>40</v>
      </c>
      <c r="V5" s="7">
        <v>470</v>
      </c>
      <c r="W5" s="8">
        <f>$C$2*($V5/100)+$C$2</f>
        <v>570</v>
      </c>
      <c r="X5" s="11">
        <f>$C$2/($C$2*(100/$S5)+$C$2)</f>
        <v>0.85185185185185186</v>
      </c>
      <c r="Y5" s="12">
        <f>$C$2/($C$2*($V5/100)+$C$2)</f>
        <v>0.17543859649122806</v>
      </c>
      <c r="Z5" s="12">
        <f>-1*0.0298*$R5+0.5</f>
        <v>0.79800000000000004</v>
      </c>
      <c r="AA5" s="12">
        <f>0.0298*$R5+0.5</f>
        <v>0.20200000000000001</v>
      </c>
      <c r="AB5" s="12">
        <f>X5-Z5</f>
        <v>5.3851851851851817E-2</v>
      </c>
      <c r="AC5" s="12">
        <f>Y5-AA5</f>
        <v>-2.6561403508771952E-2</v>
      </c>
      <c r="AD5" s="12">
        <f>ABS(AB5)+ABS(AC5)</f>
        <v>8.041325536062377E-2</v>
      </c>
      <c r="AE5" s="51">
        <f>$C$2/AA5</f>
        <v>495.04950495049502</v>
      </c>
      <c r="AF5" s="51">
        <f>W5-AE5</f>
        <v>74.95049504950498</v>
      </c>
      <c r="AG5" s="13">
        <f>-1+(X5+Y5)</f>
        <v>2.7290448343079809E-2</v>
      </c>
      <c r="AH5" s="17">
        <f>2*$C$2-$T5</f>
        <v>82.608695652173907</v>
      </c>
      <c r="AI5" s="8">
        <f>2*$C$2-$W5</f>
        <v>-370</v>
      </c>
      <c r="AJ5" s="19">
        <f>($X5*$AH5)+$Y5*$AI5</f>
        <v>5.4580896686159832</v>
      </c>
      <c r="AK5" s="52">
        <f>AH5</f>
        <v>82.608695652173907</v>
      </c>
    </row>
    <row r="6" spans="2:37" x14ac:dyDescent="0.25">
      <c r="B6" s="21" t="s">
        <v>20</v>
      </c>
      <c r="C6" s="23" t="s">
        <v>11</v>
      </c>
      <c r="D6" s="24" t="s">
        <v>7</v>
      </c>
      <c r="E6" s="21">
        <v>162</v>
      </c>
      <c r="F6" s="28">
        <f>1-((100/$E6)/2)</f>
        <v>0.69135802469135799</v>
      </c>
      <c r="G6" s="25">
        <f>((100/$E6))</f>
        <v>0.61728395061728392</v>
      </c>
      <c r="H6" s="26">
        <f>$C$2/$J6</f>
        <v>0.61832061068702282</v>
      </c>
      <c r="I6" s="27">
        <f>J6-$C$2</f>
        <v>61.728395061728406</v>
      </c>
      <c r="J6" s="22">
        <f>$C$2*(100/E6)+$C$2</f>
        <v>161.72839506172841</v>
      </c>
      <c r="L6" s="3">
        <f>1-L5</f>
        <v>0.70422535211267601</v>
      </c>
      <c r="M6" s="3">
        <f>1-(100/E6)</f>
        <v>0.38271604938271608</v>
      </c>
      <c r="N6" s="4">
        <f>1-(L6+M6)</f>
        <v>-8.6941401495391979E-2</v>
      </c>
      <c r="P6" s="5">
        <v>7</v>
      </c>
      <c r="Q6" s="54" t="s">
        <v>34</v>
      </c>
      <c r="R6" s="55">
        <v>-7</v>
      </c>
      <c r="S6" s="55">
        <v>330</v>
      </c>
      <c r="T6" s="56">
        <f>$C$2*(100/$S6)+$C$2</f>
        <v>130.30303030303031</v>
      </c>
      <c r="U6" s="54" t="s">
        <v>22</v>
      </c>
      <c r="V6" s="7">
        <v>265</v>
      </c>
      <c r="W6" s="8">
        <f>$C$2*($V6/100)+$C$2</f>
        <v>365</v>
      </c>
      <c r="X6" s="11">
        <f>$C$2/($C$2*(100/$S6)+$C$2)</f>
        <v>0.7674418604651162</v>
      </c>
      <c r="Y6" s="12">
        <f>$C$2/($C$2*($V6/100)+$C$2)</f>
        <v>0.27397260273972601</v>
      </c>
      <c r="Z6" s="12">
        <f>-1*0.0298*$R6+0.5</f>
        <v>0.70860000000000001</v>
      </c>
      <c r="AA6" s="12">
        <f>0.0298*$R6+0.5</f>
        <v>0.29139999999999999</v>
      </c>
      <c r="AB6" s="12">
        <f>X6-Z6</f>
        <v>5.8841860465116191E-2</v>
      </c>
      <c r="AC6" s="12">
        <f>Y6-AA6</f>
        <v>-1.742739726027398E-2</v>
      </c>
      <c r="AD6" s="12">
        <f>ABS(AB6)+ABS(AC6)</f>
        <v>7.6269257725390172E-2</v>
      </c>
      <c r="AE6" s="51">
        <f>$C$2/AA6</f>
        <v>343.17089910775564</v>
      </c>
      <c r="AF6" s="51">
        <f>W6-AE6</f>
        <v>21.829100892244355</v>
      </c>
      <c r="AG6" s="13">
        <f>-1+(X6+Y6)</f>
        <v>4.14144632048421E-2</v>
      </c>
      <c r="AH6" s="17">
        <f>2*$C$2-$T6</f>
        <v>69.696969696969688</v>
      </c>
      <c r="AI6" s="8">
        <f>2*$C$2-$W6</f>
        <v>-165</v>
      </c>
      <c r="AJ6" s="19">
        <f>($X6*$AH6)+$Y6*$AI6</f>
        <v>8.2828926409684556</v>
      </c>
      <c r="AK6" s="52">
        <f>AH6</f>
        <v>69.696969696969688</v>
      </c>
    </row>
    <row r="7" spans="2:37" x14ac:dyDescent="0.25">
      <c r="B7" s="21"/>
      <c r="C7" s="23" t="s">
        <v>14</v>
      </c>
      <c r="D7" s="21"/>
      <c r="E7" s="21"/>
      <c r="F7" s="29">
        <f>-1+(F5+F6)</f>
        <v>4.3470700747695989E-2</v>
      </c>
      <c r="G7" s="29"/>
      <c r="H7" s="30">
        <f>-1+(H6+H5)</f>
        <v>3.1543751182890656E-2</v>
      </c>
      <c r="I7" s="29"/>
      <c r="J7" s="21"/>
      <c r="L7" s="4">
        <f>1-(L6+L5)</f>
        <v>0</v>
      </c>
      <c r="M7" s="4">
        <f>1-(M6+M5)</f>
        <v>0</v>
      </c>
      <c r="P7" s="5">
        <v>11</v>
      </c>
      <c r="Q7" s="54" t="s">
        <v>179</v>
      </c>
      <c r="R7" s="55">
        <v>-5</v>
      </c>
      <c r="S7" s="55">
        <v>240</v>
      </c>
      <c r="T7" s="56">
        <f>$C$2*(100/$S7)+$C$2</f>
        <v>141.66666666666669</v>
      </c>
      <c r="U7" s="54" t="s">
        <v>26</v>
      </c>
      <c r="V7" s="7">
        <v>200</v>
      </c>
      <c r="W7" s="8">
        <f>$C$2*($V7/100)+$C$2</f>
        <v>300</v>
      </c>
      <c r="X7" s="11">
        <f>$C$2/($C$2*(100/$S7)+$C$2)</f>
        <v>0.70588235294117641</v>
      </c>
      <c r="Y7" s="12">
        <f>$C$2/($C$2*($V7/100)+$C$2)</f>
        <v>0.33333333333333331</v>
      </c>
      <c r="Z7" s="12">
        <f>-1*0.0298*$R7+0.5</f>
        <v>0.64900000000000002</v>
      </c>
      <c r="AA7" s="12">
        <f>0.0298*$R7+0.5</f>
        <v>0.35099999999999998</v>
      </c>
      <c r="AB7" s="12">
        <f>X7-Z7</f>
        <v>5.6882352941176384E-2</v>
      </c>
      <c r="AC7" s="12">
        <f>Y7-AA7</f>
        <v>-1.7666666666666664E-2</v>
      </c>
      <c r="AD7" s="12">
        <f>ABS(AB7)+ABS(AC7)</f>
        <v>7.4549019607843048E-2</v>
      </c>
      <c r="AE7" s="51">
        <f>$C$2/AA7</f>
        <v>284.90028490028493</v>
      </c>
      <c r="AF7" s="51">
        <f>W7-AE7</f>
        <v>15.09971509971507</v>
      </c>
      <c r="AG7" s="13">
        <f>-1+(X7+Y7)</f>
        <v>3.9215686274509665E-2</v>
      </c>
      <c r="AH7" s="17">
        <f>2*$C$2-$T7</f>
        <v>58.333333333333314</v>
      </c>
      <c r="AI7" s="8">
        <f>2*$C$2-$W7</f>
        <v>-100</v>
      </c>
      <c r="AJ7" s="19">
        <f>($X7*$AH7)+$Y7*$AI7</f>
        <v>7.8431372549019471</v>
      </c>
      <c r="AK7" s="52">
        <f>AI7</f>
        <v>-100</v>
      </c>
    </row>
    <row r="8" spans="2:37" x14ac:dyDescent="0.25">
      <c r="B8" s="21" t="s">
        <v>22</v>
      </c>
      <c r="C8" s="23" t="s">
        <v>10</v>
      </c>
      <c r="D8" s="24" t="s">
        <v>4</v>
      </c>
      <c r="E8" s="21">
        <v>245</v>
      </c>
      <c r="F8" s="25">
        <f>((100/$E8)/2)</f>
        <v>0.20408163265306123</v>
      </c>
      <c r="G8" s="25">
        <f>((100/$E8))</f>
        <v>0.40816326530612246</v>
      </c>
      <c r="H8" s="26">
        <f>$C$2/$J8</f>
        <v>0.28985507246376813</v>
      </c>
      <c r="I8" s="27">
        <f>J8-$C$2</f>
        <v>245</v>
      </c>
      <c r="J8" s="22">
        <f>$C$2*(E8/100)+$C$2</f>
        <v>345</v>
      </c>
      <c r="P8" s="5">
        <v>6</v>
      </c>
      <c r="Q8" s="54" t="s">
        <v>20</v>
      </c>
      <c r="R8" s="55">
        <v>-7</v>
      </c>
      <c r="S8" s="55">
        <v>315</v>
      </c>
      <c r="T8" s="56">
        <f>$C$2*(100/$S8)+$C$2</f>
        <v>131.74603174603175</v>
      </c>
      <c r="U8" s="54" t="s">
        <v>31</v>
      </c>
      <c r="V8" s="7">
        <v>265</v>
      </c>
      <c r="W8" s="8">
        <f>$C$2*($V8/100)+$C$2</f>
        <v>365</v>
      </c>
      <c r="X8" s="11">
        <f>$C$2/($C$2*(100/$S8)+$C$2)</f>
        <v>0.75903614457831325</v>
      </c>
      <c r="Y8" s="12">
        <f>$C$2/($C$2*($V8/100)+$C$2)</f>
        <v>0.27397260273972601</v>
      </c>
      <c r="Z8" s="12">
        <f>-1*0.0298*$R8+0.5</f>
        <v>0.70860000000000001</v>
      </c>
      <c r="AA8" s="12">
        <f>0.0298*$R8+0.5</f>
        <v>0.29139999999999999</v>
      </c>
      <c r="AB8" s="12">
        <f>X8-Z8</f>
        <v>5.0436144578313247E-2</v>
      </c>
      <c r="AC8" s="12">
        <f>Y8-AA8</f>
        <v>-1.742739726027398E-2</v>
      </c>
      <c r="AD8" s="12">
        <f>ABS(AB8)+ABS(AC8)</f>
        <v>6.7863541838587227E-2</v>
      </c>
      <c r="AE8" s="51">
        <f>$C$2/AA8</f>
        <v>343.17089910775564</v>
      </c>
      <c r="AF8" s="51">
        <f>W8-AE8</f>
        <v>21.829100892244355</v>
      </c>
      <c r="AG8" s="13">
        <f>-1+(X8+Y8)</f>
        <v>3.3008747318039156E-2</v>
      </c>
      <c r="AH8" s="17">
        <f>2*$C$2-$T8</f>
        <v>68.253968253968253</v>
      </c>
      <c r="AI8" s="8">
        <f>2*$C$2-$W8</f>
        <v>-165</v>
      </c>
      <c r="AJ8" s="19">
        <f>($X8*$AH8)+$Y8*$AI8</f>
        <v>6.6017494636078595</v>
      </c>
      <c r="AK8" s="52">
        <f>AH8</f>
        <v>68.253968253968253</v>
      </c>
    </row>
    <row r="9" spans="2:37" x14ac:dyDescent="0.25">
      <c r="B9" s="21" t="s">
        <v>23</v>
      </c>
      <c r="C9" s="23" t="s">
        <v>11</v>
      </c>
      <c r="D9" s="24" t="s">
        <v>7</v>
      </c>
      <c r="E9" s="21">
        <v>290</v>
      </c>
      <c r="F9" s="28">
        <f>1-((100/$E9)/2)</f>
        <v>0.82758620689655171</v>
      </c>
      <c r="G9" s="25">
        <f>((100/$E9))</f>
        <v>0.34482758620689657</v>
      </c>
      <c r="H9" s="26">
        <f>$C$2/$J9</f>
        <v>0.74358974358974361</v>
      </c>
      <c r="I9" s="27">
        <f>J9-$C$2</f>
        <v>34.482758620689651</v>
      </c>
      <c r="J9" s="22">
        <f>$C$2*(100/E9)+$C$2</f>
        <v>134.48275862068965</v>
      </c>
      <c r="P9" s="5">
        <v>3</v>
      </c>
      <c r="Q9" s="54" t="s">
        <v>23</v>
      </c>
      <c r="R9" s="55">
        <v>-3</v>
      </c>
      <c r="S9" s="55">
        <v>175</v>
      </c>
      <c r="T9" s="56">
        <f>$C$2*(100/$S9)+$C$2</f>
        <v>157.14285714285714</v>
      </c>
      <c r="U9" s="54" t="s">
        <v>27</v>
      </c>
      <c r="V9" s="7">
        <v>155</v>
      </c>
      <c r="W9" s="8">
        <f>$C$2*($V9/100)+$C$2</f>
        <v>255</v>
      </c>
      <c r="X9" s="11">
        <f>$C$2/($C$2*(100/$S9)+$C$2)</f>
        <v>0.63636363636363635</v>
      </c>
      <c r="Y9" s="12">
        <f>$C$2/($C$2*($V9/100)+$C$2)</f>
        <v>0.39215686274509803</v>
      </c>
      <c r="Z9" s="12">
        <f>-1*0.0298*$R9+0.5</f>
        <v>0.58940000000000003</v>
      </c>
      <c r="AA9" s="12">
        <f>0.0298*$R9+0.5</f>
        <v>0.41059999999999997</v>
      </c>
      <c r="AB9" s="12">
        <f>X9-Z9</f>
        <v>4.6963636363636319E-2</v>
      </c>
      <c r="AC9" s="12">
        <f>Y9-AA9</f>
        <v>-1.8443137254901931E-2</v>
      </c>
      <c r="AD9" s="12">
        <f>ABS(AB9)+ABS(AC9)</f>
        <v>6.540677361853825E-2</v>
      </c>
      <c r="AE9" s="51">
        <f>$C$2/AA9</f>
        <v>243.54603019970776</v>
      </c>
      <c r="AF9" s="51">
        <f>W9-AE9</f>
        <v>11.453969800292242</v>
      </c>
      <c r="AG9" s="13">
        <f>-1+(X9+Y9)</f>
        <v>2.8520499108734443E-2</v>
      </c>
      <c r="AH9" s="17">
        <f>2*$C$2-$T9</f>
        <v>42.857142857142861</v>
      </c>
      <c r="AI9" s="8">
        <f>2*$C$2-$W9</f>
        <v>-55</v>
      </c>
      <c r="AJ9" s="19">
        <f>($X9*$AH9)+$Y9*$AI9</f>
        <v>5.7040998217468832</v>
      </c>
      <c r="AK9" s="52">
        <f>AH9</f>
        <v>42.857142857142861</v>
      </c>
    </row>
    <row r="10" spans="2:37" x14ac:dyDescent="0.25">
      <c r="B10" s="21"/>
      <c r="C10" s="23" t="s">
        <v>14</v>
      </c>
      <c r="D10" s="21"/>
      <c r="E10" s="21"/>
      <c r="F10" s="29">
        <f>-1+(F8+F9)</f>
        <v>3.1667839549613053E-2</v>
      </c>
      <c r="G10" s="29"/>
      <c r="H10" s="30">
        <f>-1+(H9+H8)</f>
        <v>3.3444816053511683E-2</v>
      </c>
      <c r="I10" s="29"/>
      <c r="J10" s="21"/>
      <c r="P10" s="5">
        <v>4</v>
      </c>
      <c r="Q10" s="54" t="s">
        <v>41</v>
      </c>
      <c r="R10" s="55">
        <v>-1</v>
      </c>
      <c r="S10" s="55">
        <v>100</v>
      </c>
      <c r="T10" s="56">
        <f>$C$2*(100/$S10)+$C$2</f>
        <v>200</v>
      </c>
      <c r="U10" s="54" t="s">
        <v>29</v>
      </c>
      <c r="V10" s="7">
        <v>100</v>
      </c>
      <c r="W10" s="8">
        <f>$C$2*($V10/100)+$C$2</f>
        <v>200</v>
      </c>
      <c r="X10" s="11">
        <f>$C$2/($C$2*(100/$S10)+$C$2)</f>
        <v>0.5</v>
      </c>
      <c r="Y10" s="12">
        <f>$C$2/($C$2*($V10/100)+$C$2)</f>
        <v>0.5</v>
      </c>
      <c r="Z10" s="12">
        <f>-1*0.0298*$R10+0.5</f>
        <v>0.52980000000000005</v>
      </c>
      <c r="AA10" s="12">
        <f>0.0298*$R10+0.5</f>
        <v>0.47020000000000001</v>
      </c>
      <c r="AB10" s="12">
        <f>X10-Z10</f>
        <v>-2.9800000000000049E-2</v>
      </c>
      <c r="AC10" s="12">
        <f>Y10-AA10</f>
        <v>2.9799999999999993E-2</v>
      </c>
      <c r="AD10" s="12">
        <f>ABS(AB10)+ABS(AC10)</f>
        <v>5.9600000000000042E-2</v>
      </c>
      <c r="AE10" s="51">
        <f>$C$2/AA10</f>
        <v>212.67545725223309</v>
      </c>
      <c r="AF10" s="51">
        <f>W10-AE10</f>
        <v>-12.675457252233088</v>
      </c>
      <c r="AG10" s="13">
        <f>-1+(X10+Y10)</f>
        <v>0</v>
      </c>
      <c r="AH10" s="17">
        <f>2*$C$2-$T10</f>
        <v>0</v>
      </c>
      <c r="AI10" s="8">
        <f>2*$C$2-$W10</f>
        <v>0</v>
      </c>
      <c r="AJ10" s="19">
        <f>($X10*$AH10)+$Y10*$AI10</f>
        <v>0</v>
      </c>
      <c r="AK10" s="52">
        <f>AI10</f>
        <v>0</v>
      </c>
    </row>
    <row r="11" spans="2:37" x14ac:dyDescent="0.25">
      <c r="B11" s="21" t="s">
        <v>24</v>
      </c>
      <c r="C11" s="23" t="s">
        <v>10</v>
      </c>
      <c r="D11" s="24" t="s">
        <v>4</v>
      </c>
      <c r="E11" s="21">
        <v>125</v>
      </c>
      <c r="F11" s="25">
        <f t="shared" ref="F11" si="0">((100/$E11)/2)</f>
        <v>0.4</v>
      </c>
      <c r="G11" s="25">
        <f t="shared" ref="G11:G12" si="1">((100/$E11))</f>
        <v>0.8</v>
      </c>
      <c r="H11" s="26">
        <f t="shared" ref="H11:H12" si="2">$C$2/$J11</f>
        <v>0.44444444444444442</v>
      </c>
      <c r="I11" s="27">
        <f t="shared" ref="I11:I12" si="3">J11-$C$2</f>
        <v>125</v>
      </c>
      <c r="J11" s="22">
        <f t="shared" ref="J11" si="4">$C$2*(E11/100)+$C$2</f>
        <v>225</v>
      </c>
      <c r="P11" s="5">
        <v>1</v>
      </c>
      <c r="Q11" s="54" t="s">
        <v>33</v>
      </c>
      <c r="R11" s="55">
        <v>-5</v>
      </c>
      <c r="S11" s="55">
        <v>225</v>
      </c>
      <c r="T11" s="56">
        <f>$C$2*(100/$S11)+$C$2</f>
        <v>144.44444444444446</v>
      </c>
      <c r="U11" s="54" t="s">
        <v>176</v>
      </c>
      <c r="V11" s="7">
        <v>195</v>
      </c>
      <c r="W11" s="8">
        <f>$C$2*($V11/100)+$C$2</f>
        <v>295</v>
      </c>
      <c r="X11" s="11">
        <f>$C$2/($C$2*(100/$S11)+$C$2)</f>
        <v>0.69230769230769229</v>
      </c>
      <c r="Y11" s="12">
        <f>$C$2/($C$2*($V11/100)+$C$2)</f>
        <v>0.33898305084745761</v>
      </c>
      <c r="Z11" s="12">
        <f>-1*0.0298*$R11+0.5</f>
        <v>0.64900000000000002</v>
      </c>
      <c r="AA11" s="12">
        <f>0.0298*$R11+0.5</f>
        <v>0.35099999999999998</v>
      </c>
      <c r="AB11" s="12">
        <f>X11-Z11</f>
        <v>4.3307692307692269E-2</v>
      </c>
      <c r="AC11" s="12">
        <f>Y11-AA11</f>
        <v>-1.2016949152542367E-2</v>
      </c>
      <c r="AD11" s="12">
        <f>ABS(AB11)+ABS(AC11)</f>
        <v>5.5324641460234636E-2</v>
      </c>
      <c r="AE11" s="51">
        <f>$C$2/AA11</f>
        <v>284.90028490028493</v>
      </c>
      <c r="AF11" s="51">
        <f>W11-AE11</f>
        <v>10.09971509971507</v>
      </c>
      <c r="AG11" s="13">
        <f>-1+(X11+Y11)</f>
        <v>3.1290743155149903E-2</v>
      </c>
      <c r="AH11" s="17">
        <f>2*$C$2-$T11</f>
        <v>55.555555555555543</v>
      </c>
      <c r="AI11" s="8">
        <f>2*$C$2-$W11</f>
        <v>-95</v>
      </c>
      <c r="AJ11" s="19">
        <f>($X11*$AH11)+$Y11*$AI11</f>
        <v>6.2581486310299823</v>
      </c>
      <c r="AK11" s="52">
        <f>AH11</f>
        <v>55.555555555555543</v>
      </c>
    </row>
    <row r="12" spans="2:37" x14ac:dyDescent="0.25">
      <c r="B12" s="21" t="s">
        <v>25</v>
      </c>
      <c r="C12" s="23" t="s">
        <v>11</v>
      </c>
      <c r="D12" s="24" t="s">
        <v>7</v>
      </c>
      <c r="E12" s="21">
        <v>145</v>
      </c>
      <c r="F12" s="28">
        <f t="shared" ref="F12" si="5">1-((100/$E12)/2)</f>
        <v>0.65517241379310343</v>
      </c>
      <c r="G12" s="25">
        <f t="shared" si="1"/>
        <v>0.68965517241379315</v>
      </c>
      <c r="H12" s="26">
        <f t="shared" si="2"/>
        <v>0.59183673469387754</v>
      </c>
      <c r="I12" s="27">
        <f t="shared" si="3"/>
        <v>68.965517241379303</v>
      </c>
      <c r="J12" s="22">
        <f t="shared" ref="J12" si="6">$C$2*(100/E12)+$C$2</f>
        <v>168.9655172413793</v>
      </c>
      <c r="P12" s="61">
        <v>14</v>
      </c>
      <c r="Q12" s="54" t="s">
        <v>42</v>
      </c>
      <c r="R12" s="55">
        <v>-5.5</v>
      </c>
      <c r="S12" s="55">
        <v>225</v>
      </c>
      <c r="T12" s="56">
        <f>$C$2*(100/$S12)+$C$2</f>
        <v>144.44444444444446</v>
      </c>
      <c r="U12" s="54" t="s">
        <v>181</v>
      </c>
      <c r="V12" s="47">
        <v>215</v>
      </c>
      <c r="W12" s="65">
        <f>$C$2*($V12/100)+$C$2</f>
        <v>315</v>
      </c>
      <c r="X12" s="64">
        <f>$C$2/($C$2*(100/$S12)+$C$2)</f>
        <v>0.69230769230769229</v>
      </c>
      <c r="Y12" s="48">
        <f>$C$2/($C$2*($V12/100)+$C$2)</f>
        <v>0.31746031746031744</v>
      </c>
      <c r="Z12" s="48">
        <f>-1*0.0298*$R12+0.5</f>
        <v>0.66389999999999993</v>
      </c>
      <c r="AA12" s="48">
        <f>0.0298*$R12+0.5</f>
        <v>0.33610000000000001</v>
      </c>
      <c r="AB12" s="48">
        <f>X12-Z12</f>
        <v>2.8407692307692356E-2</v>
      </c>
      <c r="AC12" s="48">
        <f>Y12-AA12</f>
        <v>-1.8639682539682567E-2</v>
      </c>
      <c r="AD12" s="48">
        <f>ABS(AB12)+ABS(AC12)</f>
        <v>4.7047374847374923E-2</v>
      </c>
      <c r="AE12" s="62">
        <f>$C$2/AA12</f>
        <v>297.53049687592977</v>
      </c>
      <c r="AF12" s="62">
        <f>W12-AE12</f>
        <v>17.469503124070229</v>
      </c>
      <c r="AG12" s="66">
        <f>-1+(X12+Y12)</f>
        <v>9.7680097680097333E-3</v>
      </c>
      <c r="AH12" s="63">
        <f>2*$C$2-$T12</f>
        <v>55.555555555555543</v>
      </c>
      <c r="AI12" s="65">
        <f>2*$C$2-$W12</f>
        <v>-115</v>
      </c>
      <c r="AJ12" s="67">
        <f>($X12*$AH12)+$Y12*$AI12</f>
        <v>1.9536019536019467</v>
      </c>
      <c r="AK12" s="52">
        <f>AI12</f>
        <v>-115</v>
      </c>
    </row>
    <row r="13" spans="2:37" x14ac:dyDescent="0.25">
      <c r="B13" s="21"/>
      <c r="C13" s="23" t="s">
        <v>14</v>
      </c>
      <c r="D13" s="21"/>
      <c r="E13" s="21"/>
      <c r="F13" s="29">
        <f t="shared" ref="F13" si="7">-1+(F11+F12)</f>
        <v>5.5172413793103559E-2</v>
      </c>
      <c r="G13" s="29"/>
      <c r="H13" s="30">
        <f t="shared" ref="H13" si="8">-1+(H12+H11)</f>
        <v>3.6281179138321962E-2</v>
      </c>
      <c r="I13" s="29"/>
      <c r="J13" s="21"/>
      <c r="P13" s="5">
        <v>5</v>
      </c>
      <c r="Q13" s="54" t="s">
        <v>21</v>
      </c>
      <c r="R13" s="55">
        <v>-1.5</v>
      </c>
      <c r="S13" s="55">
        <v>125</v>
      </c>
      <c r="T13" s="56">
        <f>$C$2*(100/$S13)+$C$2</f>
        <v>180</v>
      </c>
      <c r="U13" s="54" t="s">
        <v>178</v>
      </c>
      <c r="V13" s="7">
        <v>105</v>
      </c>
      <c r="W13" s="8">
        <f>$C$2*($V13/100)+$C$2</f>
        <v>205</v>
      </c>
      <c r="X13" s="11">
        <f>$C$2/($C$2*(100/$S13)+$C$2)</f>
        <v>0.55555555555555558</v>
      </c>
      <c r="Y13" s="12">
        <f>$C$2/($C$2*($V13/100)+$C$2)</f>
        <v>0.48780487804878048</v>
      </c>
      <c r="Z13" s="12">
        <f>-1*0.0298*$R13+0.5</f>
        <v>0.54469999999999996</v>
      </c>
      <c r="AA13" s="12">
        <f>0.0298*$R13+0.5</f>
        <v>0.45529999999999998</v>
      </c>
      <c r="AB13" s="12">
        <f>X13-Z13</f>
        <v>1.0855555555555618E-2</v>
      </c>
      <c r="AC13" s="12">
        <f>Y13-AA13</f>
        <v>3.2504878048780494E-2</v>
      </c>
      <c r="AD13" s="12">
        <f>ABS(AB13)+ABS(AC13)</f>
        <v>4.3360433604336113E-2</v>
      </c>
      <c r="AE13" s="51">
        <f>$C$2/AA13</f>
        <v>219.63540522732265</v>
      </c>
      <c r="AF13" s="51">
        <f>W13-AE13</f>
        <v>-14.63540522732265</v>
      </c>
      <c r="AG13" s="13">
        <f>-1+(X13+Y13)</f>
        <v>4.3360433604336057E-2</v>
      </c>
      <c r="AH13" s="17">
        <f>2*$C$2-$T13</f>
        <v>20</v>
      </c>
      <c r="AI13" s="8">
        <f>2*$C$2-$W13</f>
        <v>-5</v>
      </c>
      <c r="AJ13" s="19">
        <f>($X13*$AH13)+$Y13*$AI13</f>
        <v>8.6720867208672079</v>
      </c>
      <c r="AK13" s="52">
        <f>AH13</f>
        <v>20</v>
      </c>
    </row>
    <row r="14" spans="2:37" x14ac:dyDescent="0.25">
      <c r="B14" s="21" t="s">
        <v>27</v>
      </c>
      <c r="C14" s="23" t="s">
        <v>10</v>
      </c>
      <c r="D14" s="24" t="s">
        <v>4</v>
      </c>
      <c r="E14" s="21">
        <v>105</v>
      </c>
      <c r="F14" s="25">
        <f t="shared" ref="F14" si="9">((100/$E14)/2)</f>
        <v>0.47619047619047616</v>
      </c>
      <c r="G14" s="25">
        <f t="shared" ref="G14:G15" si="10">((100/$E14))</f>
        <v>0.95238095238095233</v>
      </c>
      <c r="H14" s="26">
        <f t="shared" ref="H14:H15" si="11">$C$2/$J14</f>
        <v>0.48780487804878048</v>
      </c>
      <c r="I14" s="27">
        <f t="shared" ref="I14:I15" si="12">J14-$C$2</f>
        <v>105</v>
      </c>
      <c r="J14" s="22">
        <f t="shared" ref="J14" si="13">$C$2*(E14/100)+$C$2</f>
        <v>205</v>
      </c>
      <c r="P14" s="5">
        <v>9</v>
      </c>
      <c r="Q14" s="54" t="s">
        <v>37</v>
      </c>
      <c r="R14" s="55">
        <v>-4.5</v>
      </c>
      <c r="S14" s="55">
        <v>205</v>
      </c>
      <c r="T14" s="56">
        <f>$C$2*(100/$S14)+$C$2</f>
        <v>148.78048780487805</v>
      </c>
      <c r="U14" s="54" t="s">
        <v>44</v>
      </c>
      <c r="V14" s="7">
        <v>175</v>
      </c>
      <c r="W14" s="8">
        <f>$C$2*($V14/100)+$C$2</f>
        <v>275</v>
      </c>
      <c r="X14" s="11">
        <f>$C$2/($C$2*(100/$S14)+$C$2)</f>
        <v>0.67213114754098358</v>
      </c>
      <c r="Y14" s="12">
        <f>$C$2/($C$2*($V14/100)+$C$2)</f>
        <v>0.36363636363636365</v>
      </c>
      <c r="Z14" s="12">
        <f>-1*0.0298*$R14+0.5</f>
        <v>0.6341</v>
      </c>
      <c r="AA14" s="12">
        <f>0.0298*$R14+0.5</f>
        <v>0.3659</v>
      </c>
      <c r="AB14" s="12">
        <f>X14-Z14</f>
        <v>3.8031147540983579E-2</v>
      </c>
      <c r="AC14" s="12">
        <f>Y14-AA14</f>
        <v>-2.2636363636363566E-3</v>
      </c>
      <c r="AD14" s="12">
        <f>ABS(AB14)+ABS(AC14)</f>
        <v>4.0294783904619935E-2</v>
      </c>
      <c r="AE14" s="51">
        <f>$C$2/AA14</f>
        <v>273.29871549603718</v>
      </c>
      <c r="AF14" s="51">
        <f>W14-AE14</f>
        <v>1.7012845039628246</v>
      </c>
      <c r="AG14" s="13">
        <f>-1+(X14+Y14)</f>
        <v>3.5767511177347222E-2</v>
      </c>
      <c r="AH14" s="17">
        <f>2*$C$2-$T14</f>
        <v>51.219512195121951</v>
      </c>
      <c r="AI14" s="8">
        <f>2*$C$2-$W14</f>
        <v>-75</v>
      </c>
      <c r="AJ14" s="19">
        <f>($X14*$AH14)+$Y14*$AI14</f>
        <v>7.1535022354694462</v>
      </c>
      <c r="AK14" s="52">
        <f>AH14</f>
        <v>51.219512195121951</v>
      </c>
    </row>
    <row r="15" spans="2:37" x14ac:dyDescent="0.25">
      <c r="B15" s="21" t="s">
        <v>26</v>
      </c>
      <c r="C15" s="23" t="s">
        <v>11</v>
      </c>
      <c r="D15" s="24" t="s">
        <v>7</v>
      </c>
      <c r="E15" s="21">
        <v>125</v>
      </c>
      <c r="F15" s="28">
        <f t="shared" ref="F15" si="14">1-((100/$E15)/2)</f>
        <v>0.6</v>
      </c>
      <c r="G15" s="25">
        <f t="shared" si="10"/>
        <v>0.8</v>
      </c>
      <c r="H15" s="26">
        <f t="shared" si="11"/>
        <v>0.55555555555555558</v>
      </c>
      <c r="I15" s="27">
        <f t="shared" si="12"/>
        <v>80</v>
      </c>
      <c r="J15" s="22">
        <f t="shared" ref="J15" si="15">$C$2*(100/E15)+$C$2</f>
        <v>180</v>
      </c>
      <c r="P15" s="5">
        <v>12</v>
      </c>
      <c r="Q15" s="57" t="s">
        <v>24</v>
      </c>
      <c r="R15" s="55">
        <v>-1.5</v>
      </c>
      <c r="S15" s="55">
        <v>135</v>
      </c>
      <c r="T15" s="56">
        <f>$C$2*(100/$S15)+$C$2</f>
        <v>174.07407407407408</v>
      </c>
      <c r="U15" s="54" t="s">
        <v>180</v>
      </c>
      <c r="V15" s="7">
        <v>115</v>
      </c>
      <c r="W15" s="8">
        <f>$C$2*($V15/100)+$C$2</f>
        <v>215</v>
      </c>
      <c r="X15" s="11">
        <f>$C$2/($C$2*(100/$S15)+$C$2)</f>
        <v>0.57446808510638292</v>
      </c>
      <c r="Y15" s="12">
        <f>$C$2/($C$2*($V15/100)+$C$2)</f>
        <v>0.46511627906976744</v>
      </c>
      <c r="Z15" s="12">
        <f>-1*0.0298*$R15+0.5</f>
        <v>0.54469999999999996</v>
      </c>
      <c r="AA15" s="12">
        <f>0.0298*$R15+0.5</f>
        <v>0.45529999999999998</v>
      </c>
      <c r="AB15" s="12">
        <f>X15-Z15</f>
        <v>2.9768085106382958E-2</v>
      </c>
      <c r="AC15" s="12">
        <f>Y15-AA15</f>
        <v>9.8162790697674529E-3</v>
      </c>
      <c r="AD15" s="12">
        <f>ABS(AB15)+ABS(AC15)</f>
        <v>3.9584364176150411E-2</v>
      </c>
      <c r="AE15" s="51">
        <f>$C$2/AA15</f>
        <v>219.63540522732265</v>
      </c>
      <c r="AF15" s="51">
        <f>W15-AE15</f>
        <v>-4.63540522732265</v>
      </c>
      <c r="AG15" s="13">
        <f>-1+(X15+Y15)</f>
        <v>3.9584364176150411E-2</v>
      </c>
      <c r="AH15" s="17">
        <f>2*$C$2-$T15</f>
        <v>25.925925925925924</v>
      </c>
      <c r="AI15" s="8">
        <f>2*$C$2-$W15</f>
        <v>-15</v>
      </c>
      <c r="AJ15" s="19">
        <f>($X15*$AH15)+$Y15*$AI15</f>
        <v>7.9168728352300821</v>
      </c>
      <c r="AK15" s="52">
        <f>AH15</f>
        <v>25.925925925925924</v>
      </c>
    </row>
    <row r="16" spans="2:37" x14ac:dyDescent="0.25">
      <c r="B16" s="21"/>
      <c r="C16" s="23" t="s">
        <v>14</v>
      </c>
      <c r="D16" s="21"/>
      <c r="E16" s="21"/>
      <c r="F16" s="29">
        <f t="shared" ref="F16" si="16">-1+(F14+F15)</f>
        <v>7.6190476190476142E-2</v>
      </c>
      <c r="G16" s="29"/>
      <c r="H16" s="30">
        <f t="shared" ref="H16" si="17">-1+(H15+H14)</f>
        <v>4.3360433604336057E-2</v>
      </c>
      <c r="I16" s="29"/>
      <c r="J16" s="21"/>
      <c r="P16" s="5">
        <v>13</v>
      </c>
      <c r="Q16" s="54" t="s">
        <v>38</v>
      </c>
      <c r="R16" s="55">
        <v>-2.5</v>
      </c>
      <c r="S16" s="55">
        <v>150</v>
      </c>
      <c r="T16" s="56">
        <f>$C$2*(100/$S16)+$C$2</f>
        <v>166.66666666666666</v>
      </c>
      <c r="U16" s="54" t="s">
        <v>45</v>
      </c>
      <c r="V16" s="7">
        <v>130</v>
      </c>
      <c r="W16" s="8">
        <f>$C$2*($V16/100)+$C$2</f>
        <v>230</v>
      </c>
      <c r="X16" s="11">
        <f>$C$2/($C$2*(100/$S16)+$C$2)</f>
        <v>0.60000000000000009</v>
      </c>
      <c r="Y16" s="12">
        <f>$C$2/($C$2*($V16/100)+$C$2)</f>
        <v>0.43478260869565216</v>
      </c>
      <c r="Z16" s="12">
        <f>-1*0.0298*$R16+0.5</f>
        <v>0.57450000000000001</v>
      </c>
      <c r="AA16" s="12">
        <f>0.0298*$R16+0.5</f>
        <v>0.42549999999999999</v>
      </c>
      <c r="AB16" s="12">
        <f>X16-Z16</f>
        <v>2.5500000000000078E-2</v>
      </c>
      <c r="AC16" s="12">
        <f>Y16-AA16</f>
        <v>9.2826086956521725E-3</v>
      </c>
      <c r="AD16" s="12">
        <f>ABS(AB16)+ABS(AC16)</f>
        <v>3.4782608695652251E-2</v>
      </c>
      <c r="AE16" s="51">
        <f>$C$2/AA16</f>
        <v>235.01762632197415</v>
      </c>
      <c r="AF16" s="51">
        <f>W16-AE16</f>
        <v>-5.0176263219741486</v>
      </c>
      <c r="AG16" s="13">
        <f>-1+(X16+Y16)</f>
        <v>3.4782608695652195E-2</v>
      </c>
      <c r="AH16" s="17">
        <f>2*$C$2-$T16</f>
        <v>33.333333333333343</v>
      </c>
      <c r="AI16" s="8">
        <f>2*$C$2-$W16</f>
        <v>-30</v>
      </c>
      <c r="AJ16" s="19">
        <f>($X16*$AH16)+$Y16*$AI16</f>
        <v>6.9565217391304426</v>
      </c>
      <c r="AK16" s="52">
        <f>AI16</f>
        <v>-30</v>
      </c>
    </row>
    <row r="17" spans="2:38" ht="15.75" thickBot="1" x14ac:dyDescent="0.3">
      <c r="B17" s="21" t="s">
        <v>28</v>
      </c>
      <c r="C17" s="23" t="s">
        <v>10</v>
      </c>
      <c r="D17" s="24" t="s">
        <v>4</v>
      </c>
      <c r="E17" s="21">
        <v>400</v>
      </c>
      <c r="F17" s="25">
        <f t="shared" ref="F17" si="18">((100/$E17)/2)</f>
        <v>0.125</v>
      </c>
      <c r="G17" s="25">
        <f t="shared" ref="G17:G18" si="19">((100/$E17))</f>
        <v>0.25</v>
      </c>
      <c r="H17" s="26">
        <f t="shared" ref="H17:H18" si="20">$C$2/$J17</f>
        <v>0.2</v>
      </c>
      <c r="I17" s="27">
        <f t="shared" ref="I17:I18" si="21">J17-$C$2</f>
        <v>400</v>
      </c>
      <c r="J17" s="22">
        <f t="shared" ref="J17" si="22">$C$2*(E17/100)+$C$2</f>
        <v>500</v>
      </c>
      <c r="P17" s="6">
        <v>2</v>
      </c>
      <c r="Q17" s="58" t="s">
        <v>177</v>
      </c>
      <c r="R17" s="59">
        <v>-3.5</v>
      </c>
      <c r="S17" s="59">
        <v>165</v>
      </c>
      <c r="T17" s="60">
        <f>$C$2*(100/$S17)+$C$2</f>
        <v>160.60606060606062</v>
      </c>
      <c r="U17" s="58" t="s">
        <v>35</v>
      </c>
      <c r="V17" s="9">
        <v>145</v>
      </c>
      <c r="W17" s="10">
        <f>$C$2*($V17/100)+$C$2</f>
        <v>245</v>
      </c>
      <c r="X17" s="14">
        <f>$C$2/($C$2*(100/$S17)+$C$2)</f>
        <v>0.62264150943396224</v>
      </c>
      <c r="Y17" s="15">
        <f>$C$2/($C$2*($V17/100)+$C$2)</f>
        <v>0.40816326530612246</v>
      </c>
      <c r="Z17" s="12">
        <f>-1*0.0298*$R17+0.5</f>
        <v>0.60430000000000006</v>
      </c>
      <c r="AA17" s="12">
        <f>0.0298*$R17+0.5</f>
        <v>0.3957</v>
      </c>
      <c r="AB17" s="12">
        <f>X17-Z17</f>
        <v>1.8341509433962178E-2</v>
      </c>
      <c r="AC17" s="12">
        <f>Y17-AA17</f>
        <v>1.2463265306122462E-2</v>
      </c>
      <c r="AD17" s="12">
        <f>ABS(AB17)+ABS(AC17)</f>
        <v>3.0804774740084639E-2</v>
      </c>
      <c r="AE17" s="51">
        <f>$C$2/AA17</f>
        <v>252.71670457417235</v>
      </c>
      <c r="AF17" s="51">
        <f>W17-AE17</f>
        <v>-7.7167045741723541</v>
      </c>
      <c r="AG17" s="16">
        <f>-1+(X17+Y17)</f>
        <v>3.0804774740084806E-2</v>
      </c>
      <c r="AH17" s="18">
        <f>2*$C$2-$T17</f>
        <v>39.393939393939377</v>
      </c>
      <c r="AI17" s="10">
        <f>2*$C$2-$W17</f>
        <v>-45</v>
      </c>
      <c r="AJ17" s="20">
        <f>($X17*$AH17)+$Y17*$AI17</f>
        <v>6.1609549480169292</v>
      </c>
      <c r="AK17" s="52">
        <f>AH17</f>
        <v>39.393939393939377</v>
      </c>
    </row>
    <row r="18" spans="2:38" x14ac:dyDescent="0.25">
      <c r="B18" s="21" t="s">
        <v>29</v>
      </c>
      <c r="C18" s="23" t="s">
        <v>11</v>
      </c>
      <c r="D18" s="24" t="s">
        <v>7</v>
      </c>
      <c r="E18" s="21">
        <v>475</v>
      </c>
      <c r="F18" s="28">
        <f t="shared" ref="F18" si="23">1-((100/$E18)/2)</f>
        <v>0.89473684210526316</v>
      </c>
      <c r="G18" s="25">
        <f t="shared" si="19"/>
        <v>0.21052631578947367</v>
      </c>
      <c r="H18" s="26">
        <f t="shared" si="20"/>
        <v>0.82608695652173914</v>
      </c>
      <c r="I18" s="27">
        <f t="shared" si="21"/>
        <v>21.05263157894737</v>
      </c>
      <c r="J18" s="22">
        <f t="shared" ref="J18" si="24">$C$2*(100/E18)+$C$2</f>
        <v>121.05263157894737</v>
      </c>
      <c r="P18" s="5">
        <v>8</v>
      </c>
      <c r="Q18" s="54" t="s">
        <v>39</v>
      </c>
      <c r="R18" s="55">
        <v>-10</v>
      </c>
      <c r="S18" s="55">
        <v>440</v>
      </c>
      <c r="T18" s="56">
        <f>$C$2*(100/$S18)+$C$2</f>
        <v>122.72727272727272</v>
      </c>
      <c r="U18" s="54" t="s">
        <v>36</v>
      </c>
      <c r="V18" s="7">
        <v>370</v>
      </c>
      <c r="W18" s="8">
        <f>$C$2*($V18/100)+$C$2</f>
        <v>470</v>
      </c>
      <c r="X18" s="11">
        <f>$C$2/($C$2*(100/$S18)+$C$2)</f>
        <v>0.81481481481481488</v>
      </c>
      <c r="Y18" s="12">
        <f>$C$2/($C$2*($V18/100)+$C$2)</f>
        <v>0.21276595744680851</v>
      </c>
      <c r="Z18" s="12">
        <f>-1*0.0298*$R18+0.5</f>
        <v>0.79800000000000004</v>
      </c>
      <c r="AA18" s="12">
        <f>0.0298*$R18+0.5</f>
        <v>0.20200000000000001</v>
      </c>
      <c r="AB18" s="12">
        <f>X18-Z18</f>
        <v>1.6814814814814838E-2</v>
      </c>
      <c r="AC18" s="12">
        <f>Y18-AA18</f>
        <v>1.07659574468085E-2</v>
      </c>
      <c r="AD18" s="12">
        <f>ABS(AB18)+ABS(AC18)</f>
        <v>2.7580772261623338E-2</v>
      </c>
      <c r="AE18" s="51">
        <f>$C$2/AA18</f>
        <v>495.04950495049502</v>
      </c>
      <c r="AF18" s="51">
        <f>W18-AE18</f>
        <v>-25.04950495049502</v>
      </c>
      <c r="AG18" s="13">
        <f>-1+(X18+Y18)</f>
        <v>2.7580772261623476E-2</v>
      </c>
      <c r="AH18" s="17">
        <f>2*$C$2-$T18</f>
        <v>77.27272727272728</v>
      </c>
      <c r="AI18" s="8">
        <f>2*$C$2-$W18</f>
        <v>-270</v>
      </c>
      <c r="AJ18" s="19">
        <f>($X18*$AH18)+$Y18*$AI18</f>
        <v>5.5161544523246775</v>
      </c>
      <c r="AK18" s="52">
        <f>SUM(AK5:AK17)</f>
        <v>210.5117095307975</v>
      </c>
      <c r="AL18" s="53">
        <f>AK18/(13*2*C2)</f>
        <v>8.0966042127229812E-2</v>
      </c>
    </row>
    <row r="19" spans="2:38" x14ac:dyDescent="0.25">
      <c r="B19" s="21"/>
      <c r="C19" s="23" t="s">
        <v>14</v>
      </c>
      <c r="D19" s="21"/>
      <c r="E19" s="21"/>
      <c r="F19" s="29">
        <f t="shared" ref="F19" si="25">-1+(F17+F18)</f>
        <v>1.9736842105263275E-2</v>
      </c>
      <c r="G19" s="29"/>
      <c r="H19" s="30">
        <f t="shared" ref="H19" si="26">-1+(H18+H17)</f>
        <v>2.6086956521739202E-2</v>
      </c>
      <c r="I19" s="29"/>
      <c r="J19" s="21"/>
    </row>
    <row r="20" spans="2:38" x14ac:dyDescent="0.25">
      <c r="B20" s="21" t="s">
        <v>30</v>
      </c>
      <c r="C20" s="23" t="s">
        <v>10</v>
      </c>
      <c r="D20" s="24" t="s">
        <v>4</v>
      </c>
      <c r="E20" s="21">
        <v>475</v>
      </c>
      <c r="F20" s="25">
        <f t="shared" ref="F20" si="27">((100/$E20)/2)</f>
        <v>0.10526315789473684</v>
      </c>
      <c r="G20" s="25">
        <f t="shared" ref="G20:G21" si="28">((100/$E20))</f>
        <v>0.21052631578947367</v>
      </c>
      <c r="H20" s="26">
        <f t="shared" ref="H20:H21" si="29">$C$2/$J20</f>
        <v>0.17391304347826086</v>
      </c>
      <c r="I20" s="27">
        <f t="shared" ref="I20:I21" si="30">J20-$C$2</f>
        <v>475</v>
      </c>
      <c r="J20" s="22">
        <f t="shared" ref="J20" si="31">$C$2*(E20/100)+$C$2</f>
        <v>575</v>
      </c>
    </row>
    <row r="21" spans="2:38" x14ac:dyDescent="0.25">
      <c r="B21" s="21" t="s">
        <v>31</v>
      </c>
      <c r="C21" s="23" t="s">
        <v>11</v>
      </c>
      <c r="D21" s="24" t="s">
        <v>7</v>
      </c>
      <c r="E21" s="21">
        <v>600</v>
      </c>
      <c r="F21" s="28">
        <f t="shared" ref="F21" si="32">1-((100/$E21)/2)</f>
        <v>0.91666666666666663</v>
      </c>
      <c r="G21" s="25">
        <f t="shared" si="28"/>
        <v>0.16666666666666666</v>
      </c>
      <c r="H21" s="26">
        <f t="shared" si="29"/>
        <v>0.85714285714285721</v>
      </c>
      <c r="I21" s="27">
        <f t="shared" si="30"/>
        <v>16.666666666666657</v>
      </c>
      <c r="J21" s="22">
        <f t="shared" ref="J21" si="33">$C$2*(100/E21)+$C$2</f>
        <v>116.66666666666666</v>
      </c>
    </row>
    <row r="22" spans="2:38" x14ac:dyDescent="0.25">
      <c r="B22" s="21"/>
      <c r="C22" s="23" t="s">
        <v>14</v>
      </c>
      <c r="D22" s="21"/>
      <c r="E22" s="21"/>
      <c r="F22" s="29">
        <f t="shared" ref="F22" si="34">-1+(F20+F21)</f>
        <v>2.1929824561403466E-2</v>
      </c>
      <c r="G22" s="29"/>
      <c r="H22" s="30">
        <f t="shared" ref="H22" si="35">-1+(H21+H20)</f>
        <v>3.105590062111796E-2</v>
      </c>
      <c r="I22" s="29"/>
      <c r="J22" s="21"/>
    </row>
    <row r="23" spans="2:38" x14ac:dyDescent="0.25">
      <c r="B23" s="21" t="s">
        <v>32</v>
      </c>
      <c r="C23" s="23" t="s">
        <v>10</v>
      </c>
      <c r="D23" s="24" t="s">
        <v>4</v>
      </c>
      <c r="E23" s="21">
        <v>105</v>
      </c>
      <c r="F23" s="25">
        <f t="shared" ref="F23" si="36">((100/$E23)/2)</f>
        <v>0.47619047619047616</v>
      </c>
      <c r="G23" s="25">
        <f t="shared" ref="G23:G24" si="37">((100/$E23))</f>
        <v>0.95238095238095233</v>
      </c>
      <c r="H23" s="26">
        <f t="shared" ref="H23:H24" si="38">$C$2/$J23</f>
        <v>0.48780487804878048</v>
      </c>
      <c r="I23" s="27">
        <f t="shared" ref="I23:I24" si="39">J23-$C$2</f>
        <v>105</v>
      </c>
      <c r="J23" s="22">
        <f t="shared" ref="J23" si="40">$C$2*(E23/100)+$C$2</f>
        <v>205</v>
      </c>
    </row>
    <row r="24" spans="2:38" x14ac:dyDescent="0.25">
      <c r="B24" s="21" t="s">
        <v>33</v>
      </c>
      <c r="C24" s="23" t="s">
        <v>11</v>
      </c>
      <c r="D24" s="24" t="s">
        <v>7</v>
      </c>
      <c r="E24" s="21">
        <v>125</v>
      </c>
      <c r="F24" s="28">
        <f t="shared" ref="F24" si="41">1-((100/$E24)/2)</f>
        <v>0.6</v>
      </c>
      <c r="G24" s="25">
        <f t="shared" si="37"/>
        <v>0.8</v>
      </c>
      <c r="H24" s="26">
        <f t="shared" si="38"/>
        <v>0.55555555555555558</v>
      </c>
      <c r="I24" s="27">
        <f t="shared" si="39"/>
        <v>80</v>
      </c>
      <c r="J24" s="22">
        <f t="shared" ref="J24" si="42">$C$2*(100/E24)+$C$2</f>
        <v>180</v>
      </c>
    </row>
    <row r="25" spans="2:38" x14ac:dyDescent="0.25">
      <c r="B25" s="21"/>
      <c r="C25" s="23" t="s">
        <v>14</v>
      </c>
      <c r="D25" s="21"/>
      <c r="E25" s="21"/>
      <c r="F25" s="29">
        <f t="shared" ref="F25" si="43">-1+(F23+F24)</f>
        <v>7.6190476190476142E-2</v>
      </c>
      <c r="G25" s="29"/>
      <c r="H25" s="30">
        <f t="shared" ref="H25" si="44">-1+(H24+H23)</f>
        <v>4.3360433604336057E-2</v>
      </c>
      <c r="I25" s="29"/>
      <c r="J25" s="21"/>
    </row>
    <row r="26" spans="2:38" x14ac:dyDescent="0.25">
      <c r="B26" s="21" t="s">
        <v>34</v>
      </c>
      <c r="C26" s="23" t="s">
        <v>10</v>
      </c>
      <c r="D26" s="24" t="s">
        <v>4</v>
      </c>
      <c r="E26" s="21">
        <v>105</v>
      </c>
      <c r="F26" s="25">
        <f t="shared" ref="F26" si="45">((100/$E26)/2)</f>
        <v>0.47619047619047616</v>
      </c>
      <c r="G26" s="25">
        <f t="shared" ref="G26:G27" si="46">((100/$E26))</f>
        <v>0.95238095238095233</v>
      </c>
      <c r="H26" s="26">
        <f t="shared" ref="H26:H27" si="47">$C$2/$J26</f>
        <v>0.48780487804878048</v>
      </c>
      <c r="I26" s="27">
        <f t="shared" ref="I26:I27" si="48">J26-$C$2</f>
        <v>105</v>
      </c>
      <c r="J26" s="22">
        <f t="shared" ref="J26" si="49">$C$2*(E26/100)+$C$2</f>
        <v>205</v>
      </c>
    </row>
    <row r="27" spans="2:38" x14ac:dyDescent="0.25">
      <c r="B27" s="21" t="s">
        <v>35</v>
      </c>
      <c r="C27" s="23" t="s">
        <v>11</v>
      </c>
      <c r="D27" s="24" t="s">
        <v>7</v>
      </c>
      <c r="E27" s="21">
        <v>125</v>
      </c>
      <c r="F27" s="28">
        <f t="shared" ref="F27" si="50">1-((100/$E27)/2)</f>
        <v>0.6</v>
      </c>
      <c r="G27" s="25">
        <f t="shared" si="46"/>
        <v>0.8</v>
      </c>
      <c r="H27" s="26">
        <f t="shared" si="47"/>
        <v>0.55555555555555558</v>
      </c>
      <c r="I27" s="27">
        <f t="shared" si="48"/>
        <v>80</v>
      </c>
      <c r="J27" s="22">
        <f t="shared" ref="J27" si="51">$C$2*(100/E27)+$C$2</f>
        <v>180</v>
      </c>
    </row>
    <row r="28" spans="2:38" x14ac:dyDescent="0.25">
      <c r="B28" s="21"/>
      <c r="C28" s="23" t="s">
        <v>14</v>
      </c>
      <c r="D28" s="21"/>
      <c r="E28" s="21"/>
      <c r="F28" s="29">
        <f t="shared" ref="F28" si="52">-1+(F26+F27)</f>
        <v>7.6190476190476142E-2</v>
      </c>
      <c r="G28" s="29"/>
      <c r="H28" s="30">
        <f t="shared" ref="H28" si="53">-1+(H27+H26)</f>
        <v>4.3360433604336057E-2</v>
      </c>
      <c r="I28" s="29"/>
      <c r="J28" s="21"/>
    </row>
    <row r="29" spans="2:38" x14ac:dyDescent="0.25">
      <c r="B29" s="21" t="s">
        <v>36</v>
      </c>
      <c r="C29" s="23" t="s">
        <v>10</v>
      </c>
      <c r="D29" s="24" t="s">
        <v>4</v>
      </c>
      <c r="E29" s="21">
        <v>410</v>
      </c>
      <c r="F29" s="25">
        <f t="shared" ref="F29:F38" si="54">((100/$E29)/2)</f>
        <v>0.12195121951219512</v>
      </c>
      <c r="G29" s="25">
        <f t="shared" ref="G29:G42" si="55">((100/$E29))</f>
        <v>0.24390243902439024</v>
      </c>
      <c r="H29" s="26">
        <f t="shared" ref="H29:H42" si="56">$C$2/$J29</f>
        <v>0.19607843137254904</v>
      </c>
      <c r="I29" s="27">
        <f t="shared" ref="I29:I42" si="57">J29-$C$2</f>
        <v>409.99999999999994</v>
      </c>
      <c r="J29" s="22">
        <f t="shared" ref="J29" si="58">$C$2*(E29/100)+$C$2</f>
        <v>509.99999999999994</v>
      </c>
    </row>
    <row r="30" spans="2:38" x14ac:dyDescent="0.25">
      <c r="B30" s="21" t="s">
        <v>37</v>
      </c>
      <c r="C30" s="23" t="s">
        <v>11</v>
      </c>
      <c r="D30" s="24" t="s">
        <v>7</v>
      </c>
      <c r="E30" s="21">
        <v>505</v>
      </c>
      <c r="F30" s="28">
        <f t="shared" ref="F30:F33" si="59">1-((100/$E30)/2)</f>
        <v>0.90099009900990101</v>
      </c>
      <c r="G30" s="25">
        <f t="shared" si="55"/>
        <v>0.19801980198019803</v>
      </c>
      <c r="H30" s="26">
        <f t="shared" si="56"/>
        <v>0.83471074380165289</v>
      </c>
      <c r="I30" s="27">
        <f t="shared" si="57"/>
        <v>19.801980198019805</v>
      </c>
      <c r="J30" s="22">
        <f t="shared" ref="J30" si="60">$C$2*(100/E30)+$C$2</f>
        <v>119.80198019801981</v>
      </c>
    </row>
    <row r="31" spans="2:38" x14ac:dyDescent="0.25">
      <c r="B31" s="21"/>
      <c r="C31" s="23" t="s">
        <v>14</v>
      </c>
      <c r="D31" s="21"/>
      <c r="E31" s="21"/>
      <c r="F31" s="29">
        <f t="shared" ref="F31" si="61">-1+(F29+F30)</f>
        <v>2.2941318522096132E-2</v>
      </c>
      <c r="G31" s="29"/>
      <c r="H31" s="30">
        <f t="shared" ref="H31" si="62">-1+(H30+H29)</f>
        <v>3.0789175174201988E-2</v>
      </c>
      <c r="I31" s="29"/>
      <c r="J31" s="21"/>
    </row>
    <row r="32" spans="2:38" x14ac:dyDescent="0.25">
      <c r="B32" s="21" t="s">
        <v>38</v>
      </c>
      <c r="C32" s="23" t="s">
        <v>10</v>
      </c>
      <c r="D32" s="24" t="s">
        <v>4</v>
      </c>
      <c r="E32" s="21">
        <v>145</v>
      </c>
      <c r="F32" s="25">
        <f t="shared" si="54"/>
        <v>0.34482758620689657</v>
      </c>
      <c r="G32" s="25">
        <f t="shared" si="55"/>
        <v>0.68965517241379315</v>
      </c>
      <c r="H32" s="26">
        <f t="shared" si="56"/>
        <v>0.40816326530612246</v>
      </c>
      <c r="I32" s="27">
        <f t="shared" si="57"/>
        <v>145</v>
      </c>
      <c r="J32" s="22">
        <f t="shared" ref="J32" si="63">$C$2*(E32/100)+$C$2</f>
        <v>245</v>
      </c>
    </row>
    <row r="33" spans="2:10" x14ac:dyDescent="0.25">
      <c r="B33" s="21" t="s">
        <v>39</v>
      </c>
      <c r="C33" s="23" t="s">
        <v>11</v>
      </c>
      <c r="D33" s="24" t="s">
        <v>7</v>
      </c>
      <c r="E33" s="21">
        <v>165</v>
      </c>
      <c r="F33" s="28">
        <f t="shared" si="59"/>
        <v>0.69696969696969702</v>
      </c>
      <c r="G33" s="25">
        <f t="shared" si="55"/>
        <v>0.60606060606060608</v>
      </c>
      <c r="H33" s="26">
        <f t="shared" si="56"/>
        <v>0.62264150943396224</v>
      </c>
      <c r="I33" s="27">
        <f t="shared" si="57"/>
        <v>60.606060606060623</v>
      </c>
      <c r="J33" s="22">
        <f t="shared" ref="J33" si="64">$C$2*(100/E33)+$C$2</f>
        <v>160.60606060606062</v>
      </c>
    </row>
    <row r="34" spans="2:10" x14ac:dyDescent="0.25">
      <c r="B34" s="21"/>
      <c r="C34" s="23" t="s">
        <v>14</v>
      </c>
      <c r="D34" s="21"/>
      <c r="E34" s="21"/>
      <c r="F34" s="29">
        <f t="shared" ref="F34" si="65">-1+(F32+F33)</f>
        <v>4.1797283176593591E-2</v>
      </c>
      <c r="G34" s="29"/>
      <c r="H34" s="30">
        <f t="shared" ref="H34" si="66">-1+(H33+H32)</f>
        <v>3.0804774740084806E-2</v>
      </c>
      <c r="I34" s="29"/>
      <c r="J34" s="21"/>
    </row>
    <row r="35" spans="2:10" x14ac:dyDescent="0.25">
      <c r="B35" s="21" t="s">
        <v>40</v>
      </c>
      <c r="C35" s="23" t="s">
        <v>10</v>
      </c>
      <c r="D35" s="24" t="s">
        <v>4</v>
      </c>
      <c r="E35" s="21">
        <v>1000</v>
      </c>
      <c r="F35" s="25">
        <f t="shared" si="54"/>
        <v>0.05</v>
      </c>
      <c r="G35" s="25">
        <f t="shared" si="55"/>
        <v>0.1</v>
      </c>
      <c r="H35" s="26">
        <f t="shared" si="56"/>
        <v>9.0909090909090912E-2</v>
      </c>
      <c r="I35" s="27">
        <f t="shared" si="57"/>
        <v>1000</v>
      </c>
      <c r="J35" s="22">
        <f t="shared" ref="J35" si="67">$C$2*(E35/100)+$C$2</f>
        <v>1100</v>
      </c>
    </row>
    <row r="36" spans="2:10" x14ac:dyDescent="0.25">
      <c r="B36" s="21" t="s">
        <v>41</v>
      </c>
      <c r="C36" s="23" t="s">
        <v>11</v>
      </c>
      <c r="D36" s="24" t="s">
        <v>7</v>
      </c>
      <c r="E36" s="21">
        <v>1550</v>
      </c>
      <c r="F36" s="28">
        <f t="shared" ref="F36:F42" si="68">1-((100/$E36)/2)</f>
        <v>0.967741935483871</v>
      </c>
      <c r="G36" s="25">
        <f t="shared" si="55"/>
        <v>6.4516129032258063E-2</v>
      </c>
      <c r="H36" s="26">
        <f t="shared" si="56"/>
        <v>0.93939393939393934</v>
      </c>
      <c r="I36" s="27">
        <f t="shared" si="57"/>
        <v>6.4516129032258078</v>
      </c>
      <c r="J36" s="22">
        <f t="shared" ref="J36" si="69">$C$2*(100/E36)+$C$2</f>
        <v>106.45161290322581</v>
      </c>
    </row>
    <row r="37" spans="2:10" x14ac:dyDescent="0.25">
      <c r="B37" s="21"/>
      <c r="C37" s="23" t="s">
        <v>14</v>
      </c>
      <c r="D37" s="21"/>
      <c r="E37" s="21"/>
      <c r="F37" s="29">
        <f t="shared" ref="F37" si="70">-1+(F35+F36)</f>
        <v>1.7741935483871041E-2</v>
      </c>
      <c r="G37" s="29"/>
      <c r="H37" s="30">
        <f t="shared" ref="H37" si="71">-1+(H36+H35)</f>
        <v>3.0303030303030276E-2</v>
      </c>
      <c r="I37" s="29"/>
      <c r="J37" s="21"/>
    </row>
    <row r="38" spans="2:10" x14ac:dyDescent="0.25">
      <c r="B38" s="21" t="s">
        <v>42</v>
      </c>
      <c r="C38" s="23" t="s">
        <v>10</v>
      </c>
      <c r="D38" s="24" t="s">
        <v>4</v>
      </c>
      <c r="E38" s="21">
        <v>95</v>
      </c>
      <c r="F38" s="25">
        <f t="shared" si="54"/>
        <v>0.52631578947368418</v>
      </c>
      <c r="G38" s="25">
        <f t="shared" si="55"/>
        <v>1.0526315789473684</v>
      </c>
      <c r="H38" s="26">
        <f t="shared" si="56"/>
        <v>0.51282051282051277</v>
      </c>
      <c r="I38" s="27">
        <f t="shared" si="57"/>
        <v>95</v>
      </c>
      <c r="J38" s="22">
        <f t="shared" ref="J38" si="72">$C$2*(E38/100)+$C$2</f>
        <v>195</v>
      </c>
    </row>
    <row r="39" spans="2:10" x14ac:dyDescent="0.25">
      <c r="B39" s="21" t="s">
        <v>43</v>
      </c>
      <c r="C39" s="23" t="s">
        <v>11</v>
      </c>
      <c r="D39" s="24" t="s">
        <v>7</v>
      </c>
      <c r="E39" s="21">
        <v>115</v>
      </c>
      <c r="F39" s="28">
        <f t="shared" si="68"/>
        <v>0.56521739130434789</v>
      </c>
      <c r="G39" s="25">
        <f t="shared" si="55"/>
        <v>0.86956521739130432</v>
      </c>
      <c r="H39" s="26">
        <f t="shared" si="56"/>
        <v>0.53488372093023251</v>
      </c>
      <c r="I39" s="27">
        <f t="shared" si="57"/>
        <v>86.956521739130437</v>
      </c>
      <c r="J39" s="22">
        <f t="shared" ref="J39" si="73">$C$2*(100/E39)+$C$2</f>
        <v>186.95652173913044</v>
      </c>
    </row>
    <row r="40" spans="2:10" x14ac:dyDescent="0.25">
      <c r="B40" s="21"/>
      <c r="C40" s="23" t="s">
        <v>14</v>
      </c>
      <c r="D40" s="21"/>
      <c r="E40" s="21"/>
      <c r="F40" s="29">
        <f t="shared" ref="F40" si="74">-1+(F38+F39)</f>
        <v>9.1533180778032186E-2</v>
      </c>
      <c r="G40" s="29"/>
      <c r="H40" s="30">
        <f t="shared" ref="H40" si="75">-1+(H39+H38)</f>
        <v>4.7704233750745395E-2</v>
      </c>
      <c r="I40" s="29"/>
      <c r="J40" s="21"/>
    </row>
    <row r="41" spans="2:10" x14ac:dyDescent="0.25">
      <c r="B41" s="21" t="s">
        <v>44</v>
      </c>
      <c r="C41" s="23" t="s">
        <v>10</v>
      </c>
      <c r="D41" s="24" t="s">
        <v>4</v>
      </c>
      <c r="E41" s="21">
        <v>160</v>
      </c>
      <c r="F41" s="25">
        <f t="shared" ref="F41" si="76">((100/$E41)/2)</f>
        <v>0.3125</v>
      </c>
      <c r="G41" s="25">
        <f t="shared" si="55"/>
        <v>0.625</v>
      </c>
      <c r="H41" s="26">
        <f t="shared" si="56"/>
        <v>0.38461538461538464</v>
      </c>
      <c r="I41" s="27">
        <f t="shared" si="57"/>
        <v>160</v>
      </c>
      <c r="J41" s="22">
        <f t="shared" ref="J41" si="77">$C$2*(E41/100)+$C$2</f>
        <v>260</v>
      </c>
    </row>
    <row r="42" spans="2:10" x14ac:dyDescent="0.25">
      <c r="B42" s="21" t="s">
        <v>45</v>
      </c>
      <c r="C42" s="23" t="s">
        <v>11</v>
      </c>
      <c r="D42" s="24" t="s">
        <v>7</v>
      </c>
      <c r="E42" s="21">
        <v>185</v>
      </c>
      <c r="F42" s="28">
        <f t="shared" si="68"/>
        <v>0.72972972972972971</v>
      </c>
      <c r="G42" s="25">
        <f t="shared" si="55"/>
        <v>0.54054054054054057</v>
      </c>
      <c r="H42" s="26">
        <f t="shared" si="56"/>
        <v>0.64912280701754377</v>
      </c>
      <c r="I42" s="27">
        <f t="shared" si="57"/>
        <v>54.054054054054063</v>
      </c>
      <c r="J42" s="22">
        <f t="shared" ref="J42" si="78">$C$2*(100/E42)+$C$2</f>
        <v>154.05405405405406</v>
      </c>
    </row>
    <row r="43" spans="2:10" x14ac:dyDescent="0.25">
      <c r="B43" s="21"/>
      <c r="C43" s="23" t="s">
        <v>14</v>
      </c>
      <c r="D43" s="21"/>
      <c r="E43" s="21"/>
      <c r="F43" s="29">
        <f t="shared" ref="F43" si="79">-1+(F41+F42)</f>
        <v>4.2229729729729826E-2</v>
      </c>
      <c r="G43" s="29"/>
      <c r="H43" s="30">
        <f t="shared" ref="H43" si="80">-1+(H42+H41)</f>
        <v>3.373819163292846E-2</v>
      </c>
      <c r="I43" s="29"/>
      <c r="J43" s="21"/>
    </row>
  </sheetData>
  <autoFilter ref="P4:AJ17">
    <sortState ref="P5:AJ18">
      <sortCondition descending="1" ref="AD4:AD17"/>
    </sortState>
  </autoFilter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3"/>
  <sheetViews>
    <sheetView topLeftCell="C52" workbookViewId="0">
      <selection activeCell="E12" activeCellId="1" sqref="B12:B74 E12:E74"/>
    </sheetView>
  </sheetViews>
  <sheetFormatPr defaultRowHeight="15" x14ac:dyDescent="0.25"/>
  <sheetData>
    <row r="2" spans="2:8" ht="24.75" thickBot="1" x14ac:dyDescent="0.3">
      <c r="B2" s="43" t="s">
        <v>55</v>
      </c>
      <c r="C2" s="43" t="s">
        <v>56</v>
      </c>
      <c r="D2" s="43" t="s">
        <v>57</v>
      </c>
      <c r="E2" s="43" t="s">
        <v>58</v>
      </c>
      <c r="F2" s="43" t="s">
        <v>59</v>
      </c>
      <c r="G2" s="43" t="s">
        <v>60</v>
      </c>
      <c r="H2" s="43" t="s">
        <v>61</v>
      </c>
    </row>
    <row r="3" spans="2:8" ht="15.75" thickBot="1" x14ac:dyDescent="0.3">
      <c r="B3" s="44">
        <v>-26.5</v>
      </c>
      <c r="C3" s="44">
        <v>1</v>
      </c>
      <c r="D3" s="44" t="s">
        <v>62</v>
      </c>
      <c r="E3" s="45">
        <v>1</v>
      </c>
      <c r="F3" s="44">
        <v>16</v>
      </c>
      <c r="G3" s="44" t="s">
        <v>63</v>
      </c>
      <c r="H3" s="45">
        <v>0</v>
      </c>
    </row>
    <row r="4" spans="2:8" ht="15.75" thickBot="1" x14ac:dyDescent="0.3">
      <c r="B4" s="44">
        <v>-24</v>
      </c>
      <c r="C4" s="44">
        <v>1</v>
      </c>
      <c r="D4" s="44" t="s">
        <v>62</v>
      </c>
      <c r="E4" s="45">
        <v>1</v>
      </c>
      <c r="F4" s="44">
        <v>3</v>
      </c>
      <c r="G4" s="44" t="s">
        <v>63</v>
      </c>
      <c r="H4" s="45">
        <v>0</v>
      </c>
    </row>
    <row r="5" spans="2:8" ht="15.75" thickBot="1" x14ac:dyDescent="0.3">
      <c r="B5" s="44">
        <v>-22</v>
      </c>
      <c r="C5" s="44">
        <v>1</v>
      </c>
      <c r="D5" s="44" t="s">
        <v>62</v>
      </c>
      <c r="E5" s="45">
        <v>1</v>
      </c>
      <c r="F5" s="44">
        <v>21</v>
      </c>
      <c r="G5" s="44" t="s">
        <v>63</v>
      </c>
      <c r="H5" s="45">
        <v>0</v>
      </c>
    </row>
    <row r="6" spans="2:8" ht="15.75" thickBot="1" x14ac:dyDescent="0.3">
      <c r="B6" s="44">
        <v>-20.5</v>
      </c>
      <c r="C6" s="44">
        <v>2</v>
      </c>
      <c r="D6" s="44" t="s">
        <v>64</v>
      </c>
      <c r="E6" s="45">
        <v>1</v>
      </c>
      <c r="F6" s="44">
        <v>8.5</v>
      </c>
      <c r="G6" s="44" t="s">
        <v>65</v>
      </c>
      <c r="H6" s="45">
        <v>0</v>
      </c>
    </row>
    <row r="7" spans="2:8" ht="15.75" thickBot="1" x14ac:dyDescent="0.3">
      <c r="B7" s="44">
        <v>-19.5</v>
      </c>
      <c r="C7" s="44">
        <v>1</v>
      </c>
      <c r="D7" s="44" t="s">
        <v>62</v>
      </c>
      <c r="E7" s="45">
        <v>1</v>
      </c>
      <c r="F7" s="44">
        <v>28</v>
      </c>
      <c r="G7" s="44" t="s">
        <v>62</v>
      </c>
      <c r="H7" s="45">
        <v>1</v>
      </c>
    </row>
    <row r="8" spans="2:8" ht="15.75" thickBot="1" x14ac:dyDescent="0.3">
      <c r="B8" s="44">
        <v>-19</v>
      </c>
      <c r="C8" s="44">
        <v>1</v>
      </c>
      <c r="D8" s="44" t="s">
        <v>62</v>
      </c>
      <c r="E8" s="45">
        <v>1</v>
      </c>
      <c r="F8" s="44">
        <v>3</v>
      </c>
      <c r="G8" s="44" t="s">
        <v>63</v>
      </c>
      <c r="H8" s="45">
        <v>0</v>
      </c>
    </row>
    <row r="9" spans="2:8" ht="15.75" thickBot="1" x14ac:dyDescent="0.3">
      <c r="B9" s="44">
        <v>-17.5</v>
      </c>
      <c r="C9" s="44">
        <v>1</v>
      </c>
      <c r="D9" s="44" t="s">
        <v>62</v>
      </c>
      <c r="E9" s="45">
        <v>1</v>
      </c>
      <c r="F9" s="44">
        <v>14</v>
      </c>
      <c r="G9" s="44" t="s">
        <v>63</v>
      </c>
      <c r="H9" s="45">
        <v>0</v>
      </c>
    </row>
    <row r="10" spans="2:8" ht="15.75" thickBot="1" x14ac:dyDescent="0.3">
      <c r="B10" s="44">
        <v>-17</v>
      </c>
      <c r="C10" s="44">
        <v>5</v>
      </c>
      <c r="D10" s="44" t="s">
        <v>66</v>
      </c>
      <c r="E10" s="45">
        <v>1</v>
      </c>
      <c r="F10" s="44">
        <v>19.600000000000001</v>
      </c>
      <c r="G10" s="46">
        <v>36924</v>
      </c>
      <c r="H10" s="45">
        <v>0.5</v>
      </c>
    </row>
    <row r="11" spans="2:8" ht="15.75" thickBot="1" x14ac:dyDescent="0.3">
      <c r="B11" s="44">
        <v>-16.5</v>
      </c>
      <c r="C11" s="44">
        <v>4</v>
      </c>
      <c r="D11" s="44" t="s">
        <v>67</v>
      </c>
      <c r="E11" s="45">
        <v>1</v>
      </c>
      <c r="F11" s="44">
        <v>20</v>
      </c>
      <c r="G11" s="46">
        <v>36558</v>
      </c>
      <c r="H11" s="45">
        <v>0.5</v>
      </c>
    </row>
    <row r="12" spans="2:8" ht="15.75" thickBot="1" x14ac:dyDescent="0.3">
      <c r="B12" s="44">
        <v>-16</v>
      </c>
      <c r="C12" s="44">
        <v>14</v>
      </c>
      <c r="D12" s="44" t="s">
        <v>68</v>
      </c>
      <c r="E12" s="45">
        <v>1</v>
      </c>
      <c r="F12" s="44">
        <v>17.79</v>
      </c>
      <c r="G12" s="46">
        <v>37049</v>
      </c>
      <c r="H12" s="45">
        <v>0.46200000000000002</v>
      </c>
    </row>
    <row r="13" spans="2:8" ht="15.75" thickBot="1" x14ac:dyDescent="0.3">
      <c r="B13" s="44">
        <v>-15.5</v>
      </c>
      <c r="C13" s="44">
        <v>8</v>
      </c>
      <c r="D13" s="44" t="s">
        <v>69</v>
      </c>
      <c r="E13" s="45">
        <v>1</v>
      </c>
      <c r="F13" s="44">
        <v>19.88</v>
      </c>
      <c r="G13" s="46">
        <v>36679</v>
      </c>
      <c r="H13" s="45">
        <v>0.75</v>
      </c>
    </row>
    <row r="14" spans="2:8" ht="15.75" thickBot="1" x14ac:dyDescent="0.3">
      <c r="B14" s="44">
        <v>-15</v>
      </c>
      <c r="C14" s="44">
        <v>4</v>
      </c>
      <c r="D14" s="44" t="s">
        <v>67</v>
      </c>
      <c r="E14" s="45">
        <v>1</v>
      </c>
      <c r="F14" s="44">
        <v>19.5</v>
      </c>
      <c r="G14" s="46">
        <v>36558</v>
      </c>
      <c r="H14" s="45">
        <v>0.5</v>
      </c>
    </row>
    <row r="15" spans="2:8" ht="15.75" thickBot="1" x14ac:dyDescent="0.3">
      <c r="B15" s="44">
        <v>-14.5</v>
      </c>
      <c r="C15" s="44">
        <v>9</v>
      </c>
      <c r="D15" s="46">
        <v>36739</v>
      </c>
      <c r="E15" s="45">
        <v>0.88900000000000001</v>
      </c>
      <c r="F15" s="44">
        <v>10.33</v>
      </c>
      <c r="G15" s="46">
        <v>36591</v>
      </c>
      <c r="H15" s="45">
        <v>0.33300000000000002</v>
      </c>
    </row>
    <row r="16" spans="2:8" ht="15.75" thickBot="1" x14ac:dyDescent="0.3">
      <c r="B16" s="44">
        <v>-14</v>
      </c>
      <c r="C16" s="44">
        <v>36</v>
      </c>
      <c r="D16" s="44" t="s">
        <v>70</v>
      </c>
      <c r="E16" s="45">
        <v>0.91700000000000004</v>
      </c>
      <c r="F16" s="44">
        <v>14.61</v>
      </c>
      <c r="G16" s="44" t="s">
        <v>71</v>
      </c>
      <c r="H16" s="45">
        <v>0.42899999999999999</v>
      </c>
    </row>
    <row r="17" spans="2:8" ht="15.75" thickBot="1" x14ac:dyDescent="0.3">
      <c r="B17" s="44">
        <v>-13.5</v>
      </c>
      <c r="C17" s="44">
        <v>26</v>
      </c>
      <c r="D17" s="44" t="s">
        <v>72</v>
      </c>
      <c r="E17" s="45">
        <v>0.82699999999999996</v>
      </c>
      <c r="F17" s="44">
        <v>17.420000000000002</v>
      </c>
      <c r="G17" s="44" t="s">
        <v>73</v>
      </c>
      <c r="H17" s="45">
        <v>0.53800000000000003</v>
      </c>
    </row>
    <row r="18" spans="2:8" ht="15.75" thickBot="1" x14ac:dyDescent="0.3">
      <c r="B18" s="44">
        <v>-13</v>
      </c>
      <c r="C18" s="44">
        <v>37</v>
      </c>
      <c r="D18" s="44" t="s">
        <v>74</v>
      </c>
      <c r="E18" s="45">
        <v>0.83799999999999997</v>
      </c>
      <c r="F18" s="44">
        <v>9.51</v>
      </c>
      <c r="G18" s="44" t="s">
        <v>75</v>
      </c>
      <c r="H18" s="45">
        <v>0.432</v>
      </c>
    </row>
    <row r="19" spans="2:8" ht="15.75" thickBot="1" x14ac:dyDescent="0.3">
      <c r="B19" s="44">
        <v>-12.5</v>
      </c>
      <c r="C19" s="44">
        <v>23</v>
      </c>
      <c r="D19" s="44" t="s">
        <v>76</v>
      </c>
      <c r="E19" s="45">
        <v>0.73899999999999999</v>
      </c>
      <c r="F19" s="44">
        <v>8.17</v>
      </c>
      <c r="G19" s="46">
        <v>36723</v>
      </c>
      <c r="H19" s="45">
        <v>0.30399999999999999</v>
      </c>
    </row>
    <row r="20" spans="2:8" ht="15.75" thickBot="1" x14ac:dyDescent="0.3">
      <c r="B20" s="44">
        <v>-12</v>
      </c>
      <c r="C20" s="44">
        <v>13</v>
      </c>
      <c r="D20" s="46">
        <v>36802</v>
      </c>
      <c r="E20" s="45">
        <v>0.76900000000000002</v>
      </c>
      <c r="F20" s="44">
        <v>7.38</v>
      </c>
      <c r="G20" s="46">
        <v>36625</v>
      </c>
      <c r="H20" s="45">
        <v>0.308</v>
      </c>
    </row>
    <row r="21" spans="2:8" ht="15.75" thickBot="1" x14ac:dyDescent="0.3">
      <c r="B21" s="44">
        <v>-11.5</v>
      </c>
      <c r="C21" s="44">
        <v>23</v>
      </c>
      <c r="D21" s="44" t="s">
        <v>77</v>
      </c>
      <c r="E21" s="45">
        <v>0.82599999999999996</v>
      </c>
      <c r="F21" s="44">
        <v>12.09</v>
      </c>
      <c r="G21" s="44" t="s">
        <v>78</v>
      </c>
      <c r="H21" s="45">
        <v>0.56499999999999995</v>
      </c>
    </row>
    <row r="22" spans="2:8" ht="15.75" thickBot="1" x14ac:dyDescent="0.3">
      <c r="B22" s="44">
        <v>-11</v>
      </c>
      <c r="C22" s="44">
        <v>42</v>
      </c>
      <c r="D22" s="44" t="s">
        <v>79</v>
      </c>
      <c r="E22" s="45">
        <v>0.95199999999999996</v>
      </c>
      <c r="F22" s="44">
        <v>11.31</v>
      </c>
      <c r="G22" s="44" t="s">
        <v>80</v>
      </c>
      <c r="H22" s="45">
        <v>0.35699999999999998</v>
      </c>
    </row>
    <row r="23" spans="2:8" ht="15.75" thickBot="1" x14ac:dyDescent="0.3">
      <c r="B23" s="44">
        <v>-10.5</v>
      </c>
      <c r="C23" s="44">
        <v>47</v>
      </c>
      <c r="D23" s="44" t="s">
        <v>81</v>
      </c>
      <c r="E23" s="45">
        <v>0.80900000000000005</v>
      </c>
      <c r="F23" s="44">
        <v>12.11</v>
      </c>
      <c r="G23" s="44" t="s">
        <v>82</v>
      </c>
      <c r="H23" s="45">
        <v>0.48899999999999999</v>
      </c>
    </row>
    <row r="24" spans="2:8" ht="15.75" thickBot="1" x14ac:dyDescent="0.3">
      <c r="B24" s="44">
        <v>-10</v>
      </c>
      <c r="C24" s="44">
        <v>106</v>
      </c>
      <c r="D24" s="44" t="s">
        <v>83</v>
      </c>
      <c r="E24" s="45">
        <v>0.82099999999999995</v>
      </c>
      <c r="F24" s="44">
        <v>11.27</v>
      </c>
      <c r="G24" s="44" t="s">
        <v>84</v>
      </c>
      <c r="H24" s="45">
        <v>0.53500000000000003</v>
      </c>
    </row>
    <row r="25" spans="2:8" ht="15.75" thickBot="1" x14ac:dyDescent="0.3">
      <c r="B25" s="44">
        <v>-9.5</v>
      </c>
      <c r="C25" s="44">
        <v>97</v>
      </c>
      <c r="D25" s="44" t="s">
        <v>85</v>
      </c>
      <c r="E25" s="45">
        <v>0.82</v>
      </c>
      <c r="F25" s="44">
        <v>11.43</v>
      </c>
      <c r="G25" s="44" t="s">
        <v>86</v>
      </c>
      <c r="H25" s="45">
        <v>0.495</v>
      </c>
    </row>
    <row r="26" spans="2:8" ht="15.75" thickBot="1" x14ac:dyDescent="0.3">
      <c r="B26" s="44">
        <v>-9</v>
      </c>
      <c r="C26" s="44">
        <v>119</v>
      </c>
      <c r="D26" s="44" t="s">
        <v>87</v>
      </c>
      <c r="E26" s="45">
        <v>0.75600000000000001</v>
      </c>
      <c r="F26" s="44">
        <v>9.43</v>
      </c>
      <c r="G26" s="44" t="s">
        <v>88</v>
      </c>
      <c r="H26" s="45">
        <v>0.504</v>
      </c>
    </row>
    <row r="27" spans="2:8" ht="15.75" thickBot="1" x14ac:dyDescent="0.3">
      <c r="B27" s="44">
        <v>-8.5</v>
      </c>
      <c r="C27" s="44">
        <v>18</v>
      </c>
      <c r="D27" s="44" t="s">
        <v>89</v>
      </c>
      <c r="E27" s="45">
        <v>0.83299999999999996</v>
      </c>
      <c r="F27" s="44">
        <v>13.22</v>
      </c>
      <c r="G27" s="46">
        <v>36837</v>
      </c>
      <c r="H27" s="45">
        <v>0.61099999999999999</v>
      </c>
    </row>
    <row r="28" spans="2:8" ht="15.75" thickBot="1" x14ac:dyDescent="0.3">
      <c r="B28" s="44">
        <v>-8</v>
      </c>
      <c r="C28" s="44">
        <v>27</v>
      </c>
      <c r="D28" s="44" t="s">
        <v>90</v>
      </c>
      <c r="E28" s="45">
        <v>0.70399999999999996</v>
      </c>
      <c r="F28" s="44">
        <v>7.52</v>
      </c>
      <c r="G28" s="46">
        <v>37239</v>
      </c>
      <c r="H28" s="45">
        <v>0.46200000000000002</v>
      </c>
    </row>
    <row r="29" spans="2:8" ht="15.75" thickBot="1" x14ac:dyDescent="0.3">
      <c r="B29" s="44">
        <v>-7.5</v>
      </c>
      <c r="C29" s="44">
        <v>85</v>
      </c>
      <c r="D29" s="44" t="s">
        <v>91</v>
      </c>
      <c r="E29" s="45">
        <v>0.74099999999999999</v>
      </c>
      <c r="F29" s="44">
        <v>7.18</v>
      </c>
      <c r="G29" s="44" t="s">
        <v>92</v>
      </c>
      <c r="H29" s="45">
        <v>0.47099999999999997</v>
      </c>
    </row>
    <row r="30" spans="2:8" ht="24.75" thickBot="1" x14ac:dyDescent="0.3">
      <c r="B30" s="44">
        <v>-7</v>
      </c>
      <c r="C30" s="44">
        <v>240</v>
      </c>
      <c r="D30" s="44" t="s">
        <v>93</v>
      </c>
      <c r="E30" s="45">
        <v>0.73099999999999998</v>
      </c>
      <c r="F30" s="44">
        <v>8.5</v>
      </c>
      <c r="G30" s="44" t="s">
        <v>94</v>
      </c>
      <c r="H30" s="45">
        <v>0.48299999999999998</v>
      </c>
    </row>
    <row r="31" spans="2:8" ht="15.75" thickBot="1" x14ac:dyDescent="0.3">
      <c r="B31" s="44">
        <v>-6.5</v>
      </c>
      <c r="C31" s="44">
        <v>145</v>
      </c>
      <c r="D31" s="44" t="s">
        <v>95</v>
      </c>
      <c r="E31" s="45">
        <v>0.66900000000000004</v>
      </c>
      <c r="F31" s="44">
        <v>6.57</v>
      </c>
      <c r="G31" s="44" t="s">
        <v>96</v>
      </c>
      <c r="H31" s="45">
        <v>0.46200000000000002</v>
      </c>
    </row>
    <row r="32" spans="2:8" ht="15.75" thickBot="1" x14ac:dyDescent="0.3">
      <c r="B32" s="44">
        <v>-6</v>
      </c>
      <c r="C32" s="44">
        <v>141</v>
      </c>
      <c r="D32" s="44" t="s">
        <v>97</v>
      </c>
      <c r="E32" s="45">
        <v>0.73399999999999999</v>
      </c>
      <c r="F32" s="44">
        <v>7.33</v>
      </c>
      <c r="G32" s="44" t="s">
        <v>98</v>
      </c>
      <c r="H32" s="45">
        <v>0.52900000000000003</v>
      </c>
    </row>
    <row r="33" spans="2:8" ht="15.75" thickBot="1" x14ac:dyDescent="0.3">
      <c r="B33" s="44">
        <v>-5.5</v>
      </c>
      <c r="C33" s="44">
        <v>99</v>
      </c>
      <c r="D33" s="44" t="s">
        <v>99</v>
      </c>
      <c r="E33" s="45">
        <v>0.69699999999999995</v>
      </c>
      <c r="F33" s="44">
        <v>7.42</v>
      </c>
      <c r="G33" s="44" t="s">
        <v>100</v>
      </c>
      <c r="H33" s="45">
        <v>0.56599999999999995</v>
      </c>
    </row>
    <row r="34" spans="2:8" ht="15.75" thickBot="1" x14ac:dyDescent="0.3">
      <c r="B34" s="44">
        <v>-5</v>
      </c>
      <c r="C34" s="44">
        <v>60</v>
      </c>
      <c r="D34" s="44" t="s">
        <v>101</v>
      </c>
      <c r="E34" s="45">
        <v>0.7</v>
      </c>
      <c r="F34" s="44">
        <v>5.68</v>
      </c>
      <c r="G34" s="44" t="s">
        <v>102</v>
      </c>
      <c r="H34" s="45">
        <v>0.5</v>
      </c>
    </row>
    <row r="35" spans="2:8" ht="15.75" thickBot="1" x14ac:dyDescent="0.3">
      <c r="B35" s="44">
        <v>-4.5</v>
      </c>
      <c r="C35" s="44">
        <v>133</v>
      </c>
      <c r="D35" s="44" t="s">
        <v>103</v>
      </c>
      <c r="E35" s="45">
        <v>0.68400000000000005</v>
      </c>
      <c r="F35" s="44">
        <v>5.82</v>
      </c>
      <c r="G35" s="44" t="s">
        <v>104</v>
      </c>
      <c r="H35" s="45">
        <v>0.54900000000000004</v>
      </c>
    </row>
    <row r="36" spans="2:8" ht="15.75" thickBot="1" x14ac:dyDescent="0.3">
      <c r="B36" s="44">
        <v>-4</v>
      </c>
      <c r="C36" s="44">
        <v>144</v>
      </c>
      <c r="D36" s="44" t="s">
        <v>105</v>
      </c>
      <c r="E36" s="45">
        <v>0.67400000000000004</v>
      </c>
      <c r="F36" s="44">
        <v>4.47</v>
      </c>
      <c r="G36" s="44" t="s">
        <v>106</v>
      </c>
      <c r="H36" s="45">
        <v>0.54700000000000004</v>
      </c>
    </row>
    <row r="37" spans="2:8" ht="15.75" thickBot="1" x14ac:dyDescent="0.3">
      <c r="B37" s="44">
        <v>-3.5</v>
      </c>
      <c r="C37" s="44">
        <v>269</v>
      </c>
      <c r="D37" s="44" t="s">
        <v>107</v>
      </c>
      <c r="E37" s="45">
        <v>0.66200000000000003</v>
      </c>
      <c r="F37" s="44">
        <v>5.13</v>
      </c>
      <c r="G37" s="44" t="s">
        <v>108</v>
      </c>
      <c r="H37" s="45">
        <v>0.54600000000000004</v>
      </c>
    </row>
    <row r="38" spans="2:8" ht="24.75" thickBot="1" x14ac:dyDescent="0.3">
      <c r="B38" s="44">
        <v>-3</v>
      </c>
      <c r="C38" s="44">
        <v>535</v>
      </c>
      <c r="D38" s="44" t="s">
        <v>109</v>
      </c>
      <c r="E38" s="45">
        <v>0.54</v>
      </c>
      <c r="F38" s="44">
        <v>1.87</v>
      </c>
      <c r="G38" s="44" t="s">
        <v>110</v>
      </c>
      <c r="H38" s="45">
        <v>0.44400000000000001</v>
      </c>
    </row>
    <row r="39" spans="2:8" ht="15.75" thickBot="1" x14ac:dyDescent="0.3">
      <c r="B39" s="44">
        <v>-2.5</v>
      </c>
      <c r="C39" s="44">
        <v>138</v>
      </c>
      <c r="D39" s="44" t="s">
        <v>111</v>
      </c>
      <c r="E39" s="45">
        <v>0.51400000000000001</v>
      </c>
      <c r="F39" s="44">
        <v>1.59</v>
      </c>
      <c r="G39" s="44" t="s">
        <v>112</v>
      </c>
      <c r="H39" s="45">
        <v>0.44900000000000001</v>
      </c>
    </row>
    <row r="40" spans="2:8" ht="15.75" thickBot="1" x14ac:dyDescent="0.3">
      <c r="B40" s="44">
        <v>-2</v>
      </c>
      <c r="C40" s="44">
        <v>40</v>
      </c>
      <c r="D40" s="44" t="s">
        <v>113</v>
      </c>
      <c r="E40" s="45">
        <v>0.55000000000000004</v>
      </c>
      <c r="F40" s="44">
        <v>1.58</v>
      </c>
      <c r="G40" s="44" t="s">
        <v>114</v>
      </c>
      <c r="H40" s="45">
        <v>0.51400000000000001</v>
      </c>
    </row>
    <row r="41" spans="2:8" ht="15.75" thickBot="1" x14ac:dyDescent="0.3">
      <c r="B41" s="44">
        <v>-1.5</v>
      </c>
      <c r="C41" s="44">
        <v>58</v>
      </c>
      <c r="D41" s="44" t="s">
        <v>115</v>
      </c>
      <c r="E41" s="45">
        <v>0.55200000000000005</v>
      </c>
      <c r="F41" s="44">
        <v>0.62</v>
      </c>
      <c r="G41" s="44" t="s">
        <v>116</v>
      </c>
      <c r="H41" s="45">
        <v>0.53400000000000003</v>
      </c>
    </row>
    <row r="42" spans="2:8" ht="15.75" thickBot="1" x14ac:dyDescent="0.3">
      <c r="B42" s="44">
        <v>-1</v>
      </c>
      <c r="C42" s="44">
        <v>296</v>
      </c>
      <c r="D42" s="44" t="s">
        <v>117</v>
      </c>
      <c r="E42" s="45">
        <v>0.57099999999999995</v>
      </c>
      <c r="F42" s="44">
        <v>1.27</v>
      </c>
      <c r="G42" s="44" t="s">
        <v>118</v>
      </c>
      <c r="H42" s="45">
        <v>0.55900000000000005</v>
      </c>
    </row>
    <row r="43" spans="2:8" ht="15.75" thickBot="1" x14ac:dyDescent="0.3">
      <c r="B43" s="44">
        <v>0</v>
      </c>
      <c r="C43" s="44">
        <v>18</v>
      </c>
      <c r="D43" s="46">
        <v>36778</v>
      </c>
      <c r="E43" s="45">
        <v>0.5</v>
      </c>
      <c r="F43" s="44">
        <v>0</v>
      </c>
      <c r="G43" s="46">
        <v>36778</v>
      </c>
      <c r="H43" s="45">
        <v>0.5</v>
      </c>
    </row>
    <row r="44" spans="2:8" ht="15.75" thickBot="1" x14ac:dyDescent="0.3">
      <c r="B44" s="44">
        <v>1</v>
      </c>
      <c r="C44" s="44">
        <v>296</v>
      </c>
      <c r="D44" s="44" t="s">
        <v>119</v>
      </c>
      <c r="E44" s="45">
        <v>0.42899999999999999</v>
      </c>
      <c r="F44" s="44">
        <v>-1.27</v>
      </c>
      <c r="G44" s="44" t="s">
        <v>120</v>
      </c>
      <c r="H44" s="45">
        <v>0.441</v>
      </c>
    </row>
    <row r="45" spans="2:8" ht="15.75" thickBot="1" x14ac:dyDescent="0.3">
      <c r="B45" s="44">
        <v>1.5</v>
      </c>
      <c r="C45" s="44">
        <v>58</v>
      </c>
      <c r="D45" s="44" t="s">
        <v>121</v>
      </c>
      <c r="E45" s="45">
        <v>0.44800000000000001</v>
      </c>
      <c r="F45" s="44">
        <v>-0.62</v>
      </c>
      <c r="G45" s="44" t="s">
        <v>122</v>
      </c>
      <c r="H45" s="45">
        <v>0.46600000000000003</v>
      </c>
    </row>
    <row r="46" spans="2:8" ht="15.75" thickBot="1" x14ac:dyDescent="0.3">
      <c r="B46" s="44">
        <v>2</v>
      </c>
      <c r="C46" s="44">
        <v>40</v>
      </c>
      <c r="D46" s="44" t="s">
        <v>123</v>
      </c>
      <c r="E46" s="45">
        <v>0.45</v>
      </c>
      <c r="F46" s="44">
        <v>-1.58</v>
      </c>
      <c r="G46" s="44" t="s">
        <v>124</v>
      </c>
      <c r="H46" s="45">
        <v>0.48599999999999999</v>
      </c>
    </row>
    <row r="47" spans="2:8" ht="15.75" thickBot="1" x14ac:dyDescent="0.3">
      <c r="B47" s="44">
        <v>2.5</v>
      </c>
      <c r="C47" s="44">
        <v>138</v>
      </c>
      <c r="D47" s="44" t="s">
        <v>125</v>
      </c>
      <c r="E47" s="45">
        <v>0.48599999999999999</v>
      </c>
      <c r="F47" s="44">
        <v>-1.59</v>
      </c>
      <c r="G47" s="44" t="s">
        <v>126</v>
      </c>
      <c r="H47" s="45">
        <v>0.55100000000000005</v>
      </c>
    </row>
    <row r="48" spans="2:8" ht="24.75" thickBot="1" x14ac:dyDescent="0.3">
      <c r="B48" s="44">
        <v>3</v>
      </c>
      <c r="C48" s="44">
        <v>535</v>
      </c>
      <c r="D48" s="44" t="s">
        <v>127</v>
      </c>
      <c r="E48" s="45">
        <v>0.46</v>
      </c>
      <c r="F48" s="44">
        <v>-1.87</v>
      </c>
      <c r="G48" s="44" t="s">
        <v>128</v>
      </c>
      <c r="H48" s="45">
        <v>0.55600000000000005</v>
      </c>
    </row>
    <row r="49" spans="2:8" ht="15.75" thickBot="1" x14ac:dyDescent="0.3">
      <c r="B49" s="44">
        <v>3.5</v>
      </c>
      <c r="C49" s="44">
        <v>269</v>
      </c>
      <c r="D49" s="44" t="s">
        <v>129</v>
      </c>
      <c r="E49" s="45">
        <v>0.33800000000000002</v>
      </c>
      <c r="F49" s="44">
        <v>-5.13</v>
      </c>
      <c r="G49" s="44" t="s">
        <v>130</v>
      </c>
      <c r="H49" s="45">
        <v>0.45400000000000001</v>
      </c>
    </row>
    <row r="50" spans="2:8" ht="15.75" thickBot="1" x14ac:dyDescent="0.3">
      <c r="B50" s="44">
        <v>4</v>
      </c>
      <c r="C50" s="44">
        <v>144</v>
      </c>
      <c r="D50" s="44" t="s">
        <v>131</v>
      </c>
      <c r="E50" s="45">
        <v>0.32600000000000001</v>
      </c>
      <c r="F50" s="44">
        <v>-4.47</v>
      </c>
      <c r="G50" s="44" t="s">
        <v>132</v>
      </c>
      <c r="H50" s="45">
        <v>0.45300000000000001</v>
      </c>
    </row>
    <row r="51" spans="2:8" ht="15.75" thickBot="1" x14ac:dyDescent="0.3">
      <c r="B51" s="44">
        <v>4.5</v>
      </c>
      <c r="C51" s="44">
        <v>133</v>
      </c>
      <c r="D51" s="44" t="s">
        <v>133</v>
      </c>
      <c r="E51" s="45">
        <v>0.316</v>
      </c>
      <c r="F51" s="44">
        <v>-5.82</v>
      </c>
      <c r="G51" s="44" t="s">
        <v>134</v>
      </c>
      <c r="H51" s="45">
        <v>0.45100000000000001</v>
      </c>
    </row>
    <row r="52" spans="2:8" ht="15.75" thickBot="1" x14ac:dyDescent="0.3">
      <c r="B52" s="44">
        <v>5</v>
      </c>
      <c r="C52" s="44">
        <v>60</v>
      </c>
      <c r="D52" s="44" t="s">
        <v>135</v>
      </c>
      <c r="E52" s="45">
        <v>0.3</v>
      </c>
      <c r="F52" s="44">
        <v>-5.68</v>
      </c>
      <c r="G52" s="44" t="s">
        <v>102</v>
      </c>
      <c r="H52" s="45">
        <v>0.5</v>
      </c>
    </row>
    <row r="53" spans="2:8" ht="15.75" thickBot="1" x14ac:dyDescent="0.3">
      <c r="B53" s="44">
        <v>5.5</v>
      </c>
      <c r="C53" s="44">
        <v>99</v>
      </c>
      <c r="D53" s="44" t="s">
        <v>136</v>
      </c>
      <c r="E53" s="45">
        <v>0.30299999999999999</v>
      </c>
      <c r="F53" s="44">
        <v>-7.42</v>
      </c>
      <c r="G53" s="44" t="s">
        <v>137</v>
      </c>
      <c r="H53" s="45">
        <v>0.434</v>
      </c>
    </row>
    <row r="54" spans="2:8" ht="15.75" thickBot="1" x14ac:dyDescent="0.3">
      <c r="B54" s="44">
        <v>6</v>
      </c>
      <c r="C54" s="44">
        <v>141</v>
      </c>
      <c r="D54" s="44" t="s">
        <v>138</v>
      </c>
      <c r="E54" s="45">
        <v>0.26600000000000001</v>
      </c>
      <c r="F54" s="44">
        <v>-7.33</v>
      </c>
      <c r="G54" s="44" t="s">
        <v>139</v>
      </c>
      <c r="H54" s="45">
        <v>0.47099999999999997</v>
      </c>
    </row>
    <row r="55" spans="2:8" ht="15.75" thickBot="1" x14ac:dyDescent="0.3">
      <c r="B55" s="44">
        <v>6.5</v>
      </c>
      <c r="C55" s="44">
        <v>145</v>
      </c>
      <c r="D55" s="44" t="s">
        <v>140</v>
      </c>
      <c r="E55" s="45">
        <v>0.33100000000000002</v>
      </c>
      <c r="F55" s="44">
        <v>-6.57</v>
      </c>
      <c r="G55" s="44" t="s">
        <v>141</v>
      </c>
      <c r="H55" s="45">
        <v>0.53800000000000003</v>
      </c>
    </row>
    <row r="56" spans="2:8" ht="24.75" thickBot="1" x14ac:dyDescent="0.3">
      <c r="B56" s="44">
        <v>7</v>
      </c>
      <c r="C56" s="44">
        <v>240</v>
      </c>
      <c r="D56" s="44" t="s">
        <v>142</v>
      </c>
      <c r="E56" s="45">
        <v>0.26900000000000002</v>
      </c>
      <c r="F56" s="44">
        <v>-8.5</v>
      </c>
      <c r="G56" s="44" t="s">
        <v>143</v>
      </c>
      <c r="H56" s="45">
        <v>0.51700000000000002</v>
      </c>
    </row>
    <row r="57" spans="2:8" ht="15.75" thickBot="1" x14ac:dyDescent="0.3">
      <c r="B57" s="44">
        <v>7.5</v>
      </c>
      <c r="C57" s="44">
        <v>85</v>
      </c>
      <c r="D57" s="44" t="s">
        <v>144</v>
      </c>
      <c r="E57" s="45">
        <v>0.25900000000000001</v>
      </c>
      <c r="F57" s="44">
        <v>-7.18</v>
      </c>
      <c r="G57" s="44" t="s">
        <v>145</v>
      </c>
      <c r="H57" s="45">
        <v>0.52900000000000003</v>
      </c>
    </row>
    <row r="58" spans="2:8" ht="15.75" thickBot="1" x14ac:dyDescent="0.3">
      <c r="B58" s="44">
        <v>8</v>
      </c>
      <c r="C58" s="44">
        <v>27</v>
      </c>
      <c r="D58" s="46">
        <v>36757</v>
      </c>
      <c r="E58" s="45">
        <v>0.29599999999999999</v>
      </c>
      <c r="F58" s="44">
        <v>-7.52</v>
      </c>
      <c r="G58" s="44" t="s">
        <v>146</v>
      </c>
      <c r="H58" s="45">
        <v>0.53800000000000003</v>
      </c>
    </row>
    <row r="59" spans="2:8" ht="15.75" thickBot="1" x14ac:dyDescent="0.3">
      <c r="B59" s="44">
        <v>8.5</v>
      </c>
      <c r="C59" s="44">
        <v>18</v>
      </c>
      <c r="D59" s="46">
        <v>36600</v>
      </c>
      <c r="E59" s="45">
        <v>0.16700000000000001</v>
      </c>
      <c r="F59" s="44">
        <v>-13.22</v>
      </c>
      <c r="G59" s="46">
        <v>36718</v>
      </c>
      <c r="H59" s="45">
        <v>0.38900000000000001</v>
      </c>
    </row>
    <row r="60" spans="2:8" ht="15.75" thickBot="1" x14ac:dyDescent="0.3">
      <c r="B60" s="44">
        <v>9</v>
      </c>
      <c r="C60" s="44">
        <v>119</v>
      </c>
      <c r="D60" s="44" t="s">
        <v>147</v>
      </c>
      <c r="E60" s="45">
        <v>0.24399999999999999</v>
      </c>
      <c r="F60" s="44">
        <v>-9.43</v>
      </c>
      <c r="G60" s="44" t="s">
        <v>148</v>
      </c>
      <c r="H60" s="45">
        <v>0.496</v>
      </c>
    </row>
    <row r="61" spans="2:8" ht="15.75" thickBot="1" x14ac:dyDescent="0.3">
      <c r="B61" s="44">
        <v>9.5</v>
      </c>
      <c r="C61" s="44">
        <v>97</v>
      </c>
      <c r="D61" s="44" t="s">
        <v>149</v>
      </c>
      <c r="E61" s="45">
        <v>0.18</v>
      </c>
      <c r="F61" s="44">
        <v>-11.43</v>
      </c>
      <c r="G61" s="44" t="s">
        <v>150</v>
      </c>
      <c r="H61" s="45">
        <v>0.505</v>
      </c>
    </row>
    <row r="62" spans="2:8" ht="15.75" thickBot="1" x14ac:dyDescent="0.3">
      <c r="B62" s="44">
        <v>10</v>
      </c>
      <c r="C62" s="44">
        <v>106</v>
      </c>
      <c r="D62" s="44" t="s">
        <v>151</v>
      </c>
      <c r="E62" s="45">
        <v>0.17899999999999999</v>
      </c>
      <c r="F62" s="44">
        <v>-11.27</v>
      </c>
      <c r="G62" s="44" t="s">
        <v>152</v>
      </c>
      <c r="H62" s="45">
        <v>0.46500000000000002</v>
      </c>
    </row>
    <row r="63" spans="2:8" ht="15.75" thickBot="1" x14ac:dyDescent="0.3">
      <c r="B63" s="44">
        <v>10.5</v>
      </c>
      <c r="C63" s="44">
        <v>47</v>
      </c>
      <c r="D63" s="44" t="s">
        <v>153</v>
      </c>
      <c r="E63" s="45">
        <v>0.191</v>
      </c>
      <c r="F63" s="44">
        <v>-12.11</v>
      </c>
      <c r="G63" s="44" t="s">
        <v>154</v>
      </c>
      <c r="H63" s="45">
        <v>0.51100000000000001</v>
      </c>
    </row>
    <row r="64" spans="2:8" ht="15.75" thickBot="1" x14ac:dyDescent="0.3">
      <c r="B64" s="44">
        <v>11</v>
      </c>
      <c r="C64" s="44">
        <v>42</v>
      </c>
      <c r="D64" s="44" t="s">
        <v>155</v>
      </c>
      <c r="E64" s="45">
        <v>4.8000000000000001E-2</v>
      </c>
      <c r="F64" s="44">
        <v>-11.31</v>
      </c>
      <c r="G64" s="44" t="s">
        <v>156</v>
      </c>
      <c r="H64" s="45">
        <v>0.64300000000000002</v>
      </c>
    </row>
    <row r="65" spans="2:8" ht="15.75" thickBot="1" x14ac:dyDescent="0.3">
      <c r="B65" s="44">
        <v>11.5</v>
      </c>
      <c r="C65" s="44">
        <v>23</v>
      </c>
      <c r="D65" s="46">
        <v>36635</v>
      </c>
      <c r="E65" s="45">
        <v>0.17399999999999999</v>
      </c>
      <c r="F65" s="44">
        <v>-12.09</v>
      </c>
      <c r="G65" s="46">
        <v>36812</v>
      </c>
      <c r="H65" s="45">
        <v>0.435</v>
      </c>
    </row>
    <row r="66" spans="2:8" ht="15.75" thickBot="1" x14ac:dyDescent="0.3">
      <c r="B66" s="44">
        <v>12</v>
      </c>
      <c r="C66" s="44">
        <v>13</v>
      </c>
      <c r="D66" s="46">
        <v>36595</v>
      </c>
      <c r="E66" s="45">
        <v>0.23100000000000001</v>
      </c>
      <c r="F66" s="44">
        <v>-7.38</v>
      </c>
      <c r="G66" s="46">
        <v>36773</v>
      </c>
      <c r="H66" s="45">
        <v>0.69199999999999995</v>
      </c>
    </row>
    <row r="67" spans="2:8" ht="15.75" thickBot="1" x14ac:dyDescent="0.3">
      <c r="B67" s="44">
        <v>12.5</v>
      </c>
      <c r="C67" s="44">
        <v>23</v>
      </c>
      <c r="D67" s="46">
        <v>36694</v>
      </c>
      <c r="E67" s="45">
        <v>0.26100000000000001</v>
      </c>
      <c r="F67" s="44">
        <v>-8.17</v>
      </c>
      <c r="G67" s="44" t="s">
        <v>157</v>
      </c>
      <c r="H67" s="45">
        <v>0.69599999999999995</v>
      </c>
    </row>
    <row r="68" spans="2:8" ht="15.75" thickBot="1" x14ac:dyDescent="0.3">
      <c r="B68" s="44">
        <v>13</v>
      </c>
      <c r="C68" s="44">
        <v>37</v>
      </c>
      <c r="D68" s="44" t="s">
        <v>158</v>
      </c>
      <c r="E68" s="45">
        <v>0.16200000000000001</v>
      </c>
      <c r="F68" s="44">
        <v>-9.51</v>
      </c>
      <c r="G68" s="44" t="s">
        <v>159</v>
      </c>
      <c r="H68" s="45">
        <v>0.56799999999999995</v>
      </c>
    </row>
    <row r="69" spans="2:8" ht="15.75" thickBot="1" x14ac:dyDescent="0.3">
      <c r="B69" s="44">
        <v>13.5</v>
      </c>
      <c r="C69" s="44">
        <v>26</v>
      </c>
      <c r="D69" s="46">
        <v>37002</v>
      </c>
      <c r="E69" s="45">
        <v>0.17299999999999999</v>
      </c>
      <c r="F69" s="44">
        <v>-17.420000000000002</v>
      </c>
      <c r="G69" s="46">
        <v>36874</v>
      </c>
      <c r="H69" s="45">
        <v>0.46200000000000002</v>
      </c>
    </row>
    <row r="70" spans="2:8" ht="15.75" thickBot="1" x14ac:dyDescent="0.3">
      <c r="B70" s="44">
        <v>14</v>
      </c>
      <c r="C70" s="44">
        <v>36</v>
      </c>
      <c r="D70" s="44" t="s">
        <v>160</v>
      </c>
      <c r="E70" s="45">
        <v>8.3000000000000004E-2</v>
      </c>
      <c r="F70" s="44">
        <v>-14.61</v>
      </c>
      <c r="G70" s="44" t="s">
        <v>161</v>
      </c>
      <c r="H70" s="45">
        <v>0.57099999999999995</v>
      </c>
    </row>
    <row r="71" spans="2:8" ht="15.75" thickBot="1" x14ac:dyDescent="0.3">
      <c r="B71" s="44">
        <v>14.5</v>
      </c>
      <c r="C71" s="44">
        <v>9</v>
      </c>
      <c r="D71" s="46">
        <v>36533</v>
      </c>
      <c r="E71" s="45">
        <v>0.111</v>
      </c>
      <c r="F71" s="44">
        <v>-10.33</v>
      </c>
      <c r="G71" s="46">
        <v>36680</v>
      </c>
      <c r="H71" s="45">
        <v>0.66700000000000004</v>
      </c>
    </row>
    <row r="72" spans="2:8" ht="15.75" thickBot="1" x14ac:dyDescent="0.3">
      <c r="B72" s="44">
        <v>15</v>
      </c>
      <c r="C72" s="44">
        <v>4</v>
      </c>
      <c r="D72" s="44" t="s">
        <v>162</v>
      </c>
      <c r="E72" s="45">
        <v>0</v>
      </c>
      <c r="F72" s="44">
        <v>-19.5</v>
      </c>
      <c r="G72" s="46">
        <v>36558</v>
      </c>
      <c r="H72" s="45">
        <v>0.5</v>
      </c>
    </row>
    <row r="73" spans="2:8" ht="15.75" thickBot="1" x14ac:dyDescent="0.3">
      <c r="B73" s="44">
        <v>15.5</v>
      </c>
      <c r="C73" s="44">
        <v>8</v>
      </c>
      <c r="D73" s="44" t="s">
        <v>163</v>
      </c>
      <c r="E73" s="45">
        <v>0</v>
      </c>
      <c r="F73" s="44">
        <v>-19.88</v>
      </c>
      <c r="G73" s="46">
        <v>36562</v>
      </c>
      <c r="H73" s="45">
        <v>0.25</v>
      </c>
    </row>
    <row r="74" spans="2:8" ht="15.75" thickBot="1" x14ac:dyDescent="0.3">
      <c r="B74" s="44">
        <v>16</v>
      </c>
      <c r="C74" s="44">
        <v>14</v>
      </c>
      <c r="D74" s="44" t="s">
        <v>164</v>
      </c>
      <c r="E74" s="45">
        <v>0</v>
      </c>
      <c r="F74" s="44">
        <v>-17.79</v>
      </c>
      <c r="G74" s="46">
        <v>37078</v>
      </c>
      <c r="H74" s="45">
        <v>0.53800000000000003</v>
      </c>
    </row>
    <row r="75" spans="2:8" ht="15.75" thickBot="1" x14ac:dyDescent="0.3">
      <c r="B75" s="44">
        <v>16.5</v>
      </c>
      <c r="C75" s="44">
        <v>4</v>
      </c>
      <c r="D75" s="44" t="s">
        <v>162</v>
      </c>
      <c r="E75" s="45">
        <v>0</v>
      </c>
      <c r="F75" s="44">
        <v>-20</v>
      </c>
      <c r="G75" s="46">
        <v>36558</v>
      </c>
      <c r="H75" s="45">
        <v>0.5</v>
      </c>
    </row>
    <row r="76" spans="2:8" ht="15.75" thickBot="1" x14ac:dyDescent="0.3">
      <c r="B76" s="44">
        <v>17</v>
      </c>
      <c r="C76" s="44">
        <v>5</v>
      </c>
      <c r="D76" s="44" t="s">
        <v>165</v>
      </c>
      <c r="E76" s="45">
        <v>0</v>
      </c>
      <c r="F76" s="44">
        <v>-19.600000000000001</v>
      </c>
      <c r="G76" s="46">
        <v>36924</v>
      </c>
      <c r="H76" s="45">
        <v>0.5</v>
      </c>
    </row>
    <row r="77" spans="2:8" ht="15.75" thickBot="1" x14ac:dyDescent="0.3">
      <c r="B77" s="44">
        <v>17.5</v>
      </c>
      <c r="C77" s="44">
        <v>1</v>
      </c>
      <c r="D77" s="44" t="s">
        <v>63</v>
      </c>
      <c r="E77" s="45">
        <v>0</v>
      </c>
      <c r="F77" s="44">
        <v>-14</v>
      </c>
      <c r="G77" s="44" t="s">
        <v>62</v>
      </c>
      <c r="H77" s="45">
        <v>1</v>
      </c>
    </row>
    <row r="78" spans="2:8" ht="15.75" thickBot="1" x14ac:dyDescent="0.3">
      <c r="B78" s="44">
        <v>19</v>
      </c>
      <c r="C78" s="44">
        <v>1</v>
      </c>
      <c r="D78" s="44" t="s">
        <v>63</v>
      </c>
      <c r="E78" s="45">
        <v>0</v>
      </c>
      <c r="F78" s="44">
        <v>-3</v>
      </c>
      <c r="G78" s="44" t="s">
        <v>62</v>
      </c>
      <c r="H78" s="45">
        <v>1</v>
      </c>
    </row>
    <row r="79" spans="2:8" ht="15.75" thickBot="1" x14ac:dyDescent="0.3">
      <c r="B79" s="44">
        <v>19.5</v>
      </c>
      <c r="C79" s="44">
        <v>1</v>
      </c>
      <c r="D79" s="44" t="s">
        <v>63</v>
      </c>
      <c r="E79" s="45">
        <v>0</v>
      </c>
      <c r="F79" s="44">
        <v>-28</v>
      </c>
      <c r="G79" s="44" t="s">
        <v>63</v>
      </c>
      <c r="H79" s="45">
        <v>0</v>
      </c>
    </row>
    <row r="80" spans="2:8" ht="15.75" thickBot="1" x14ac:dyDescent="0.3">
      <c r="B80" s="44">
        <v>20.5</v>
      </c>
      <c r="C80" s="44">
        <v>2</v>
      </c>
      <c r="D80" s="44" t="s">
        <v>65</v>
      </c>
      <c r="E80" s="45">
        <v>0</v>
      </c>
      <c r="F80" s="44">
        <v>-8.5</v>
      </c>
      <c r="G80" s="44" t="s">
        <v>64</v>
      </c>
      <c r="H80" s="45">
        <v>1</v>
      </c>
    </row>
    <row r="81" spans="2:8" ht="15.75" thickBot="1" x14ac:dyDescent="0.3">
      <c r="B81" s="44">
        <v>22</v>
      </c>
      <c r="C81" s="44">
        <v>1</v>
      </c>
      <c r="D81" s="44" t="s">
        <v>63</v>
      </c>
      <c r="E81" s="45">
        <v>0</v>
      </c>
      <c r="F81" s="44">
        <v>-21</v>
      </c>
      <c r="G81" s="44" t="s">
        <v>62</v>
      </c>
      <c r="H81" s="45">
        <v>1</v>
      </c>
    </row>
    <row r="82" spans="2:8" ht="15.75" thickBot="1" x14ac:dyDescent="0.3">
      <c r="B82" s="44">
        <v>24</v>
      </c>
      <c r="C82" s="44">
        <v>1</v>
      </c>
      <c r="D82" s="44" t="s">
        <v>63</v>
      </c>
      <c r="E82" s="45">
        <v>0</v>
      </c>
      <c r="F82" s="44">
        <v>-3</v>
      </c>
      <c r="G82" s="44" t="s">
        <v>62</v>
      </c>
      <c r="H82" s="45">
        <v>1</v>
      </c>
    </row>
    <row r="83" spans="2:8" ht="15.75" thickBot="1" x14ac:dyDescent="0.3">
      <c r="B83" s="44">
        <v>26.5</v>
      </c>
      <c r="C83" s="44">
        <v>1</v>
      </c>
      <c r="D83" s="44" t="s">
        <v>63</v>
      </c>
      <c r="E83" s="45">
        <v>0</v>
      </c>
      <c r="F83" s="44">
        <v>-16</v>
      </c>
      <c r="G83" s="44" t="s">
        <v>62</v>
      </c>
      <c r="H83" s="4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SimpleCalc</vt:lpstr>
      <vt:lpstr>TableCalc</vt:lpstr>
      <vt:lpstr>Sheet1</vt:lpstr>
    </vt:vector>
  </TitlesOfParts>
  <Company>The Haskell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Haskell Company</dc:creator>
  <cp:lastModifiedBy>The Haskell Company</cp:lastModifiedBy>
  <dcterms:created xsi:type="dcterms:W3CDTF">2014-10-29T20:25:34Z</dcterms:created>
  <dcterms:modified xsi:type="dcterms:W3CDTF">2014-11-12T00:13:19Z</dcterms:modified>
</cp:coreProperties>
</file>